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LS520Dc55\admin\Documents\web\hinden\library\"/>
    </mc:Choice>
  </mc:AlternateContent>
  <xr:revisionPtr revIDLastSave="0" documentId="13_ncr:1_{BEBD8F99-8C58-42F5-AD1D-BE708A46BCC8}" xr6:coauthVersionLast="47" xr6:coauthVersionMax="47" xr10:uidLastSave="{00000000-0000-0000-0000-000000000000}"/>
  <bookViews>
    <workbookView xWindow="3510" yWindow="765" windowWidth="16455" windowHeight="14715" xr2:uid="{8B646E17-7B87-48C9-827C-3E0464D756AA}"/>
  </bookViews>
  <sheets>
    <sheet name="index" sheetId="10" r:id="rId1"/>
    <sheet name="Book" sheetId="1" r:id="rId2"/>
    <sheet name="Book2" sheetId="9" r:id="rId3"/>
    <sheet name="return or link" sheetId="11" r:id="rId4"/>
  </sheets>
  <externalReferences>
    <externalReference r:id="rId5"/>
  </externalReferences>
  <definedNames>
    <definedName name="_xlnm._FilterDatabase" localSheetId="1" hidden="1">Book!$A$1:$Y$3484</definedName>
    <definedName name="Bottom">Book!$G$3484</definedName>
    <definedName name="comic">Book!$G$2606</definedName>
    <definedName name="comic_新書">Book!$G$2793</definedName>
    <definedName name="comic_文庫">Book!$G$2914</definedName>
    <definedName name="computer">Book!$G$3237</definedName>
    <definedName name="cook">Book!$G$3226</definedName>
    <definedName name="Top">Book!$G$2</definedName>
    <definedName name="画集">Book!$G$903</definedName>
    <definedName name="画集_身内">Book!$G$822</definedName>
    <definedName name="絵本">Book!$G$597</definedName>
    <definedName name="楽譜">Book!$G$3263</definedName>
    <definedName name="雑誌">Book!$G$1191</definedName>
    <definedName name="散文_foreign">Book!$G$4</definedName>
    <definedName name="散文_foreign_新書">Book!$G$1687</definedName>
    <definedName name="散文_foreign_文庫">Book!$G$2486</definedName>
    <definedName name="散文_japan">Book!$G$3</definedName>
    <definedName name="散文_japan_新書">Book!$G$1597</definedName>
    <definedName name="散文_japan_文庫">Book!$G$2513</definedName>
    <definedName name="私家版">Book!$G$3171</definedName>
    <definedName name="詩_foreign">Book!$G$1549</definedName>
    <definedName name="詩_foreign_新書">Book!$G$1578</definedName>
    <definedName name="詩_foreign_文庫">Book!$G$1766</definedName>
    <definedName name="詩_japan">Book!$G$1509</definedName>
    <definedName name="詩_japan_新書">Book!$G$1566</definedName>
    <definedName name="詩_japan_文庫">Book!$G$1741</definedName>
    <definedName name="辞典">Book!$G$1337</definedName>
    <definedName name="図鑑">Book!$G$1083</definedName>
    <definedName name="童話_foregn">Book!$G$1726</definedName>
    <definedName name="童話_japan">Book!$G$1709</definedName>
    <definedName name="文学_foreign">Book!$G$517</definedName>
    <definedName name="文学_foreign_新書">Book!$G$1695</definedName>
    <definedName name="文学_foreign_文庫">Book!$G$2159</definedName>
    <definedName name="文学_japan">Book!$G$428</definedName>
    <definedName name="文学_japan_新書">Book!$G$1690</definedName>
    <definedName name="文学_japan_文庫">Book!$G$1791</definedName>
  </definedNames>
  <calcPr calcId="181029"/>
</workbook>
</file>

<file path=xl/calcChain.xml><?xml version="1.0" encoding="utf-8"?>
<calcChain xmlns="http://schemas.openxmlformats.org/spreadsheetml/2006/main">
  <c r="N1019" i="1" l="1"/>
  <c r="M1019" i="1"/>
  <c r="M10" i="1"/>
  <c r="N10" i="1"/>
  <c r="M11" i="1"/>
  <c r="N11" i="1"/>
  <c r="M12" i="1"/>
  <c r="N12" i="1"/>
  <c r="M13" i="1"/>
  <c r="N13" i="1"/>
  <c r="M14" i="1"/>
  <c r="N14" i="1"/>
  <c r="M15" i="1"/>
  <c r="N15" i="1"/>
  <c r="M16" i="1"/>
  <c r="N16" i="1"/>
  <c r="M17" i="1"/>
  <c r="N17" i="1"/>
  <c r="M18" i="1"/>
  <c r="N18" i="1"/>
  <c r="M19" i="1"/>
  <c r="N19" i="1"/>
  <c r="M20" i="1"/>
  <c r="N20" i="1"/>
  <c r="M21" i="1"/>
  <c r="N21" i="1"/>
  <c r="M22" i="1"/>
  <c r="N22" i="1"/>
  <c r="M23" i="1"/>
  <c r="N23" i="1"/>
  <c r="M24" i="1"/>
  <c r="N24" i="1"/>
  <c r="M25" i="1"/>
  <c r="N25" i="1"/>
  <c r="M26" i="1"/>
  <c r="N26" i="1"/>
  <c r="M27" i="1"/>
  <c r="N27" i="1"/>
  <c r="M28" i="1"/>
  <c r="N28" i="1"/>
  <c r="M29" i="1"/>
  <c r="N29" i="1"/>
  <c r="M30" i="1"/>
  <c r="N30" i="1"/>
  <c r="M31" i="1"/>
  <c r="N31" i="1"/>
  <c r="M32" i="1"/>
  <c r="N32" i="1"/>
  <c r="M33" i="1"/>
  <c r="N33" i="1"/>
  <c r="M34" i="1"/>
  <c r="N34" i="1"/>
  <c r="M35" i="1"/>
  <c r="N35" i="1"/>
  <c r="M36" i="1"/>
  <c r="N36" i="1"/>
  <c r="M37" i="1"/>
  <c r="N37" i="1"/>
  <c r="M38" i="1"/>
  <c r="N38" i="1"/>
  <c r="M39" i="1"/>
  <c r="N39" i="1"/>
  <c r="M40" i="1"/>
  <c r="N40" i="1"/>
  <c r="M41" i="1"/>
  <c r="N41" i="1"/>
  <c r="M42" i="1"/>
  <c r="N42" i="1"/>
  <c r="M43" i="1"/>
  <c r="N43" i="1"/>
  <c r="M44" i="1"/>
  <c r="N44" i="1"/>
  <c r="M45" i="1"/>
  <c r="N45" i="1"/>
  <c r="M46" i="1"/>
  <c r="N46" i="1"/>
  <c r="M47" i="1"/>
  <c r="N47" i="1"/>
  <c r="M48" i="1"/>
  <c r="N48" i="1"/>
  <c r="M49" i="1"/>
  <c r="N49" i="1"/>
  <c r="M50" i="1"/>
  <c r="N50" i="1"/>
  <c r="M51" i="1"/>
  <c r="N51" i="1"/>
  <c r="M52" i="1"/>
  <c r="N52" i="1"/>
  <c r="M53" i="1"/>
  <c r="N53" i="1"/>
  <c r="M54" i="1"/>
  <c r="N54" i="1"/>
  <c r="M55" i="1"/>
  <c r="N55" i="1"/>
  <c r="M56" i="1"/>
  <c r="N56" i="1"/>
  <c r="M57" i="1"/>
  <c r="N57" i="1"/>
  <c r="M58" i="1"/>
  <c r="N58" i="1"/>
  <c r="M59" i="1"/>
  <c r="N59" i="1"/>
  <c r="M60" i="1"/>
  <c r="N60" i="1"/>
  <c r="M61" i="1"/>
  <c r="N61" i="1"/>
  <c r="M62" i="1"/>
  <c r="N62" i="1"/>
  <c r="M63" i="1"/>
  <c r="N63" i="1"/>
  <c r="M64" i="1"/>
  <c r="N64" i="1"/>
  <c r="M65" i="1"/>
  <c r="N65" i="1"/>
  <c r="M66" i="1"/>
  <c r="N66" i="1"/>
  <c r="M67" i="1"/>
  <c r="N67" i="1"/>
  <c r="M68" i="1"/>
  <c r="N68" i="1"/>
  <c r="M69" i="1"/>
  <c r="N69" i="1"/>
  <c r="M70" i="1"/>
  <c r="N70" i="1"/>
  <c r="M71" i="1"/>
  <c r="N71" i="1"/>
  <c r="M72" i="1"/>
  <c r="N72" i="1"/>
  <c r="M73" i="1"/>
  <c r="N73" i="1"/>
  <c r="M74" i="1"/>
  <c r="N74" i="1"/>
  <c r="M75" i="1"/>
  <c r="N75" i="1"/>
  <c r="M76" i="1"/>
  <c r="N76" i="1"/>
  <c r="M77" i="1"/>
  <c r="N77" i="1"/>
  <c r="M78" i="1"/>
  <c r="N78" i="1"/>
  <c r="M79" i="1"/>
  <c r="N79" i="1"/>
  <c r="M80" i="1"/>
  <c r="N80" i="1"/>
  <c r="M81" i="1"/>
  <c r="N81" i="1"/>
  <c r="M82" i="1"/>
  <c r="N82" i="1"/>
  <c r="M83" i="1"/>
  <c r="N83" i="1"/>
  <c r="M84" i="1"/>
  <c r="N84" i="1"/>
  <c r="M85" i="1"/>
  <c r="N85" i="1"/>
  <c r="M86" i="1"/>
  <c r="N86" i="1"/>
  <c r="M87" i="1"/>
  <c r="N87" i="1"/>
  <c r="M88" i="1"/>
  <c r="N88" i="1"/>
  <c r="M89" i="1"/>
  <c r="N89" i="1"/>
  <c r="M90" i="1"/>
  <c r="N90" i="1"/>
  <c r="M91" i="1"/>
  <c r="N91" i="1"/>
  <c r="M92" i="1"/>
  <c r="N92" i="1"/>
  <c r="M93" i="1"/>
  <c r="N93" i="1"/>
  <c r="M94" i="1"/>
  <c r="N94" i="1"/>
  <c r="M95" i="1"/>
  <c r="N95" i="1"/>
  <c r="M96" i="1"/>
  <c r="N96" i="1"/>
  <c r="M97" i="1"/>
  <c r="N97" i="1"/>
  <c r="M98" i="1"/>
  <c r="N98" i="1"/>
  <c r="M99" i="1"/>
  <c r="N99" i="1"/>
  <c r="M100" i="1"/>
  <c r="N100" i="1"/>
  <c r="M101" i="1"/>
  <c r="N101" i="1"/>
  <c r="M102" i="1"/>
  <c r="N102" i="1"/>
  <c r="M103" i="1"/>
  <c r="N103" i="1"/>
  <c r="M104" i="1"/>
  <c r="N104" i="1"/>
  <c r="M105" i="1"/>
  <c r="N105" i="1"/>
  <c r="M106" i="1"/>
  <c r="N106" i="1"/>
  <c r="M107" i="1"/>
  <c r="N107" i="1"/>
  <c r="M108" i="1"/>
  <c r="N108" i="1"/>
  <c r="M109" i="1"/>
  <c r="N109" i="1"/>
  <c r="M110" i="1"/>
  <c r="N110" i="1"/>
  <c r="M111" i="1"/>
  <c r="N111" i="1"/>
  <c r="M112" i="1"/>
  <c r="N112" i="1"/>
  <c r="M113" i="1"/>
  <c r="N113" i="1"/>
  <c r="M114" i="1"/>
  <c r="N114" i="1"/>
  <c r="M115" i="1"/>
  <c r="N115" i="1"/>
  <c r="M116" i="1"/>
  <c r="N116" i="1"/>
  <c r="M117" i="1"/>
  <c r="N117" i="1"/>
  <c r="M118" i="1"/>
  <c r="N118" i="1"/>
  <c r="M119" i="1"/>
  <c r="N119" i="1"/>
  <c r="M120" i="1"/>
  <c r="N120" i="1"/>
  <c r="M121" i="1"/>
  <c r="N121" i="1"/>
  <c r="M122" i="1"/>
  <c r="N122" i="1"/>
  <c r="M123" i="1"/>
  <c r="N123" i="1"/>
  <c r="M124" i="1"/>
  <c r="N124" i="1"/>
  <c r="M125" i="1"/>
  <c r="N125" i="1"/>
  <c r="M126" i="1"/>
  <c r="N126" i="1"/>
  <c r="M127" i="1"/>
  <c r="N127" i="1"/>
  <c r="M128" i="1"/>
  <c r="N128" i="1"/>
  <c r="M129" i="1"/>
  <c r="N129" i="1"/>
  <c r="M130" i="1"/>
  <c r="N130" i="1"/>
  <c r="M131" i="1"/>
  <c r="N131" i="1"/>
  <c r="M132" i="1"/>
  <c r="N132" i="1"/>
  <c r="M133" i="1"/>
  <c r="N133" i="1"/>
  <c r="M134" i="1"/>
  <c r="N134" i="1"/>
  <c r="M135" i="1"/>
  <c r="N135" i="1"/>
  <c r="M136" i="1"/>
  <c r="N136" i="1"/>
  <c r="M137" i="1"/>
  <c r="N137" i="1"/>
  <c r="M138" i="1"/>
  <c r="N138" i="1"/>
  <c r="M139" i="1"/>
  <c r="N139" i="1"/>
  <c r="M140" i="1"/>
  <c r="N140" i="1"/>
  <c r="M141" i="1"/>
  <c r="N141" i="1"/>
  <c r="M142" i="1"/>
  <c r="N142" i="1"/>
  <c r="M143" i="1"/>
  <c r="N143" i="1"/>
  <c r="M144" i="1"/>
  <c r="N144" i="1"/>
  <c r="M145" i="1"/>
  <c r="N145" i="1"/>
  <c r="M146" i="1"/>
  <c r="N146" i="1"/>
  <c r="M147" i="1"/>
  <c r="N147" i="1"/>
  <c r="M148" i="1"/>
  <c r="N148" i="1"/>
  <c r="M149" i="1"/>
  <c r="N149" i="1"/>
  <c r="M150" i="1"/>
  <c r="N150" i="1"/>
  <c r="M151" i="1"/>
  <c r="N151" i="1"/>
  <c r="M152" i="1"/>
  <c r="N152" i="1"/>
  <c r="M153" i="1"/>
  <c r="N153" i="1"/>
  <c r="M154" i="1"/>
  <c r="N154" i="1"/>
  <c r="M155" i="1"/>
  <c r="N155" i="1"/>
  <c r="M156" i="1"/>
  <c r="N156" i="1"/>
  <c r="M157" i="1"/>
  <c r="N157" i="1"/>
  <c r="M158" i="1"/>
  <c r="N158" i="1"/>
  <c r="M159" i="1"/>
  <c r="N159" i="1"/>
  <c r="M160" i="1"/>
  <c r="N160" i="1"/>
  <c r="M161" i="1"/>
  <c r="N161" i="1"/>
  <c r="M162" i="1"/>
  <c r="N162" i="1"/>
  <c r="M163" i="1"/>
  <c r="N163" i="1"/>
  <c r="M164" i="1"/>
  <c r="N164" i="1"/>
  <c r="M165" i="1"/>
  <c r="N165" i="1"/>
  <c r="M166" i="1"/>
  <c r="N166" i="1"/>
  <c r="M167" i="1"/>
  <c r="N167" i="1"/>
  <c r="M168" i="1"/>
  <c r="N168" i="1"/>
  <c r="M169" i="1"/>
  <c r="N169" i="1"/>
  <c r="M170" i="1"/>
  <c r="N170" i="1"/>
  <c r="M171" i="1"/>
  <c r="N171" i="1"/>
  <c r="M172" i="1"/>
  <c r="N172" i="1"/>
  <c r="M173" i="1"/>
  <c r="N173" i="1"/>
  <c r="M174" i="1"/>
  <c r="N174" i="1"/>
  <c r="M175" i="1"/>
  <c r="N175" i="1"/>
  <c r="M176" i="1"/>
  <c r="N176" i="1"/>
  <c r="M177" i="1"/>
  <c r="N177" i="1"/>
  <c r="M178" i="1"/>
  <c r="N178" i="1"/>
  <c r="M179" i="1"/>
  <c r="N179" i="1"/>
  <c r="M180" i="1"/>
  <c r="N180" i="1"/>
  <c r="M181" i="1"/>
  <c r="N181" i="1"/>
  <c r="M182" i="1"/>
  <c r="N182" i="1"/>
  <c r="M183" i="1"/>
  <c r="N183" i="1"/>
  <c r="M184" i="1"/>
  <c r="N184" i="1"/>
  <c r="M185" i="1"/>
  <c r="N185" i="1"/>
  <c r="M186" i="1"/>
  <c r="N186" i="1"/>
  <c r="M187" i="1"/>
  <c r="N187" i="1"/>
  <c r="M188" i="1"/>
  <c r="N188" i="1"/>
  <c r="M189" i="1"/>
  <c r="N189" i="1"/>
  <c r="M190" i="1"/>
  <c r="N190" i="1"/>
  <c r="M191" i="1"/>
  <c r="N191" i="1"/>
  <c r="M192" i="1"/>
  <c r="N192" i="1"/>
  <c r="M193" i="1"/>
  <c r="N193" i="1"/>
  <c r="M194" i="1"/>
  <c r="N194" i="1"/>
  <c r="M195" i="1"/>
  <c r="N195" i="1"/>
  <c r="M196" i="1"/>
  <c r="N196" i="1"/>
  <c r="M197" i="1"/>
  <c r="N197" i="1"/>
  <c r="M198" i="1"/>
  <c r="N198" i="1"/>
  <c r="M199" i="1"/>
  <c r="N199" i="1"/>
  <c r="M200" i="1"/>
  <c r="N200" i="1"/>
  <c r="M201" i="1"/>
  <c r="N201" i="1"/>
  <c r="M202" i="1"/>
  <c r="N202" i="1"/>
  <c r="M203" i="1"/>
  <c r="N203" i="1"/>
  <c r="M204" i="1"/>
  <c r="N204" i="1"/>
  <c r="M205" i="1"/>
  <c r="N205" i="1"/>
  <c r="M206" i="1"/>
  <c r="N206" i="1"/>
  <c r="M207" i="1"/>
  <c r="N207" i="1"/>
  <c r="M208" i="1"/>
  <c r="N208" i="1"/>
  <c r="M209" i="1"/>
  <c r="N209" i="1"/>
  <c r="M210" i="1"/>
  <c r="N210" i="1"/>
  <c r="M211" i="1"/>
  <c r="N211" i="1"/>
  <c r="M212" i="1"/>
  <c r="N212" i="1"/>
  <c r="M213" i="1"/>
  <c r="N213" i="1"/>
  <c r="M214" i="1"/>
  <c r="N214" i="1"/>
  <c r="M215" i="1"/>
  <c r="N215" i="1"/>
  <c r="M216" i="1"/>
  <c r="N216" i="1"/>
  <c r="M217" i="1"/>
  <c r="N217" i="1"/>
  <c r="M218" i="1"/>
  <c r="N218" i="1"/>
  <c r="M219" i="1"/>
  <c r="N219" i="1"/>
  <c r="M220" i="1"/>
  <c r="N220" i="1"/>
  <c r="M221" i="1"/>
  <c r="N221" i="1"/>
  <c r="M222" i="1"/>
  <c r="N222" i="1"/>
  <c r="M223" i="1"/>
  <c r="N223" i="1"/>
  <c r="M224" i="1"/>
  <c r="N224" i="1"/>
  <c r="M225" i="1"/>
  <c r="N225" i="1"/>
  <c r="M226" i="1"/>
  <c r="N226" i="1"/>
  <c r="M227" i="1"/>
  <c r="N227" i="1"/>
  <c r="M228" i="1"/>
  <c r="N228" i="1"/>
  <c r="M229" i="1"/>
  <c r="N229" i="1"/>
  <c r="M230" i="1"/>
  <c r="N230" i="1"/>
  <c r="M231" i="1"/>
  <c r="N231" i="1"/>
  <c r="M232" i="1"/>
  <c r="N232" i="1"/>
  <c r="M233" i="1"/>
  <c r="N233" i="1"/>
  <c r="M234" i="1"/>
  <c r="N234" i="1"/>
  <c r="M235" i="1"/>
  <c r="N235" i="1"/>
  <c r="M236" i="1"/>
  <c r="N236" i="1"/>
  <c r="M237" i="1"/>
  <c r="N237" i="1"/>
  <c r="M238" i="1"/>
  <c r="N238" i="1"/>
  <c r="M239" i="1"/>
  <c r="N239" i="1"/>
  <c r="M240" i="1"/>
  <c r="N240" i="1"/>
  <c r="M241" i="1"/>
  <c r="N241" i="1"/>
  <c r="M242" i="1"/>
  <c r="N242" i="1"/>
  <c r="M243" i="1"/>
  <c r="N243" i="1"/>
  <c r="M244" i="1"/>
  <c r="N244" i="1"/>
  <c r="M245" i="1"/>
  <c r="N245" i="1"/>
  <c r="M246" i="1"/>
  <c r="N246" i="1"/>
  <c r="M247" i="1"/>
  <c r="N247" i="1"/>
  <c r="M248" i="1"/>
  <c r="N248" i="1"/>
  <c r="M249" i="1"/>
  <c r="N249" i="1"/>
  <c r="M250" i="1"/>
  <c r="N250" i="1"/>
  <c r="M251" i="1"/>
  <c r="N251" i="1"/>
  <c r="M252" i="1"/>
  <c r="N252" i="1"/>
  <c r="M253" i="1"/>
  <c r="N253" i="1"/>
  <c r="M254" i="1"/>
  <c r="N254" i="1"/>
  <c r="M255" i="1"/>
  <c r="N255" i="1"/>
  <c r="M256" i="1"/>
  <c r="N256" i="1"/>
  <c r="M257" i="1"/>
  <c r="N257" i="1"/>
  <c r="M258" i="1"/>
  <c r="N258" i="1"/>
  <c r="M259" i="1"/>
  <c r="N259" i="1"/>
  <c r="M260" i="1"/>
  <c r="N260" i="1"/>
  <c r="M261" i="1"/>
  <c r="N261" i="1"/>
  <c r="M262" i="1"/>
  <c r="N262" i="1"/>
  <c r="M263" i="1"/>
  <c r="N263" i="1"/>
  <c r="M264" i="1"/>
  <c r="N264" i="1"/>
  <c r="M265" i="1"/>
  <c r="N265" i="1"/>
  <c r="M266" i="1"/>
  <c r="N266" i="1"/>
  <c r="M267" i="1"/>
  <c r="N267" i="1"/>
  <c r="M268" i="1"/>
  <c r="N268" i="1"/>
  <c r="M269" i="1"/>
  <c r="N269" i="1"/>
  <c r="M270" i="1"/>
  <c r="N270" i="1"/>
  <c r="M271" i="1"/>
  <c r="N271" i="1"/>
  <c r="M272" i="1"/>
  <c r="N272" i="1"/>
  <c r="M273" i="1"/>
  <c r="N273" i="1"/>
  <c r="M274" i="1"/>
  <c r="N274" i="1"/>
  <c r="M275" i="1"/>
  <c r="N275" i="1"/>
  <c r="M276" i="1"/>
  <c r="N276" i="1"/>
  <c r="M277" i="1"/>
  <c r="N277" i="1"/>
  <c r="M278" i="1"/>
  <c r="N278" i="1"/>
  <c r="M279" i="1"/>
  <c r="N279" i="1"/>
  <c r="M280" i="1"/>
  <c r="N280" i="1"/>
  <c r="M281" i="1"/>
  <c r="N281" i="1"/>
  <c r="M282" i="1"/>
  <c r="N282" i="1"/>
  <c r="M283" i="1"/>
  <c r="N283" i="1"/>
  <c r="M284" i="1"/>
  <c r="N284" i="1"/>
  <c r="M285" i="1"/>
  <c r="N285" i="1"/>
  <c r="M286" i="1"/>
  <c r="N286" i="1"/>
  <c r="M287" i="1"/>
  <c r="N287" i="1"/>
  <c r="M288" i="1"/>
  <c r="N288" i="1"/>
  <c r="M289" i="1"/>
  <c r="N289" i="1"/>
  <c r="M290" i="1"/>
  <c r="N290" i="1"/>
  <c r="M291" i="1"/>
  <c r="N291" i="1"/>
  <c r="M292" i="1"/>
  <c r="N292" i="1"/>
  <c r="M293" i="1"/>
  <c r="N293" i="1"/>
  <c r="M294" i="1"/>
  <c r="N294" i="1"/>
  <c r="M295" i="1"/>
  <c r="N295" i="1"/>
  <c r="M296" i="1"/>
  <c r="N296" i="1"/>
  <c r="M297" i="1"/>
  <c r="N297" i="1"/>
  <c r="M298" i="1"/>
  <c r="N298" i="1"/>
  <c r="M299" i="1"/>
  <c r="N299" i="1"/>
  <c r="M300" i="1"/>
  <c r="N300" i="1"/>
  <c r="M301" i="1"/>
  <c r="N301" i="1"/>
  <c r="M302" i="1"/>
  <c r="N302" i="1"/>
  <c r="M303" i="1"/>
  <c r="N303" i="1"/>
  <c r="M304" i="1"/>
  <c r="N304" i="1"/>
  <c r="M305" i="1"/>
  <c r="N305" i="1"/>
  <c r="M306" i="1"/>
  <c r="N306" i="1"/>
  <c r="M307" i="1"/>
  <c r="N307" i="1"/>
  <c r="M308" i="1"/>
  <c r="N308" i="1"/>
  <c r="M309" i="1"/>
  <c r="N309" i="1"/>
  <c r="M310" i="1"/>
  <c r="N310" i="1"/>
  <c r="M311" i="1"/>
  <c r="N311" i="1"/>
  <c r="M312" i="1"/>
  <c r="N312" i="1"/>
  <c r="M313" i="1"/>
  <c r="N313" i="1"/>
  <c r="M314" i="1"/>
  <c r="N314" i="1"/>
  <c r="M315" i="1"/>
  <c r="N315" i="1"/>
  <c r="M316" i="1"/>
  <c r="N316" i="1"/>
  <c r="M317" i="1"/>
  <c r="N317" i="1"/>
  <c r="M318" i="1"/>
  <c r="N318" i="1"/>
  <c r="M319" i="1"/>
  <c r="N319" i="1"/>
  <c r="M320" i="1"/>
  <c r="N320" i="1"/>
  <c r="M321" i="1"/>
  <c r="N321" i="1"/>
  <c r="M322" i="1"/>
  <c r="N322" i="1"/>
  <c r="M323" i="1"/>
  <c r="N323" i="1"/>
  <c r="M324" i="1"/>
  <c r="N324" i="1"/>
  <c r="M325" i="1"/>
  <c r="N325" i="1"/>
  <c r="M326" i="1"/>
  <c r="N326" i="1"/>
  <c r="M327" i="1"/>
  <c r="N327" i="1"/>
  <c r="M328" i="1"/>
  <c r="N328" i="1"/>
  <c r="M329" i="1"/>
  <c r="N329" i="1"/>
  <c r="M330" i="1"/>
  <c r="N330" i="1"/>
  <c r="M331" i="1"/>
  <c r="N331" i="1"/>
  <c r="M332" i="1"/>
  <c r="N332" i="1"/>
  <c r="M333" i="1"/>
  <c r="N333" i="1"/>
  <c r="M334" i="1"/>
  <c r="N334" i="1"/>
  <c r="M335" i="1"/>
  <c r="N335" i="1"/>
  <c r="M336" i="1"/>
  <c r="N336" i="1"/>
  <c r="M337" i="1"/>
  <c r="N337" i="1"/>
  <c r="M338" i="1"/>
  <c r="N338" i="1"/>
  <c r="M339" i="1"/>
  <c r="N339" i="1"/>
  <c r="M340" i="1"/>
  <c r="N340" i="1"/>
  <c r="M341" i="1"/>
  <c r="N341" i="1"/>
  <c r="M342" i="1"/>
  <c r="N342" i="1"/>
  <c r="M343" i="1"/>
  <c r="N343" i="1"/>
  <c r="M344" i="1"/>
  <c r="N344" i="1"/>
  <c r="M345" i="1"/>
  <c r="N345" i="1"/>
  <c r="M346" i="1"/>
  <c r="N346" i="1"/>
  <c r="M347" i="1"/>
  <c r="N347" i="1"/>
  <c r="M348" i="1"/>
  <c r="N348" i="1"/>
  <c r="M349" i="1"/>
  <c r="N349" i="1"/>
  <c r="M350" i="1"/>
  <c r="N350" i="1"/>
  <c r="M351" i="1"/>
  <c r="N351" i="1"/>
  <c r="M352" i="1"/>
  <c r="N352" i="1"/>
  <c r="M353" i="1"/>
  <c r="N353" i="1"/>
  <c r="M354" i="1"/>
  <c r="N354" i="1"/>
  <c r="M355" i="1"/>
  <c r="N355" i="1"/>
  <c r="M356" i="1"/>
  <c r="N356" i="1"/>
  <c r="M357" i="1"/>
  <c r="N357" i="1"/>
  <c r="M358" i="1"/>
  <c r="N358" i="1"/>
  <c r="M359" i="1"/>
  <c r="N359" i="1"/>
  <c r="M360" i="1"/>
  <c r="N360" i="1"/>
  <c r="M361" i="1"/>
  <c r="N361" i="1"/>
  <c r="M362" i="1"/>
  <c r="N362" i="1"/>
  <c r="M363" i="1"/>
  <c r="N363" i="1"/>
  <c r="M364" i="1"/>
  <c r="N364" i="1"/>
  <c r="M365" i="1"/>
  <c r="N365" i="1"/>
  <c r="M366" i="1"/>
  <c r="N366" i="1"/>
  <c r="M367" i="1"/>
  <c r="N367" i="1"/>
  <c r="M368" i="1"/>
  <c r="N368" i="1"/>
  <c r="M369" i="1"/>
  <c r="N369" i="1"/>
  <c r="M370" i="1"/>
  <c r="N370" i="1"/>
  <c r="M371" i="1"/>
  <c r="N371" i="1"/>
  <c r="M372" i="1"/>
  <c r="N372" i="1"/>
  <c r="M373" i="1"/>
  <c r="N373" i="1"/>
  <c r="M374" i="1"/>
  <c r="N374" i="1"/>
  <c r="M375" i="1"/>
  <c r="N375" i="1"/>
  <c r="M376" i="1"/>
  <c r="N376" i="1"/>
  <c r="M377" i="1"/>
  <c r="N377" i="1"/>
  <c r="M378" i="1"/>
  <c r="N378" i="1"/>
  <c r="M379" i="1"/>
  <c r="N379" i="1"/>
  <c r="M380" i="1"/>
  <c r="N380" i="1"/>
  <c r="M381" i="1"/>
  <c r="N381" i="1"/>
  <c r="M382" i="1"/>
  <c r="N382" i="1"/>
  <c r="M383" i="1"/>
  <c r="N383" i="1"/>
  <c r="M384" i="1"/>
  <c r="N384" i="1"/>
  <c r="M385" i="1"/>
  <c r="N385" i="1"/>
  <c r="M386" i="1"/>
  <c r="N386" i="1"/>
  <c r="M387" i="1"/>
  <c r="N387" i="1"/>
  <c r="M388" i="1"/>
  <c r="N388" i="1"/>
  <c r="M389" i="1"/>
  <c r="N389" i="1"/>
  <c r="M390" i="1"/>
  <c r="N390" i="1"/>
  <c r="M391" i="1"/>
  <c r="N391" i="1"/>
  <c r="M392" i="1"/>
  <c r="N392" i="1"/>
  <c r="M393" i="1"/>
  <c r="N393" i="1"/>
  <c r="M394" i="1"/>
  <c r="N394" i="1"/>
  <c r="M395" i="1"/>
  <c r="N395" i="1"/>
  <c r="M396" i="1"/>
  <c r="N396" i="1"/>
  <c r="M397" i="1"/>
  <c r="N397" i="1"/>
  <c r="M398" i="1"/>
  <c r="N398" i="1"/>
  <c r="M399" i="1"/>
  <c r="N399" i="1"/>
  <c r="M400" i="1"/>
  <c r="N400" i="1"/>
  <c r="M401" i="1"/>
  <c r="N401" i="1"/>
  <c r="M402" i="1"/>
  <c r="N402" i="1"/>
  <c r="M403" i="1"/>
  <c r="N403" i="1"/>
  <c r="M404" i="1"/>
  <c r="N404" i="1"/>
  <c r="M405" i="1"/>
  <c r="N405" i="1"/>
  <c r="M406" i="1"/>
  <c r="N406" i="1"/>
  <c r="M407" i="1"/>
  <c r="N407" i="1"/>
  <c r="M408" i="1"/>
  <c r="N408" i="1"/>
  <c r="M409" i="1"/>
  <c r="N409" i="1"/>
  <c r="M410" i="1"/>
  <c r="N410" i="1"/>
  <c r="M411" i="1"/>
  <c r="N411" i="1"/>
  <c r="M412" i="1"/>
  <c r="N412" i="1"/>
  <c r="M413" i="1"/>
  <c r="N413" i="1"/>
  <c r="M414" i="1"/>
  <c r="N414" i="1"/>
  <c r="M415" i="1"/>
  <c r="N415" i="1"/>
  <c r="M416" i="1"/>
  <c r="N416" i="1"/>
  <c r="M417" i="1"/>
  <c r="N417" i="1"/>
  <c r="M418" i="1"/>
  <c r="N418" i="1"/>
  <c r="M419" i="1"/>
  <c r="N419" i="1"/>
  <c r="M420" i="1"/>
  <c r="N420" i="1"/>
  <c r="M421" i="1"/>
  <c r="N421" i="1"/>
  <c r="M422" i="1"/>
  <c r="N422" i="1"/>
  <c r="M423" i="1"/>
  <c r="N423" i="1"/>
  <c r="M424" i="1"/>
  <c r="N424" i="1"/>
  <c r="M425" i="1"/>
  <c r="N425" i="1"/>
  <c r="M426" i="1"/>
  <c r="N426" i="1"/>
  <c r="M427" i="1"/>
  <c r="N427" i="1"/>
  <c r="M428" i="1"/>
  <c r="N428" i="1"/>
  <c r="M429" i="1"/>
  <c r="N429" i="1"/>
  <c r="M430" i="1"/>
  <c r="N430" i="1"/>
  <c r="M431" i="1"/>
  <c r="N431" i="1"/>
  <c r="M432" i="1"/>
  <c r="N432" i="1"/>
  <c r="M433" i="1"/>
  <c r="N433" i="1"/>
  <c r="M434" i="1"/>
  <c r="N434" i="1"/>
  <c r="M435" i="1"/>
  <c r="N435" i="1"/>
  <c r="M436" i="1"/>
  <c r="N436" i="1"/>
  <c r="M437" i="1"/>
  <c r="N437" i="1"/>
  <c r="M438" i="1"/>
  <c r="N438" i="1"/>
  <c r="M439" i="1"/>
  <c r="N439" i="1"/>
  <c r="M440" i="1"/>
  <c r="N440" i="1"/>
  <c r="M441" i="1"/>
  <c r="N441" i="1"/>
  <c r="M442" i="1"/>
  <c r="N442" i="1"/>
  <c r="M443" i="1"/>
  <c r="N443" i="1"/>
  <c r="M444" i="1"/>
  <c r="N444" i="1"/>
  <c r="M445" i="1"/>
  <c r="N445" i="1"/>
  <c r="M446" i="1"/>
  <c r="N446" i="1"/>
  <c r="M447" i="1"/>
  <c r="N447" i="1"/>
  <c r="M448" i="1"/>
  <c r="N448" i="1"/>
  <c r="M449" i="1"/>
  <c r="N449" i="1"/>
  <c r="M450" i="1"/>
  <c r="N450" i="1"/>
  <c r="M451" i="1"/>
  <c r="N451" i="1"/>
  <c r="M452" i="1"/>
  <c r="N452" i="1"/>
  <c r="M453" i="1"/>
  <c r="N453" i="1"/>
  <c r="M454" i="1"/>
  <c r="N454" i="1"/>
  <c r="M455" i="1"/>
  <c r="N455" i="1"/>
  <c r="M456" i="1"/>
  <c r="N456" i="1"/>
  <c r="M457" i="1"/>
  <c r="N457" i="1"/>
  <c r="M458" i="1"/>
  <c r="N458" i="1"/>
  <c r="M459" i="1"/>
  <c r="N459" i="1"/>
  <c r="M460" i="1"/>
  <c r="N460" i="1"/>
  <c r="M461" i="1"/>
  <c r="N461" i="1"/>
  <c r="M462" i="1"/>
  <c r="N462" i="1"/>
  <c r="M463" i="1"/>
  <c r="N463" i="1"/>
  <c r="M464" i="1"/>
  <c r="N464" i="1"/>
  <c r="M465" i="1"/>
  <c r="N465" i="1"/>
  <c r="M466" i="1"/>
  <c r="N466" i="1"/>
  <c r="M467" i="1"/>
  <c r="N467" i="1"/>
  <c r="M468" i="1"/>
  <c r="N468" i="1"/>
  <c r="M469" i="1"/>
  <c r="N469" i="1"/>
  <c r="M470" i="1"/>
  <c r="N470" i="1"/>
  <c r="M471" i="1"/>
  <c r="N471" i="1"/>
  <c r="M472" i="1"/>
  <c r="N472" i="1"/>
  <c r="M473" i="1"/>
  <c r="N473" i="1"/>
  <c r="M474" i="1"/>
  <c r="N474" i="1"/>
  <c r="M475" i="1"/>
  <c r="N475" i="1"/>
  <c r="M476" i="1"/>
  <c r="N476" i="1"/>
  <c r="M477" i="1"/>
  <c r="N477" i="1"/>
  <c r="M478" i="1"/>
  <c r="N478" i="1"/>
  <c r="M479" i="1"/>
  <c r="N479" i="1"/>
  <c r="M480" i="1"/>
  <c r="N480" i="1"/>
  <c r="M481" i="1"/>
  <c r="N481" i="1"/>
  <c r="M482" i="1"/>
  <c r="N482" i="1"/>
  <c r="M483" i="1"/>
  <c r="N483" i="1"/>
  <c r="M484" i="1"/>
  <c r="N484" i="1"/>
  <c r="M485" i="1"/>
  <c r="N485" i="1"/>
  <c r="M486" i="1"/>
  <c r="N486" i="1"/>
  <c r="M487" i="1"/>
  <c r="N487" i="1"/>
  <c r="M488" i="1"/>
  <c r="N488" i="1"/>
  <c r="M489" i="1"/>
  <c r="N489" i="1"/>
  <c r="M490" i="1"/>
  <c r="N490" i="1"/>
  <c r="M491" i="1"/>
  <c r="N491" i="1"/>
  <c r="M492" i="1"/>
  <c r="N492" i="1"/>
  <c r="M493" i="1"/>
  <c r="N493" i="1"/>
  <c r="M494" i="1"/>
  <c r="N494" i="1"/>
  <c r="M495" i="1"/>
  <c r="N495" i="1"/>
  <c r="M496" i="1"/>
  <c r="N496" i="1"/>
  <c r="M497" i="1"/>
  <c r="N497" i="1"/>
  <c r="M498" i="1"/>
  <c r="N498" i="1"/>
  <c r="M499" i="1"/>
  <c r="N499" i="1"/>
  <c r="M500" i="1"/>
  <c r="N500" i="1"/>
  <c r="M501" i="1"/>
  <c r="N501" i="1"/>
  <c r="M502" i="1"/>
  <c r="N502" i="1"/>
  <c r="M503" i="1"/>
  <c r="N503" i="1"/>
  <c r="M504" i="1"/>
  <c r="N504" i="1"/>
  <c r="M505" i="1"/>
  <c r="N505" i="1"/>
  <c r="M506" i="1"/>
  <c r="N506" i="1"/>
  <c r="M507" i="1"/>
  <c r="N507" i="1"/>
  <c r="M508" i="1"/>
  <c r="N508" i="1"/>
  <c r="M509" i="1"/>
  <c r="N509" i="1"/>
  <c r="M510" i="1"/>
  <c r="N510" i="1"/>
  <c r="M511" i="1"/>
  <c r="N511" i="1"/>
  <c r="M512" i="1"/>
  <c r="N512" i="1"/>
  <c r="M513" i="1"/>
  <c r="N513" i="1"/>
  <c r="M514" i="1"/>
  <c r="N514" i="1"/>
  <c r="M515" i="1"/>
  <c r="N515" i="1"/>
  <c r="M516" i="1"/>
  <c r="N516" i="1"/>
  <c r="M517" i="1"/>
  <c r="N517" i="1"/>
  <c r="M518" i="1"/>
  <c r="N518" i="1"/>
  <c r="M519" i="1"/>
  <c r="N519" i="1"/>
  <c r="M520" i="1"/>
  <c r="N520" i="1"/>
  <c r="M521" i="1"/>
  <c r="N521" i="1"/>
  <c r="M522" i="1"/>
  <c r="N522" i="1"/>
  <c r="M523" i="1"/>
  <c r="N523" i="1"/>
  <c r="M524" i="1"/>
  <c r="N524" i="1"/>
  <c r="M525" i="1"/>
  <c r="N525" i="1"/>
  <c r="M526" i="1"/>
  <c r="N526" i="1"/>
  <c r="M527" i="1"/>
  <c r="N527" i="1"/>
  <c r="M528" i="1"/>
  <c r="N528" i="1"/>
  <c r="M529" i="1"/>
  <c r="N529" i="1"/>
  <c r="M530" i="1"/>
  <c r="N530" i="1"/>
  <c r="M531" i="1"/>
  <c r="N531" i="1"/>
  <c r="M532" i="1"/>
  <c r="N532" i="1"/>
  <c r="M533" i="1"/>
  <c r="N533" i="1"/>
  <c r="M534" i="1"/>
  <c r="N534" i="1"/>
  <c r="M535" i="1"/>
  <c r="N535" i="1"/>
  <c r="M536" i="1"/>
  <c r="N536" i="1"/>
  <c r="M537" i="1"/>
  <c r="N537" i="1"/>
  <c r="M538" i="1"/>
  <c r="N538" i="1"/>
  <c r="M539" i="1"/>
  <c r="N539" i="1"/>
  <c r="M540" i="1"/>
  <c r="N540" i="1"/>
  <c r="M541" i="1"/>
  <c r="N541" i="1"/>
  <c r="M542" i="1"/>
  <c r="N542" i="1"/>
  <c r="M543" i="1"/>
  <c r="N543" i="1"/>
  <c r="M544" i="1"/>
  <c r="N544" i="1"/>
  <c r="M545" i="1"/>
  <c r="N545" i="1"/>
  <c r="M546" i="1"/>
  <c r="N546" i="1"/>
  <c r="M547" i="1"/>
  <c r="N547" i="1"/>
  <c r="M548" i="1"/>
  <c r="N548" i="1"/>
  <c r="M549" i="1"/>
  <c r="N549" i="1"/>
  <c r="M550" i="1"/>
  <c r="N550" i="1"/>
  <c r="M551" i="1"/>
  <c r="N551" i="1"/>
  <c r="M552" i="1"/>
  <c r="N552" i="1"/>
  <c r="M553" i="1"/>
  <c r="N553" i="1"/>
  <c r="M554" i="1"/>
  <c r="N554" i="1"/>
  <c r="M555" i="1"/>
  <c r="N555" i="1"/>
  <c r="M556" i="1"/>
  <c r="N556" i="1"/>
  <c r="M557" i="1"/>
  <c r="N557" i="1"/>
  <c r="M558" i="1"/>
  <c r="N558" i="1"/>
  <c r="M559" i="1"/>
  <c r="N559" i="1"/>
  <c r="M560" i="1"/>
  <c r="N560" i="1"/>
  <c r="M561" i="1"/>
  <c r="N561" i="1"/>
  <c r="M562" i="1"/>
  <c r="N562" i="1"/>
  <c r="M563" i="1"/>
  <c r="N563" i="1"/>
  <c r="M564" i="1"/>
  <c r="N564" i="1"/>
  <c r="M565" i="1"/>
  <c r="N565" i="1"/>
  <c r="M566" i="1"/>
  <c r="N566" i="1"/>
  <c r="M567" i="1"/>
  <c r="N567" i="1"/>
  <c r="M568" i="1"/>
  <c r="N568" i="1"/>
  <c r="M569" i="1"/>
  <c r="N569" i="1"/>
  <c r="M570" i="1"/>
  <c r="N570" i="1"/>
  <c r="M571" i="1"/>
  <c r="N571" i="1"/>
  <c r="M572" i="1"/>
  <c r="N572" i="1"/>
  <c r="M573" i="1"/>
  <c r="N573" i="1"/>
  <c r="M574" i="1"/>
  <c r="N574" i="1"/>
  <c r="M575" i="1"/>
  <c r="N575" i="1"/>
  <c r="M576" i="1"/>
  <c r="N576" i="1"/>
  <c r="M577" i="1"/>
  <c r="N577" i="1"/>
  <c r="M578" i="1"/>
  <c r="N578" i="1"/>
  <c r="M579" i="1"/>
  <c r="N579" i="1"/>
  <c r="M580" i="1"/>
  <c r="N580" i="1"/>
  <c r="M581" i="1"/>
  <c r="N581" i="1"/>
  <c r="M582" i="1"/>
  <c r="N582" i="1"/>
  <c r="M583" i="1"/>
  <c r="N583" i="1"/>
  <c r="M584" i="1"/>
  <c r="N584" i="1"/>
  <c r="M585" i="1"/>
  <c r="N585" i="1"/>
  <c r="M586" i="1"/>
  <c r="N586" i="1"/>
  <c r="M587" i="1"/>
  <c r="N587" i="1"/>
  <c r="M588" i="1"/>
  <c r="N588" i="1"/>
  <c r="M589" i="1"/>
  <c r="N589" i="1"/>
  <c r="M590" i="1"/>
  <c r="N590" i="1"/>
  <c r="M591" i="1"/>
  <c r="N591" i="1"/>
  <c r="M592" i="1"/>
  <c r="N592" i="1"/>
  <c r="M593" i="1"/>
  <c r="N593" i="1"/>
  <c r="M594" i="1"/>
  <c r="N594" i="1"/>
  <c r="M595" i="1"/>
  <c r="N595" i="1"/>
  <c r="M596" i="1"/>
  <c r="N596" i="1"/>
  <c r="M597" i="1"/>
  <c r="N597" i="1"/>
  <c r="M598" i="1"/>
  <c r="N598" i="1"/>
  <c r="M599" i="1"/>
  <c r="N599" i="1"/>
  <c r="M600" i="1"/>
  <c r="N600" i="1"/>
  <c r="M601" i="1"/>
  <c r="N601" i="1"/>
  <c r="M602" i="1"/>
  <c r="N602" i="1"/>
  <c r="M603" i="1"/>
  <c r="N603" i="1"/>
  <c r="M604" i="1"/>
  <c r="N604" i="1"/>
  <c r="M605" i="1"/>
  <c r="N605" i="1"/>
  <c r="M606" i="1"/>
  <c r="N606" i="1"/>
  <c r="M607" i="1"/>
  <c r="N607" i="1"/>
  <c r="M608" i="1"/>
  <c r="N608" i="1"/>
  <c r="M609" i="1"/>
  <c r="N609" i="1"/>
  <c r="M610" i="1"/>
  <c r="N610" i="1"/>
  <c r="M611" i="1"/>
  <c r="N611" i="1"/>
  <c r="M612" i="1"/>
  <c r="N612" i="1"/>
  <c r="M613" i="1"/>
  <c r="N613" i="1"/>
  <c r="M614" i="1"/>
  <c r="N614" i="1"/>
  <c r="M615" i="1"/>
  <c r="N615" i="1"/>
  <c r="M616" i="1"/>
  <c r="N616" i="1"/>
  <c r="M617" i="1"/>
  <c r="N617" i="1"/>
  <c r="M618" i="1"/>
  <c r="N618" i="1"/>
  <c r="M619" i="1"/>
  <c r="N619" i="1"/>
  <c r="M620" i="1"/>
  <c r="N620" i="1"/>
  <c r="M621" i="1"/>
  <c r="N621" i="1"/>
  <c r="M622" i="1"/>
  <c r="N622" i="1"/>
  <c r="M623" i="1"/>
  <c r="N623" i="1"/>
  <c r="M624" i="1"/>
  <c r="N624" i="1"/>
  <c r="M625" i="1"/>
  <c r="N625" i="1"/>
  <c r="M626" i="1"/>
  <c r="N626" i="1"/>
  <c r="M627" i="1"/>
  <c r="N627" i="1"/>
  <c r="M628" i="1"/>
  <c r="N628" i="1"/>
  <c r="M629" i="1"/>
  <c r="N629" i="1"/>
  <c r="M630" i="1"/>
  <c r="N630" i="1"/>
  <c r="M631" i="1"/>
  <c r="N631" i="1"/>
  <c r="M632" i="1"/>
  <c r="N632" i="1"/>
  <c r="M633" i="1"/>
  <c r="N633" i="1"/>
  <c r="M634" i="1"/>
  <c r="N634" i="1"/>
  <c r="M635" i="1"/>
  <c r="N635" i="1"/>
  <c r="M636" i="1"/>
  <c r="N636" i="1"/>
  <c r="M637" i="1"/>
  <c r="N637" i="1"/>
  <c r="M638" i="1"/>
  <c r="N638" i="1"/>
  <c r="M639" i="1"/>
  <c r="N639" i="1"/>
  <c r="M640" i="1"/>
  <c r="N640" i="1"/>
  <c r="M641" i="1"/>
  <c r="N641" i="1"/>
  <c r="M642" i="1"/>
  <c r="N642" i="1"/>
  <c r="M643" i="1"/>
  <c r="N643" i="1"/>
  <c r="M644" i="1"/>
  <c r="N644" i="1"/>
  <c r="M645" i="1"/>
  <c r="N645" i="1"/>
  <c r="M646" i="1"/>
  <c r="N646" i="1"/>
  <c r="M647" i="1"/>
  <c r="N647" i="1"/>
  <c r="M648" i="1"/>
  <c r="N648" i="1"/>
  <c r="M649" i="1"/>
  <c r="N649" i="1"/>
  <c r="M650" i="1"/>
  <c r="N650" i="1"/>
  <c r="M651" i="1"/>
  <c r="N651" i="1"/>
  <c r="M652" i="1"/>
  <c r="N652" i="1"/>
  <c r="M653" i="1"/>
  <c r="N653" i="1"/>
  <c r="M654" i="1"/>
  <c r="N654" i="1"/>
  <c r="M655" i="1"/>
  <c r="N655" i="1"/>
  <c r="M656" i="1"/>
  <c r="N656" i="1"/>
  <c r="M657" i="1"/>
  <c r="N657" i="1"/>
  <c r="M658" i="1"/>
  <c r="N658" i="1"/>
  <c r="M659" i="1"/>
  <c r="N659" i="1"/>
  <c r="M660" i="1"/>
  <c r="N660" i="1"/>
  <c r="M661" i="1"/>
  <c r="N661" i="1"/>
  <c r="M662" i="1"/>
  <c r="N662" i="1"/>
  <c r="M663" i="1"/>
  <c r="N663" i="1"/>
  <c r="M664" i="1"/>
  <c r="N664" i="1"/>
  <c r="M665" i="1"/>
  <c r="N665" i="1"/>
  <c r="M666" i="1"/>
  <c r="N666" i="1"/>
  <c r="M667" i="1"/>
  <c r="N667" i="1"/>
  <c r="M668" i="1"/>
  <c r="N668" i="1"/>
  <c r="M669" i="1"/>
  <c r="N669" i="1"/>
  <c r="M670" i="1"/>
  <c r="N670" i="1"/>
  <c r="M671" i="1"/>
  <c r="N671" i="1"/>
  <c r="M672" i="1"/>
  <c r="N672" i="1"/>
  <c r="M673" i="1"/>
  <c r="N673" i="1"/>
  <c r="M674" i="1"/>
  <c r="N674" i="1"/>
  <c r="M675" i="1"/>
  <c r="N675" i="1"/>
  <c r="M676" i="1"/>
  <c r="N676" i="1"/>
  <c r="M677" i="1"/>
  <c r="N677" i="1"/>
  <c r="M678" i="1"/>
  <c r="N678" i="1"/>
  <c r="M679" i="1"/>
  <c r="N679" i="1"/>
  <c r="M680" i="1"/>
  <c r="N680" i="1"/>
  <c r="M681" i="1"/>
  <c r="N681" i="1"/>
  <c r="M682" i="1"/>
  <c r="N682" i="1"/>
  <c r="M683" i="1"/>
  <c r="N683" i="1"/>
  <c r="M684" i="1"/>
  <c r="N684" i="1"/>
  <c r="M685" i="1"/>
  <c r="N685" i="1"/>
  <c r="M686" i="1"/>
  <c r="N686" i="1"/>
  <c r="M687" i="1"/>
  <c r="N687" i="1"/>
  <c r="M688" i="1"/>
  <c r="N688" i="1"/>
  <c r="M689" i="1"/>
  <c r="N689" i="1"/>
  <c r="M690" i="1"/>
  <c r="N690" i="1"/>
  <c r="M691" i="1"/>
  <c r="N691" i="1"/>
  <c r="M692" i="1"/>
  <c r="N692" i="1"/>
  <c r="M693" i="1"/>
  <c r="N693" i="1"/>
  <c r="M694" i="1"/>
  <c r="N694" i="1"/>
  <c r="M695" i="1"/>
  <c r="N695" i="1"/>
  <c r="M696" i="1"/>
  <c r="N696" i="1"/>
  <c r="M697" i="1"/>
  <c r="N697" i="1"/>
  <c r="M698" i="1"/>
  <c r="N698" i="1"/>
  <c r="M699" i="1"/>
  <c r="N699" i="1"/>
  <c r="M700" i="1"/>
  <c r="N700" i="1"/>
  <c r="M701" i="1"/>
  <c r="N701" i="1"/>
  <c r="M702" i="1"/>
  <c r="N702" i="1"/>
  <c r="M703" i="1"/>
  <c r="N703" i="1"/>
  <c r="M704" i="1"/>
  <c r="N704" i="1"/>
  <c r="M705" i="1"/>
  <c r="N705" i="1"/>
  <c r="M706" i="1"/>
  <c r="N706" i="1"/>
  <c r="M707" i="1"/>
  <c r="N707" i="1"/>
  <c r="M708" i="1"/>
  <c r="N708" i="1"/>
  <c r="M709" i="1"/>
  <c r="N709" i="1"/>
  <c r="M710" i="1"/>
  <c r="N710" i="1"/>
  <c r="M711" i="1"/>
  <c r="N711" i="1"/>
  <c r="M712" i="1"/>
  <c r="N712" i="1"/>
  <c r="M713" i="1"/>
  <c r="N713" i="1"/>
  <c r="M714" i="1"/>
  <c r="N714" i="1"/>
  <c r="M715" i="1"/>
  <c r="N715" i="1"/>
  <c r="M716" i="1"/>
  <c r="N716" i="1"/>
  <c r="M717" i="1"/>
  <c r="N717" i="1"/>
  <c r="M718" i="1"/>
  <c r="N718" i="1"/>
  <c r="M719" i="1"/>
  <c r="N719" i="1"/>
  <c r="M720" i="1"/>
  <c r="N720" i="1"/>
  <c r="M721" i="1"/>
  <c r="N721" i="1"/>
  <c r="M722" i="1"/>
  <c r="N722" i="1"/>
  <c r="M723" i="1"/>
  <c r="N723" i="1"/>
  <c r="M724" i="1"/>
  <c r="N724" i="1"/>
  <c r="M725" i="1"/>
  <c r="N725" i="1"/>
  <c r="M726" i="1"/>
  <c r="N726" i="1"/>
  <c r="M727" i="1"/>
  <c r="N727" i="1"/>
  <c r="M728" i="1"/>
  <c r="N728" i="1"/>
  <c r="M729" i="1"/>
  <c r="N729" i="1"/>
  <c r="M730" i="1"/>
  <c r="N730" i="1"/>
  <c r="M731" i="1"/>
  <c r="N731" i="1"/>
  <c r="M732" i="1"/>
  <c r="N732" i="1"/>
  <c r="M733" i="1"/>
  <c r="N733" i="1"/>
  <c r="M734" i="1"/>
  <c r="N734" i="1"/>
  <c r="M735" i="1"/>
  <c r="N735" i="1"/>
  <c r="M736" i="1"/>
  <c r="N736" i="1"/>
  <c r="M737" i="1"/>
  <c r="N737" i="1"/>
  <c r="M738" i="1"/>
  <c r="N738" i="1"/>
  <c r="M739" i="1"/>
  <c r="N739" i="1"/>
  <c r="M740" i="1"/>
  <c r="N740" i="1"/>
  <c r="M741" i="1"/>
  <c r="N741" i="1"/>
  <c r="M742" i="1"/>
  <c r="N742" i="1"/>
  <c r="M743" i="1"/>
  <c r="N743" i="1"/>
  <c r="M744" i="1"/>
  <c r="N744" i="1"/>
  <c r="M745" i="1"/>
  <c r="N745" i="1"/>
  <c r="M746" i="1"/>
  <c r="N746" i="1"/>
  <c r="M747" i="1"/>
  <c r="N747" i="1"/>
  <c r="M748" i="1"/>
  <c r="N748" i="1"/>
  <c r="M749" i="1"/>
  <c r="N749" i="1"/>
  <c r="M750" i="1"/>
  <c r="N750" i="1"/>
  <c r="M751" i="1"/>
  <c r="N751" i="1"/>
  <c r="M752" i="1"/>
  <c r="N752" i="1"/>
  <c r="M753" i="1"/>
  <c r="N753" i="1"/>
  <c r="M754" i="1"/>
  <c r="N754" i="1"/>
  <c r="M755" i="1"/>
  <c r="N755" i="1"/>
  <c r="M756" i="1"/>
  <c r="N756" i="1"/>
  <c r="M757" i="1"/>
  <c r="N757" i="1"/>
  <c r="M758" i="1"/>
  <c r="N758" i="1"/>
  <c r="M759" i="1"/>
  <c r="N759" i="1"/>
  <c r="M760" i="1"/>
  <c r="N760" i="1"/>
  <c r="M761" i="1"/>
  <c r="N761" i="1"/>
  <c r="M762" i="1"/>
  <c r="N762" i="1"/>
  <c r="M763" i="1"/>
  <c r="N763" i="1"/>
  <c r="M764" i="1"/>
  <c r="N764" i="1"/>
  <c r="M765" i="1"/>
  <c r="N765" i="1"/>
  <c r="M766" i="1"/>
  <c r="N766" i="1"/>
  <c r="M767" i="1"/>
  <c r="N767" i="1"/>
  <c r="M768" i="1"/>
  <c r="N768" i="1"/>
  <c r="M769" i="1"/>
  <c r="N769" i="1"/>
  <c r="M770" i="1"/>
  <c r="N770" i="1"/>
  <c r="M771" i="1"/>
  <c r="N771" i="1"/>
  <c r="M772" i="1"/>
  <c r="N772" i="1"/>
  <c r="M773" i="1"/>
  <c r="N773" i="1"/>
  <c r="M774" i="1"/>
  <c r="N774" i="1"/>
  <c r="M775" i="1"/>
  <c r="N775" i="1"/>
  <c r="M776" i="1"/>
  <c r="N776" i="1"/>
  <c r="M777" i="1"/>
  <c r="N777" i="1"/>
  <c r="M778" i="1"/>
  <c r="N778" i="1"/>
  <c r="M779" i="1"/>
  <c r="N779" i="1"/>
  <c r="M780" i="1"/>
  <c r="N780" i="1"/>
  <c r="M781" i="1"/>
  <c r="N781" i="1"/>
  <c r="M782" i="1"/>
  <c r="N782" i="1"/>
  <c r="M783" i="1"/>
  <c r="N783" i="1"/>
  <c r="M784" i="1"/>
  <c r="N784" i="1"/>
  <c r="M785" i="1"/>
  <c r="N785" i="1"/>
  <c r="M786" i="1"/>
  <c r="N786" i="1"/>
  <c r="M787" i="1"/>
  <c r="N787" i="1"/>
  <c r="M788" i="1"/>
  <c r="N788" i="1"/>
  <c r="M789" i="1"/>
  <c r="N789" i="1"/>
  <c r="M790" i="1"/>
  <c r="N790" i="1"/>
  <c r="M791" i="1"/>
  <c r="N791" i="1"/>
  <c r="M792" i="1"/>
  <c r="N792" i="1"/>
  <c r="M793" i="1"/>
  <c r="N793" i="1"/>
  <c r="M794" i="1"/>
  <c r="N794" i="1"/>
  <c r="M795" i="1"/>
  <c r="N795" i="1"/>
  <c r="M796" i="1"/>
  <c r="N796" i="1"/>
  <c r="M797" i="1"/>
  <c r="N797" i="1"/>
  <c r="M798" i="1"/>
  <c r="N798" i="1"/>
  <c r="M799" i="1"/>
  <c r="N799" i="1"/>
  <c r="M800" i="1"/>
  <c r="N800" i="1"/>
  <c r="M801" i="1"/>
  <c r="N801" i="1"/>
  <c r="M802" i="1"/>
  <c r="N802" i="1"/>
  <c r="M803" i="1"/>
  <c r="N803" i="1"/>
  <c r="M804" i="1"/>
  <c r="N804" i="1"/>
  <c r="M805" i="1"/>
  <c r="N805" i="1"/>
  <c r="M806" i="1"/>
  <c r="N806" i="1"/>
  <c r="M807" i="1"/>
  <c r="N807" i="1"/>
  <c r="M808" i="1"/>
  <c r="N808" i="1"/>
  <c r="M809" i="1"/>
  <c r="N809" i="1"/>
  <c r="M810" i="1"/>
  <c r="N810" i="1"/>
  <c r="M811" i="1"/>
  <c r="N811" i="1"/>
  <c r="M812" i="1"/>
  <c r="N812" i="1"/>
  <c r="M813" i="1"/>
  <c r="N813" i="1"/>
  <c r="M814" i="1"/>
  <c r="N814" i="1"/>
  <c r="M815" i="1"/>
  <c r="N815" i="1"/>
  <c r="M816" i="1"/>
  <c r="N816" i="1"/>
  <c r="M817" i="1"/>
  <c r="N817" i="1"/>
  <c r="M818" i="1"/>
  <c r="N818" i="1"/>
  <c r="M819" i="1"/>
  <c r="N819" i="1"/>
  <c r="M820" i="1"/>
  <c r="N820" i="1"/>
  <c r="M821" i="1"/>
  <c r="N821" i="1"/>
  <c r="M822" i="1"/>
  <c r="N822" i="1"/>
  <c r="M823" i="1"/>
  <c r="N823" i="1"/>
  <c r="M824" i="1"/>
  <c r="N824" i="1"/>
  <c r="M825" i="1"/>
  <c r="N825" i="1"/>
  <c r="M826" i="1"/>
  <c r="N826" i="1"/>
  <c r="M827" i="1"/>
  <c r="N827" i="1"/>
  <c r="M828" i="1"/>
  <c r="N828" i="1"/>
  <c r="M829" i="1"/>
  <c r="N829" i="1"/>
  <c r="M830" i="1"/>
  <c r="N830" i="1"/>
  <c r="M831" i="1"/>
  <c r="N831" i="1"/>
  <c r="M832" i="1"/>
  <c r="N832" i="1"/>
  <c r="M833" i="1"/>
  <c r="N833" i="1"/>
  <c r="M834" i="1"/>
  <c r="N834" i="1"/>
  <c r="M835" i="1"/>
  <c r="N835" i="1"/>
  <c r="M836" i="1"/>
  <c r="N836" i="1"/>
  <c r="M837" i="1"/>
  <c r="N837" i="1"/>
  <c r="M838" i="1"/>
  <c r="N838" i="1"/>
  <c r="M839" i="1"/>
  <c r="N839" i="1"/>
  <c r="M840" i="1"/>
  <c r="N840" i="1"/>
  <c r="M841" i="1"/>
  <c r="N841" i="1"/>
  <c r="M842" i="1"/>
  <c r="N842" i="1"/>
  <c r="M843" i="1"/>
  <c r="N843" i="1"/>
  <c r="M844" i="1"/>
  <c r="N844" i="1"/>
  <c r="M845" i="1"/>
  <c r="N845" i="1"/>
  <c r="M846" i="1"/>
  <c r="N846" i="1"/>
  <c r="M847" i="1"/>
  <c r="N847" i="1"/>
  <c r="M848" i="1"/>
  <c r="N848" i="1"/>
  <c r="M849" i="1"/>
  <c r="N849" i="1"/>
  <c r="M850" i="1"/>
  <c r="N850" i="1"/>
  <c r="M851" i="1"/>
  <c r="N851" i="1"/>
  <c r="M852" i="1"/>
  <c r="N852" i="1"/>
  <c r="M853" i="1"/>
  <c r="N853" i="1"/>
  <c r="M854" i="1"/>
  <c r="N854" i="1"/>
  <c r="M855" i="1"/>
  <c r="N855" i="1"/>
  <c r="M856" i="1"/>
  <c r="N856" i="1"/>
  <c r="M857" i="1"/>
  <c r="N857" i="1"/>
  <c r="M858" i="1"/>
  <c r="N858" i="1"/>
  <c r="M859" i="1"/>
  <c r="N859" i="1"/>
  <c r="M860" i="1"/>
  <c r="N860" i="1"/>
  <c r="M861" i="1"/>
  <c r="N861" i="1"/>
  <c r="M862" i="1"/>
  <c r="N862" i="1"/>
  <c r="M863" i="1"/>
  <c r="N863" i="1"/>
  <c r="M864" i="1"/>
  <c r="N864" i="1"/>
  <c r="M865" i="1"/>
  <c r="N865" i="1"/>
  <c r="M866" i="1"/>
  <c r="N866" i="1"/>
  <c r="M867" i="1"/>
  <c r="N867" i="1"/>
  <c r="M868" i="1"/>
  <c r="N868" i="1"/>
  <c r="M869" i="1"/>
  <c r="N869" i="1"/>
  <c r="M870" i="1"/>
  <c r="N870" i="1"/>
  <c r="M871" i="1"/>
  <c r="N871" i="1"/>
  <c r="M872" i="1"/>
  <c r="N872" i="1"/>
  <c r="M873" i="1"/>
  <c r="N873" i="1"/>
  <c r="M874" i="1"/>
  <c r="N874" i="1"/>
  <c r="M875" i="1"/>
  <c r="N875" i="1"/>
  <c r="M876" i="1"/>
  <c r="N876" i="1"/>
  <c r="M877" i="1"/>
  <c r="N877" i="1"/>
  <c r="M878" i="1"/>
  <c r="N878" i="1"/>
  <c r="M879" i="1"/>
  <c r="N879" i="1"/>
  <c r="M880" i="1"/>
  <c r="N880" i="1"/>
  <c r="M881" i="1"/>
  <c r="N881" i="1"/>
  <c r="M882" i="1"/>
  <c r="N882" i="1"/>
  <c r="M883" i="1"/>
  <c r="N883" i="1"/>
  <c r="M884" i="1"/>
  <c r="N884" i="1"/>
  <c r="M885" i="1"/>
  <c r="N885" i="1"/>
  <c r="M886" i="1"/>
  <c r="N886" i="1"/>
  <c r="M887" i="1"/>
  <c r="N887" i="1"/>
  <c r="M888" i="1"/>
  <c r="N888" i="1"/>
  <c r="M889" i="1"/>
  <c r="N889" i="1"/>
  <c r="M890" i="1"/>
  <c r="N890" i="1"/>
  <c r="M891" i="1"/>
  <c r="N891" i="1"/>
  <c r="M892" i="1"/>
  <c r="N892" i="1"/>
  <c r="M893" i="1"/>
  <c r="N893" i="1"/>
  <c r="M894" i="1"/>
  <c r="N894" i="1"/>
  <c r="M895" i="1"/>
  <c r="N895" i="1"/>
  <c r="M896" i="1"/>
  <c r="N896" i="1"/>
  <c r="M897" i="1"/>
  <c r="N897" i="1"/>
  <c r="M898" i="1"/>
  <c r="N898" i="1"/>
  <c r="M899" i="1"/>
  <c r="N899" i="1"/>
  <c r="M900" i="1"/>
  <c r="N900" i="1"/>
  <c r="M901" i="1"/>
  <c r="N901" i="1"/>
  <c r="M902" i="1"/>
  <c r="N902" i="1"/>
  <c r="M903" i="1"/>
  <c r="N903" i="1"/>
  <c r="M904" i="1"/>
  <c r="N904" i="1"/>
  <c r="M905" i="1"/>
  <c r="N905" i="1"/>
  <c r="M906" i="1"/>
  <c r="N906" i="1"/>
  <c r="M907" i="1"/>
  <c r="N907" i="1"/>
  <c r="M908" i="1"/>
  <c r="N908" i="1"/>
  <c r="M909" i="1"/>
  <c r="N909" i="1"/>
  <c r="M910" i="1"/>
  <c r="N910" i="1"/>
  <c r="M911" i="1"/>
  <c r="N911" i="1"/>
  <c r="M912" i="1"/>
  <c r="N912" i="1"/>
  <c r="M913" i="1"/>
  <c r="N913" i="1"/>
  <c r="M914" i="1"/>
  <c r="N914" i="1"/>
  <c r="M915" i="1"/>
  <c r="N915" i="1"/>
  <c r="M916" i="1"/>
  <c r="N916" i="1"/>
  <c r="M917" i="1"/>
  <c r="N917" i="1"/>
  <c r="M918" i="1"/>
  <c r="N918" i="1"/>
  <c r="M919" i="1"/>
  <c r="N919" i="1"/>
  <c r="M920" i="1"/>
  <c r="N920" i="1"/>
  <c r="M921" i="1"/>
  <c r="N921" i="1"/>
  <c r="M922" i="1"/>
  <c r="N922" i="1"/>
  <c r="M923" i="1"/>
  <c r="N923" i="1"/>
  <c r="M924" i="1"/>
  <c r="N924" i="1"/>
  <c r="M925" i="1"/>
  <c r="N925" i="1"/>
  <c r="M926" i="1"/>
  <c r="N926" i="1"/>
  <c r="M927" i="1"/>
  <c r="N927" i="1"/>
  <c r="M928" i="1"/>
  <c r="N928" i="1"/>
  <c r="M929" i="1"/>
  <c r="N929" i="1"/>
  <c r="M930" i="1"/>
  <c r="N930" i="1"/>
  <c r="M931" i="1"/>
  <c r="N931" i="1"/>
  <c r="M932" i="1"/>
  <c r="N932" i="1"/>
  <c r="M933" i="1"/>
  <c r="N933" i="1"/>
  <c r="M934" i="1"/>
  <c r="N934" i="1"/>
  <c r="M935" i="1"/>
  <c r="N935" i="1"/>
  <c r="M936" i="1"/>
  <c r="N936" i="1"/>
  <c r="M937" i="1"/>
  <c r="N937" i="1"/>
  <c r="M938" i="1"/>
  <c r="N938" i="1"/>
  <c r="M939" i="1"/>
  <c r="N939" i="1"/>
  <c r="M940" i="1"/>
  <c r="N940" i="1"/>
  <c r="M941" i="1"/>
  <c r="N941" i="1"/>
  <c r="M942" i="1"/>
  <c r="N942" i="1"/>
  <c r="M943" i="1"/>
  <c r="N943" i="1"/>
  <c r="M944" i="1"/>
  <c r="N944" i="1"/>
  <c r="M945" i="1"/>
  <c r="N945" i="1"/>
  <c r="M946" i="1"/>
  <c r="N946" i="1"/>
  <c r="M947" i="1"/>
  <c r="N947" i="1"/>
  <c r="M948" i="1"/>
  <c r="N948" i="1"/>
  <c r="M949" i="1"/>
  <c r="N949" i="1"/>
  <c r="M950" i="1"/>
  <c r="N950" i="1"/>
  <c r="M951" i="1"/>
  <c r="N951" i="1"/>
  <c r="M952" i="1"/>
  <c r="N952" i="1"/>
  <c r="M953" i="1"/>
  <c r="N953" i="1"/>
  <c r="M954" i="1"/>
  <c r="N954" i="1"/>
  <c r="M955" i="1"/>
  <c r="N955" i="1"/>
  <c r="M956" i="1"/>
  <c r="N956" i="1"/>
  <c r="M957" i="1"/>
  <c r="N957" i="1"/>
  <c r="M958" i="1"/>
  <c r="N958" i="1"/>
  <c r="M959" i="1"/>
  <c r="N959" i="1"/>
  <c r="M960" i="1"/>
  <c r="N960" i="1"/>
  <c r="M961" i="1"/>
  <c r="N961" i="1"/>
  <c r="M962" i="1"/>
  <c r="N962" i="1"/>
  <c r="M963" i="1"/>
  <c r="N963" i="1"/>
  <c r="M964" i="1"/>
  <c r="N964" i="1"/>
  <c r="M965" i="1"/>
  <c r="N965" i="1"/>
  <c r="M966" i="1"/>
  <c r="N966" i="1"/>
  <c r="M967" i="1"/>
  <c r="N967" i="1"/>
  <c r="M968" i="1"/>
  <c r="N968" i="1"/>
  <c r="M969" i="1"/>
  <c r="N969" i="1"/>
  <c r="M970" i="1"/>
  <c r="N970" i="1"/>
  <c r="M971" i="1"/>
  <c r="N971" i="1"/>
  <c r="M972" i="1"/>
  <c r="N972" i="1"/>
  <c r="M973" i="1"/>
  <c r="N973" i="1"/>
  <c r="M974" i="1"/>
  <c r="N974" i="1"/>
  <c r="M975" i="1"/>
  <c r="N975" i="1"/>
  <c r="M976" i="1"/>
  <c r="N976" i="1"/>
  <c r="M977" i="1"/>
  <c r="N977" i="1"/>
  <c r="M978" i="1"/>
  <c r="N978" i="1"/>
  <c r="M979" i="1"/>
  <c r="N979" i="1"/>
  <c r="M980" i="1"/>
  <c r="N980" i="1"/>
  <c r="M981" i="1"/>
  <c r="N981" i="1"/>
  <c r="M982" i="1"/>
  <c r="N982" i="1"/>
  <c r="M983" i="1"/>
  <c r="N983" i="1"/>
  <c r="M984" i="1"/>
  <c r="N984" i="1"/>
  <c r="M985" i="1"/>
  <c r="N985" i="1"/>
  <c r="M986" i="1"/>
  <c r="N986" i="1"/>
  <c r="M987" i="1"/>
  <c r="N987" i="1"/>
  <c r="M988" i="1"/>
  <c r="N988" i="1"/>
  <c r="M989" i="1"/>
  <c r="N989" i="1"/>
  <c r="M990" i="1"/>
  <c r="N990" i="1"/>
  <c r="M991" i="1"/>
  <c r="N991" i="1"/>
  <c r="M992" i="1"/>
  <c r="N992" i="1"/>
  <c r="M993" i="1"/>
  <c r="N993" i="1"/>
  <c r="M994" i="1"/>
  <c r="N994" i="1"/>
  <c r="M995" i="1"/>
  <c r="N995" i="1"/>
  <c r="M996" i="1"/>
  <c r="N996" i="1"/>
  <c r="M997" i="1"/>
  <c r="N997" i="1"/>
  <c r="M998" i="1"/>
  <c r="N998" i="1"/>
  <c r="M999" i="1"/>
  <c r="N999" i="1"/>
  <c r="M1000" i="1"/>
  <c r="N1000" i="1"/>
  <c r="M1001" i="1"/>
  <c r="N1001" i="1"/>
  <c r="M1002" i="1"/>
  <c r="N1002" i="1"/>
  <c r="M1003" i="1"/>
  <c r="N1003" i="1"/>
  <c r="M1004" i="1"/>
  <c r="N1004" i="1"/>
  <c r="M1005" i="1"/>
  <c r="N1005" i="1"/>
  <c r="M1006" i="1"/>
  <c r="N1006" i="1"/>
  <c r="M1007" i="1"/>
  <c r="N1007" i="1"/>
  <c r="M1008" i="1"/>
  <c r="N1008" i="1"/>
  <c r="M1009" i="1"/>
  <c r="N1009" i="1"/>
  <c r="M1010" i="1"/>
  <c r="N1010" i="1"/>
  <c r="M1011" i="1"/>
  <c r="N1011" i="1"/>
  <c r="M1012" i="1"/>
  <c r="N1012" i="1"/>
  <c r="M1013" i="1"/>
  <c r="N1013" i="1"/>
  <c r="M1014" i="1"/>
  <c r="N1014" i="1"/>
  <c r="M1015" i="1"/>
  <c r="N1015" i="1"/>
  <c r="M1016" i="1"/>
  <c r="N1016" i="1"/>
  <c r="M1017" i="1"/>
  <c r="N1017" i="1"/>
  <c r="M1018" i="1"/>
  <c r="N1018" i="1"/>
  <c r="M1020" i="1"/>
  <c r="N1020" i="1"/>
  <c r="M1021" i="1"/>
  <c r="N1021" i="1"/>
  <c r="M1022" i="1"/>
  <c r="N1022" i="1"/>
  <c r="M1023" i="1"/>
  <c r="N1023" i="1"/>
  <c r="M1024" i="1"/>
  <c r="N1024" i="1"/>
  <c r="M1025" i="1"/>
  <c r="N1025" i="1"/>
  <c r="M1026" i="1"/>
  <c r="N1026" i="1"/>
  <c r="M1027" i="1"/>
  <c r="N1027" i="1"/>
  <c r="M1028" i="1"/>
  <c r="N1028" i="1"/>
  <c r="M1029" i="1"/>
  <c r="N1029" i="1"/>
  <c r="M1030" i="1"/>
  <c r="N1030" i="1"/>
  <c r="M1031" i="1"/>
  <c r="N1031" i="1"/>
  <c r="M1032" i="1"/>
  <c r="N1032" i="1"/>
  <c r="M1033" i="1"/>
  <c r="N1033" i="1"/>
  <c r="M1034" i="1"/>
  <c r="N1034" i="1"/>
  <c r="M1035" i="1"/>
  <c r="N1035" i="1"/>
  <c r="M1036" i="1"/>
  <c r="N1036" i="1"/>
  <c r="M1037" i="1"/>
  <c r="N1037" i="1"/>
  <c r="M1038" i="1"/>
  <c r="N1038" i="1"/>
  <c r="M1039" i="1"/>
  <c r="N1039" i="1"/>
  <c r="M1040" i="1"/>
  <c r="N1040" i="1"/>
  <c r="M1041" i="1"/>
  <c r="N1041" i="1"/>
  <c r="M1042" i="1"/>
  <c r="N1042" i="1"/>
  <c r="M1043" i="1"/>
  <c r="N1043" i="1"/>
  <c r="M1044" i="1"/>
  <c r="N1044" i="1"/>
  <c r="M1045" i="1"/>
  <c r="N1045" i="1"/>
  <c r="M1046" i="1"/>
  <c r="N1046" i="1"/>
  <c r="M1047" i="1"/>
  <c r="N1047" i="1"/>
  <c r="M1048" i="1"/>
  <c r="N1048" i="1"/>
  <c r="M1049" i="1"/>
  <c r="N1049" i="1"/>
  <c r="M1050" i="1"/>
  <c r="N1050" i="1"/>
  <c r="M1051" i="1"/>
  <c r="N1051" i="1"/>
  <c r="M1052" i="1"/>
  <c r="N1052" i="1"/>
  <c r="M1053" i="1"/>
  <c r="N1053" i="1"/>
  <c r="M1054" i="1"/>
  <c r="N1054" i="1"/>
  <c r="M1055" i="1"/>
  <c r="N1055" i="1"/>
  <c r="M1056" i="1"/>
  <c r="N1056" i="1"/>
  <c r="M1057" i="1"/>
  <c r="N1057" i="1"/>
  <c r="M1058" i="1"/>
  <c r="N1058" i="1"/>
  <c r="M1059" i="1"/>
  <c r="N1059" i="1"/>
  <c r="M1060" i="1"/>
  <c r="N1060" i="1"/>
  <c r="M1061" i="1"/>
  <c r="N1061" i="1"/>
  <c r="M1062" i="1"/>
  <c r="N1062" i="1"/>
  <c r="M1063" i="1"/>
  <c r="N1063" i="1"/>
  <c r="M1064" i="1"/>
  <c r="N1064" i="1"/>
  <c r="M1065" i="1"/>
  <c r="N1065" i="1"/>
  <c r="M1066" i="1"/>
  <c r="N1066" i="1"/>
  <c r="M1067" i="1"/>
  <c r="N1067" i="1"/>
  <c r="M1068" i="1"/>
  <c r="N1068" i="1"/>
  <c r="M1069" i="1"/>
  <c r="N1069" i="1"/>
  <c r="M1070" i="1"/>
  <c r="N1070" i="1"/>
  <c r="M1071" i="1"/>
  <c r="N1071" i="1"/>
  <c r="M1072" i="1"/>
  <c r="N1072" i="1"/>
  <c r="M1073" i="1"/>
  <c r="N1073" i="1"/>
  <c r="M1074" i="1"/>
  <c r="N1074" i="1"/>
  <c r="M1075" i="1"/>
  <c r="N1075" i="1"/>
  <c r="M1076" i="1"/>
  <c r="N1076" i="1"/>
  <c r="M1077" i="1"/>
  <c r="N1077" i="1"/>
  <c r="M1078" i="1"/>
  <c r="N1078" i="1"/>
  <c r="M1079" i="1"/>
  <c r="N1079" i="1"/>
  <c r="M1080" i="1"/>
  <c r="N1080" i="1"/>
  <c r="M1081" i="1"/>
  <c r="N1081" i="1"/>
  <c r="M1082" i="1"/>
  <c r="N1082" i="1"/>
  <c r="M1083" i="1"/>
  <c r="N1083" i="1"/>
  <c r="M1084" i="1"/>
  <c r="N1084" i="1"/>
  <c r="M1085" i="1"/>
  <c r="N1085" i="1"/>
  <c r="M1086" i="1"/>
  <c r="N1086" i="1"/>
  <c r="M1087" i="1"/>
  <c r="N1087" i="1"/>
  <c r="M1088" i="1"/>
  <c r="N1088" i="1"/>
  <c r="M1089" i="1"/>
  <c r="N1089" i="1"/>
  <c r="M1090" i="1"/>
  <c r="N1090" i="1"/>
  <c r="M1091" i="1"/>
  <c r="N1091" i="1"/>
  <c r="M1092" i="1"/>
  <c r="N1092" i="1"/>
  <c r="M1093" i="1"/>
  <c r="N1093" i="1"/>
  <c r="M1094" i="1"/>
  <c r="N1094" i="1"/>
  <c r="M1095" i="1"/>
  <c r="N1095" i="1"/>
  <c r="M1096" i="1"/>
  <c r="N1096" i="1"/>
  <c r="M1097" i="1"/>
  <c r="N1097" i="1"/>
  <c r="M1098" i="1"/>
  <c r="N1098" i="1"/>
  <c r="M1099" i="1"/>
  <c r="N1099" i="1"/>
  <c r="M1100" i="1"/>
  <c r="N1100" i="1"/>
  <c r="M1101" i="1"/>
  <c r="N1101" i="1"/>
  <c r="M1102" i="1"/>
  <c r="N1102" i="1"/>
  <c r="M1103" i="1"/>
  <c r="N1103" i="1"/>
  <c r="M1104" i="1"/>
  <c r="N1104" i="1"/>
  <c r="M1105" i="1"/>
  <c r="N1105" i="1"/>
  <c r="M1106" i="1"/>
  <c r="N1106" i="1"/>
  <c r="M1107" i="1"/>
  <c r="N1107" i="1"/>
  <c r="M1108" i="1"/>
  <c r="N1108" i="1"/>
  <c r="M1109" i="1"/>
  <c r="N1109" i="1"/>
  <c r="M1110" i="1"/>
  <c r="N1110" i="1"/>
  <c r="M1111" i="1"/>
  <c r="N1111" i="1"/>
  <c r="M1112" i="1"/>
  <c r="N1112" i="1"/>
  <c r="M1113" i="1"/>
  <c r="N1113" i="1"/>
  <c r="M1114" i="1"/>
  <c r="N1114" i="1"/>
  <c r="M1115" i="1"/>
  <c r="N1115" i="1"/>
  <c r="M1116" i="1"/>
  <c r="N1116" i="1"/>
  <c r="M1117" i="1"/>
  <c r="N1117" i="1"/>
  <c r="M1118" i="1"/>
  <c r="N1118" i="1"/>
  <c r="M1119" i="1"/>
  <c r="N1119" i="1"/>
  <c r="M1120" i="1"/>
  <c r="N1120" i="1"/>
  <c r="M1121" i="1"/>
  <c r="N1121" i="1"/>
  <c r="M1122" i="1"/>
  <c r="N1122" i="1"/>
  <c r="M1123" i="1"/>
  <c r="N1123" i="1"/>
  <c r="M1124" i="1"/>
  <c r="N1124" i="1"/>
  <c r="M1125" i="1"/>
  <c r="N1125" i="1"/>
  <c r="M1126" i="1"/>
  <c r="N1126" i="1"/>
  <c r="M1127" i="1"/>
  <c r="N1127" i="1"/>
  <c r="M1128" i="1"/>
  <c r="N1128" i="1"/>
  <c r="M1129" i="1"/>
  <c r="N1129" i="1"/>
  <c r="M1130" i="1"/>
  <c r="N1130" i="1"/>
  <c r="M1131" i="1"/>
  <c r="N1131" i="1"/>
  <c r="M1132" i="1"/>
  <c r="N1132" i="1"/>
  <c r="M1133" i="1"/>
  <c r="N1133" i="1"/>
  <c r="M1134" i="1"/>
  <c r="N1134" i="1"/>
  <c r="M1135" i="1"/>
  <c r="N1135" i="1"/>
  <c r="M1136" i="1"/>
  <c r="N1136" i="1"/>
  <c r="M1137" i="1"/>
  <c r="N1137" i="1"/>
  <c r="M1138" i="1"/>
  <c r="N1138" i="1"/>
  <c r="M1139" i="1"/>
  <c r="N1139" i="1"/>
  <c r="M1140" i="1"/>
  <c r="N1140" i="1"/>
  <c r="M1141" i="1"/>
  <c r="N1141" i="1"/>
  <c r="M1142" i="1"/>
  <c r="N1142" i="1"/>
  <c r="M1143" i="1"/>
  <c r="N1143" i="1"/>
  <c r="M1144" i="1"/>
  <c r="N1144" i="1"/>
  <c r="M1145" i="1"/>
  <c r="N1145" i="1"/>
  <c r="M1146" i="1"/>
  <c r="N1146" i="1"/>
  <c r="M1147" i="1"/>
  <c r="N1147" i="1"/>
  <c r="M1148" i="1"/>
  <c r="N1148" i="1"/>
  <c r="M1149" i="1"/>
  <c r="N1149" i="1"/>
  <c r="M1150" i="1"/>
  <c r="N1150" i="1"/>
  <c r="M1151" i="1"/>
  <c r="N1151" i="1"/>
  <c r="M1152" i="1"/>
  <c r="N1152" i="1"/>
  <c r="M1153" i="1"/>
  <c r="N1153" i="1"/>
  <c r="M1154" i="1"/>
  <c r="N1154" i="1"/>
  <c r="M1155" i="1"/>
  <c r="N1155" i="1"/>
  <c r="M1156" i="1"/>
  <c r="N1156" i="1"/>
  <c r="M1157" i="1"/>
  <c r="N1157" i="1"/>
  <c r="M1158" i="1"/>
  <c r="N1158" i="1"/>
  <c r="M1159" i="1"/>
  <c r="N1159" i="1"/>
  <c r="M1160" i="1"/>
  <c r="N1160" i="1"/>
  <c r="M1161" i="1"/>
  <c r="N1161" i="1"/>
  <c r="M1162" i="1"/>
  <c r="N1162" i="1"/>
  <c r="M1163" i="1"/>
  <c r="N1163" i="1"/>
  <c r="M1164" i="1"/>
  <c r="N1164" i="1"/>
  <c r="M1165" i="1"/>
  <c r="N1165" i="1"/>
  <c r="M1166" i="1"/>
  <c r="N1166" i="1"/>
  <c r="M1167" i="1"/>
  <c r="N1167" i="1"/>
  <c r="M1168" i="1"/>
  <c r="N1168" i="1"/>
  <c r="M1169" i="1"/>
  <c r="N1169" i="1"/>
  <c r="M1170" i="1"/>
  <c r="N1170" i="1"/>
  <c r="M1171" i="1"/>
  <c r="N1171" i="1"/>
  <c r="M1172" i="1"/>
  <c r="N1172" i="1"/>
  <c r="M1173" i="1"/>
  <c r="N1173" i="1"/>
  <c r="M1174" i="1"/>
  <c r="N1174" i="1"/>
  <c r="M1175" i="1"/>
  <c r="N1175" i="1"/>
  <c r="M1176" i="1"/>
  <c r="N1176" i="1"/>
  <c r="M1177" i="1"/>
  <c r="N1177" i="1"/>
  <c r="M1178" i="1"/>
  <c r="N1178" i="1"/>
  <c r="M1179" i="1"/>
  <c r="N1179" i="1"/>
  <c r="M1180" i="1"/>
  <c r="N1180" i="1"/>
  <c r="M1181" i="1"/>
  <c r="N1181" i="1"/>
  <c r="M1182" i="1"/>
  <c r="N1182" i="1"/>
  <c r="M1183" i="1"/>
  <c r="N1183" i="1"/>
  <c r="M1184" i="1"/>
  <c r="N1184" i="1"/>
  <c r="M1185" i="1"/>
  <c r="N1185" i="1"/>
  <c r="M1186" i="1"/>
  <c r="N1186" i="1"/>
  <c r="M1187" i="1"/>
  <c r="N1187" i="1"/>
  <c r="M1188" i="1"/>
  <c r="N1188" i="1"/>
  <c r="M1189" i="1"/>
  <c r="N1189" i="1"/>
  <c r="M1190" i="1"/>
  <c r="N1190" i="1"/>
  <c r="M1191" i="1"/>
  <c r="N1191" i="1"/>
  <c r="M1192" i="1"/>
  <c r="N1192" i="1"/>
  <c r="M1193" i="1"/>
  <c r="N1193" i="1"/>
  <c r="M1194" i="1"/>
  <c r="N1194" i="1"/>
  <c r="M1195" i="1"/>
  <c r="N1195" i="1"/>
  <c r="M1196" i="1"/>
  <c r="N1196" i="1"/>
  <c r="M1197" i="1"/>
  <c r="N1197" i="1"/>
  <c r="M1198" i="1"/>
  <c r="N1198" i="1"/>
  <c r="M1199" i="1"/>
  <c r="N1199" i="1"/>
  <c r="M1200" i="1"/>
  <c r="N1200" i="1"/>
  <c r="M1201" i="1"/>
  <c r="N1201" i="1"/>
  <c r="M1202" i="1"/>
  <c r="N1202" i="1"/>
  <c r="M1203" i="1"/>
  <c r="N1203" i="1"/>
  <c r="M1204" i="1"/>
  <c r="N1204" i="1"/>
  <c r="M1205" i="1"/>
  <c r="N1205" i="1"/>
  <c r="M1206" i="1"/>
  <c r="N1206" i="1"/>
  <c r="M1207" i="1"/>
  <c r="N1207" i="1"/>
  <c r="M1208" i="1"/>
  <c r="N1208" i="1"/>
  <c r="M1209" i="1"/>
  <c r="N1209" i="1"/>
  <c r="M1210" i="1"/>
  <c r="N1210" i="1"/>
  <c r="M1211" i="1"/>
  <c r="N1211" i="1"/>
  <c r="M1212" i="1"/>
  <c r="N1212" i="1"/>
  <c r="M1213" i="1"/>
  <c r="N1213" i="1"/>
  <c r="M1214" i="1"/>
  <c r="N1214" i="1"/>
  <c r="M1215" i="1"/>
  <c r="N1215" i="1"/>
  <c r="M1216" i="1"/>
  <c r="N1216" i="1"/>
  <c r="M1217" i="1"/>
  <c r="N1217" i="1"/>
  <c r="M1218" i="1"/>
  <c r="N1218" i="1"/>
  <c r="M1219" i="1"/>
  <c r="N1219" i="1"/>
  <c r="M1220" i="1"/>
  <c r="N1220" i="1"/>
  <c r="M1221" i="1"/>
  <c r="N1221" i="1"/>
  <c r="M1222" i="1"/>
  <c r="N1222" i="1"/>
  <c r="M1223" i="1"/>
  <c r="N1223" i="1"/>
  <c r="M1224" i="1"/>
  <c r="N1224" i="1"/>
  <c r="M1225" i="1"/>
  <c r="N1225" i="1"/>
  <c r="M1226" i="1"/>
  <c r="N1226" i="1"/>
  <c r="M1227" i="1"/>
  <c r="N1227" i="1"/>
  <c r="M1228" i="1"/>
  <c r="N1228" i="1"/>
  <c r="M1229" i="1"/>
  <c r="N1229" i="1"/>
  <c r="M1230" i="1"/>
  <c r="N1230" i="1"/>
  <c r="M1231" i="1"/>
  <c r="N1231" i="1"/>
  <c r="M1232" i="1"/>
  <c r="N1232" i="1"/>
  <c r="M1233" i="1"/>
  <c r="N1233" i="1"/>
  <c r="M1234" i="1"/>
  <c r="N1234" i="1"/>
  <c r="M1235" i="1"/>
  <c r="N1235" i="1"/>
  <c r="M1236" i="1"/>
  <c r="N1236" i="1"/>
  <c r="M1237" i="1"/>
  <c r="N1237" i="1"/>
  <c r="M1238" i="1"/>
  <c r="N1238" i="1"/>
  <c r="M1239" i="1"/>
  <c r="N1239" i="1"/>
  <c r="M1240" i="1"/>
  <c r="N1240" i="1"/>
  <c r="M1241" i="1"/>
  <c r="N1241" i="1"/>
  <c r="M1242" i="1"/>
  <c r="N1242" i="1"/>
  <c r="M1243" i="1"/>
  <c r="N1243" i="1"/>
  <c r="M1244" i="1"/>
  <c r="N1244" i="1"/>
  <c r="M1245" i="1"/>
  <c r="N1245" i="1"/>
  <c r="M1246" i="1"/>
  <c r="N1246" i="1"/>
  <c r="M1247" i="1"/>
  <c r="N1247" i="1"/>
  <c r="M1248" i="1"/>
  <c r="N1248" i="1"/>
  <c r="M1249" i="1"/>
  <c r="N1249" i="1"/>
  <c r="M1250" i="1"/>
  <c r="N1250" i="1"/>
  <c r="M1251" i="1"/>
  <c r="N1251" i="1"/>
  <c r="M1252" i="1"/>
  <c r="N1252" i="1"/>
  <c r="M1253" i="1"/>
  <c r="N1253" i="1"/>
  <c r="M1254" i="1"/>
  <c r="N1254" i="1"/>
  <c r="M1255" i="1"/>
  <c r="N1255" i="1"/>
  <c r="M1256" i="1"/>
  <c r="N1256" i="1"/>
  <c r="M1257" i="1"/>
  <c r="N1257" i="1"/>
  <c r="M1258" i="1"/>
  <c r="N1258" i="1"/>
  <c r="M1259" i="1"/>
  <c r="N1259" i="1"/>
  <c r="M1260" i="1"/>
  <c r="N1260" i="1"/>
  <c r="M1261" i="1"/>
  <c r="N1261" i="1"/>
  <c r="M1262" i="1"/>
  <c r="N1262" i="1"/>
  <c r="M1263" i="1"/>
  <c r="N1263" i="1"/>
  <c r="M1264" i="1"/>
  <c r="N1264" i="1"/>
  <c r="M1265" i="1"/>
  <c r="N1265" i="1"/>
  <c r="M1266" i="1"/>
  <c r="N1266" i="1"/>
  <c r="M1267" i="1"/>
  <c r="N1267" i="1"/>
  <c r="M1268" i="1"/>
  <c r="N1268" i="1"/>
  <c r="M1269" i="1"/>
  <c r="N1269" i="1"/>
  <c r="M1270" i="1"/>
  <c r="N1270" i="1"/>
  <c r="M1271" i="1"/>
  <c r="N1271" i="1"/>
  <c r="M1272" i="1"/>
  <c r="N1272" i="1"/>
  <c r="M1273" i="1"/>
  <c r="N1273" i="1"/>
  <c r="M1274" i="1"/>
  <c r="N1274" i="1"/>
  <c r="M1275" i="1"/>
  <c r="N1275" i="1"/>
  <c r="M1276" i="1"/>
  <c r="N1276" i="1"/>
  <c r="M1277" i="1"/>
  <c r="N1277" i="1"/>
  <c r="M1278" i="1"/>
  <c r="N1278" i="1"/>
  <c r="M1279" i="1"/>
  <c r="N1279" i="1"/>
  <c r="M1280" i="1"/>
  <c r="N1280" i="1"/>
  <c r="M1281" i="1"/>
  <c r="N1281" i="1"/>
  <c r="M1282" i="1"/>
  <c r="N1282" i="1"/>
  <c r="M1283" i="1"/>
  <c r="N1283" i="1"/>
  <c r="M1284" i="1"/>
  <c r="N1284" i="1"/>
  <c r="M1285" i="1"/>
  <c r="N1285" i="1"/>
  <c r="M1286" i="1"/>
  <c r="N1286" i="1"/>
  <c r="M1287" i="1"/>
  <c r="N1287" i="1"/>
  <c r="M1288" i="1"/>
  <c r="N1288" i="1"/>
  <c r="M1289" i="1"/>
  <c r="N1289" i="1"/>
  <c r="M1290" i="1"/>
  <c r="N1290" i="1"/>
  <c r="M1291" i="1"/>
  <c r="N1291" i="1"/>
  <c r="M1292" i="1"/>
  <c r="N1292" i="1"/>
  <c r="M1293" i="1"/>
  <c r="N1293" i="1"/>
  <c r="M1294" i="1"/>
  <c r="N1294" i="1"/>
  <c r="M1295" i="1"/>
  <c r="N1295" i="1"/>
  <c r="M1296" i="1"/>
  <c r="N1296" i="1"/>
  <c r="M1297" i="1"/>
  <c r="N1297" i="1"/>
  <c r="M1298" i="1"/>
  <c r="N1298" i="1"/>
  <c r="M1299" i="1"/>
  <c r="N1299" i="1"/>
  <c r="M1300" i="1"/>
  <c r="N1300" i="1"/>
  <c r="M1301" i="1"/>
  <c r="N1301" i="1"/>
  <c r="M1302" i="1"/>
  <c r="N1302" i="1"/>
  <c r="M1303" i="1"/>
  <c r="N1303" i="1"/>
  <c r="M1304" i="1"/>
  <c r="N1304" i="1"/>
  <c r="M1305" i="1"/>
  <c r="N1305" i="1"/>
  <c r="M1306" i="1"/>
  <c r="N1306" i="1"/>
  <c r="M1307" i="1"/>
  <c r="N1307" i="1"/>
  <c r="M1308" i="1"/>
  <c r="N1308" i="1"/>
  <c r="M1309" i="1"/>
  <c r="N1309" i="1"/>
  <c r="M1310" i="1"/>
  <c r="N1310" i="1"/>
  <c r="M1311" i="1"/>
  <c r="N1311" i="1"/>
  <c r="M1312" i="1"/>
  <c r="N1312" i="1"/>
  <c r="M1313" i="1"/>
  <c r="N1313" i="1"/>
  <c r="M1314" i="1"/>
  <c r="N1314" i="1"/>
  <c r="M1315" i="1"/>
  <c r="N1315" i="1"/>
  <c r="M1316" i="1"/>
  <c r="N1316" i="1"/>
  <c r="M1317" i="1"/>
  <c r="N1317" i="1"/>
  <c r="M1318" i="1"/>
  <c r="N1318" i="1"/>
  <c r="M1319" i="1"/>
  <c r="N1319" i="1"/>
  <c r="M1320" i="1"/>
  <c r="N1320" i="1"/>
  <c r="M1321" i="1"/>
  <c r="N1321" i="1"/>
  <c r="M1322" i="1"/>
  <c r="N1322" i="1"/>
  <c r="M1323" i="1"/>
  <c r="N1323" i="1"/>
  <c r="M1324" i="1"/>
  <c r="N1324" i="1"/>
  <c r="M1325" i="1"/>
  <c r="N1325" i="1"/>
  <c r="M1326" i="1"/>
  <c r="N1326" i="1"/>
  <c r="M1327" i="1"/>
  <c r="N1327" i="1"/>
  <c r="M1328" i="1"/>
  <c r="N1328" i="1"/>
  <c r="M1329" i="1"/>
  <c r="N1329" i="1"/>
  <c r="M1330" i="1"/>
  <c r="N1330" i="1"/>
  <c r="M1331" i="1"/>
  <c r="N1331" i="1"/>
  <c r="M1332" i="1"/>
  <c r="N1332" i="1"/>
  <c r="M1333" i="1"/>
  <c r="N1333" i="1"/>
  <c r="M1334" i="1"/>
  <c r="N1334" i="1"/>
  <c r="M1335" i="1"/>
  <c r="N1335" i="1"/>
  <c r="M1336" i="1"/>
  <c r="N1336" i="1"/>
  <c r="M1337" i="1"/>
  <c r="N1337" i="1"/>
  <c r="M1338" i="1"/>
  <c r="N1338" i="1"/>
  <c r="M1339" i="1"/>
  <c r="N1339" i="1"/>
  <c r="M1340" i="1"/>
  <c r="N1340" i="1"/>
  <c r="M1341" i="1"/>
  <c r="N1341" i="1"/>
  <c r="M1342" i="1"/>
  <c r="N1342" i="1"/>
  <c r="M1343" i="1"/>
  <c r="N1343" i="1"/>
  <c r="M1344" i="1"/>
  <c r="N1344" i="1"/>
  <c r="M1345" i="1"/>
  <c r="N1345" i="1"/>
  <c r="M1346" i="1"/>
  <c r="N1346" i="1"/>
  <c r="M1347" i="1"/>
  <c r="N1347" i="1"/>
  <c r="M1348" i="1"/>
  <c r="N1348" i="1"/>
  <c r="M1349" i="1"/>
  <c r="N1349" i="1"/>
  <c r="M1350" i="1"/>
  <c r="N1350" i="1"/>
  <c r="M1351" i="1"/>
  <c r="N1351" i="1"/>
  <c r="M1352" i="1"/>
  <c r="N1352" i="1"/>
  <c r="M1353" i="1"/>
  <c r="N1353" i="1"/>
  <c r="M1354" i="1"/>
  <c r="N1354" i="1"/>
  <c r="M1355" i="1"/>
  <c r="N1355" i="1"/>
  <c r="M1356" i="1"/>
  <c r="N1356" i="1"/>
  <c r="M1357" i="1"/>
  <c r="N1357" i="1"/>
  <c r="M1358" i="1"/>
  <c r="N1358" i="1"/>
  <c r="M1359" i="1"/>
  <c r="N1359" i="1"/>
  <c r="M1360" i="1"/>
  <c r="N1360" i="1"/>
  <c r="M1361" i="1"/>
  <c r="N1361" i="1"/>
  <c r="M1362" i="1"/>
  <c r="N1362" i="1"/>
  <c r="M1363" i="1"/>
  <c r="N1363" i="1"/>
  <c r="M1364" i="1"/>
  <c r="N1364" i="1"/>
  <c r="M1365" i="1"/>
  <c r="N1365" i="1"/>
  <c r="M1366" i="1"/>
  <c r="N1366" i="1"/>
  <c r="M1367" i="1"/>
  <c r="N1367" i="1"/>
  <c r="M1368" i="1"/>
  <c r="N1368" i="1"/>
  <c r="M1369" i="1"/>
  <c r="N1369" i="1"/>
  <c r="M1370" i="1"/>
  <c r="N1370" i="1"/>
  <c r="M1371" i="1"/>
  <c r="N1371" i="1"/>
  <c r="M1372" i="1"/>
  <c r="N1372" i="1"/>
  <c r="M1373" i="1"/>
  <c r="N1373" i="1"/>
  <c r="M1374" i="1"/>
  <c r="N1374" i="1"/>
  <c r="M1375" i="1"/>
  <c r="N1375" i="1"/>
  <c r="M1376" i="1"/>
  <c r="N1376" i="1"/>
  <c r="M1377" i="1"/>
  <c r="N1377" i="1"/>
  <c r="M1378" i="1"/>
  <c r="N1378" i="1"/>
  <c r="M1379" i="1"/>
  <c r="N1379" i="1"/>
  <c r="M1380" i="1"/>
  <c r="N1380" i="1"/>
  <c r="M1381" i="1"/>
  <c r="N1381" i="1"/>
  <c r="M1382" i="1"/>
  <c r="N1382" i="1"/>
  <c r="M1383" i="1"/>
  <c r="N1383" i="1"/>
  <c r="M1384" i="1"/>
  <c r="N1384" i="1"/>
  <c r="M1385" i="1"/>
  <c r="N1385" i="1"/>
  <c r="M1386" i="1"/>
  <c r="N1386" i="1"/>
  <c r="M1387" i="1"/>
  <c r="N1387" i="1"/>
  <c r="M1388" i="1"/>
  <c r="N1388" i="1"/>
  <c r="M1389" i="1"/>
  <c r="N1389" i="1"/>
  <c r="M1390" i="1"/>
  <c r="N1390" i="1"/>
  <c r="M1391" i="1"/>
  <c r="N1391" i="1"/>
  <c r="M1392" i="1"/>
  <c r="N1392" i="1"/>
  <c r="M1393" i="1"/>
  <c r="N1393" i="1"/>
  <c r="M1394" i="1"/>
  <c r="N1394" i="1"/>
  <c r="M1395" i="1"/>
  <c r="N1395" i="1"/>
  <c r="M1396" i="1"/>
  <c r="N1396" i="1"/>
  <c r="M1397" i="1"/>
  <c r="N1397" i="1"/>
  <c r="M1398" i="1"/>
  <c r="N1398" i="1"/>
  <c r="M1399" i="1"/>
  <c r="N1399" i="1"/>
  <c r="M1400" i="1"/>
  <c r="N1400" i="1"/>
  <c r="M1401" i="1"/>
  <c r="N1401" i="1"/>
  <c r="M1402" i="1"/>
  <c r="N1402" i="1"/>
  <c r="M1403" i="1"/>
  <c r="N1403" i="1"/>
  <c r="M1404" i="1"/>
  <c r="N1404" i="1"/>
  <c r="M1405" i="1"/>
  <c r="N1405" i="1"/>
  <c r="M1406" i="1"/>
  <c r="N1406" i="1"/>
  <c r="M1407" i="1"/>
  <c r="N1407" i="1"/>
  <c r="M1408" i="1"/>
  <c r="N1408" i="1"/>
  <c r="M1409" i="1"/>
  <c r="N1409" i="1"/>
  <c r="M1410" i="1"/>
  <c r="N1410" i="1"/>
  <c r="M1411" i="1"/>
  <c r="N1411" i="1"/>
  <c r="M1412" i="1"/>
  <c r="N1412" i="1"/>
  <c r="M1413" i="1"/>
  <c r="N1413" i="1"/>
  <c r="M1414" i="1"/>
  <c r="N1414" i="1"/>
  <c r="M1415" i="1"/>
  <c r="N1415" i="1"/>
  <c r="M1416" i="1"/>
  <c r="N1416" i="1"/>
  <c r="M1417" i="1"/>
  <c r="N1417" i="1"/>
  <c r="M1418" i="1"/>
  <c r="N1418" i="1"/>
  <c r="M1419" i="1"/>
  <c r="N1419" i="1"/>
  <c r="M1420" i="1"/>
  <c r="N1420" i="1"/>
  <c r="M1421" i="1"/>
  <c r="N1421" i="1"/>
  <c r="M1422" i="1"/>
  <c r="N1422" i="1"/>
  <c r="M1423" i="1"/>
  <c r="N1423" i="1"/>
  <c r="M1424" i="1"/>
  <c r="N1424" i="1"/>
  <c r="M1425" i="1"/>
  <c r="N1425" i="1"/>
  <c r="M1426" i="1"/>
  <c r="N1426" i="1"/>
  <c r="M1427" i="1"/>
  <c r="N1427" i="1"/>
  <c r="M1428" i="1"/>
  <c r="N1428" i="1"/>
  <c r="M1429" i="1"/>
  <c r="N1429" i="1"/>
  <c r="M1430" i="1"/>
  <c r="N1430" i="1"/>
  <c r="M1431" i="1"/>
  <c r="N1431" i="1"/>
  <c r="M1432" i="1"/>
  <c r="N1432" i="1"/>
  <c r="M1433" i="1"/>
  <c r="N1433" i="1"/>
  <c r="M1434" i="1"/>
  <c r="N1434" i="1"/>
  <c r="M1435" i="1"/>
  <c r="N1435" i="1"/>
  <c r="M1436" i="1"/>
  <c r="N1436" i="1"/>
  <c r="M1437" i="1"/>
  <c r="N1437" i="1"/>
  <c r="M1438" i="1"/>
  <c r="N1438" i="1"/>
  <c r="M1439" i="1"/>
  <c r="N1439" i="1"/>
  <c r="M1440" i="1"/>
  <c r="N1440" i="1"/>
  <c r="M1441" i="1"/>
  <c r="N1441" i="1"/>
  <c r="M1442" i="1"/>
  <c r="N1442" i="1"/>
  <c r="M1443" i="1"/>
  <c r="N1443" i="1"/>
  <c r="M1444" i="1"/>
  <c r="N1444" i="1"/>
  <c r="M1445" i="1"/>
  <c r="N1445" i="1"/>
  <c r="M1446" i="1"/>
  <c r="N1446" i="1"/>
  <c r="M1447" i="1"/>
  <c r="N1447" i="1"/>
  <c r="M1448" i="1"/>
  <c r="N1448" i="1"/>
  <c r="M1449" i="1"/>
  <c r="N1449" i="1"/>
  <c r="M1450" i="1"/>
  <c r="N1450" i="1"/>
  <c r="M1451" i="1"/>
  <c r="N1451" i="1"/>
  <c r="M1452" i="1"/>
  <c r="N1452" i="1"/>
  <c r="M1453" i="1"/>
  <c r="N1453" i="1"/>
  <c r="M1454" i="1"/>
  <c r="N1454" i="1"/>
  <c r="M1455" i="1"/>
  <c r="N1455" i="1"/>
  <c r="M1456" i="1"/>
  <c r="N1456" i="1"/>
  <c r="M1457" i="1"/>
  <c r="N1457" i="1"/>
  <c r="M1458" i="1"/>
  <c r="N1458" i="1"/>
  <c r="M1459" i="1"/>
  <c r="N1459" i="1"/>
  <c r="M1460" i="1"/>
  <c r="N1460" i="1"/>
  <c r="M1461" i="1"/>
  <c r="N1461" i="1"/>
  <c r="M1462" i="1"/>
  <c r="N1462" i="1"/>
  <c r="M1463" i="1"/>
  <c r="N1463" i="1"/>
  <c r="M1464" i="1"/>
  <c r="N1464" i="1"/>
  <c r="M1465" i="1"/>
  <c r="N1465" i="1"/>
  <c r="M1466" i="1"/>
  <c r="N1466" i="1"/>
  <c r="M1467" i="1"/>
  <c r="N1467" i="1"/>
  <c r="M1468" i="1"/>
  <c r="N1468" i="1"/>
  <c r="M1469" i="1"/>
  <c r="N1469" i="1"/>
  <c r="M1470" i="1"/>
  <c r="N1470" i="1"/>
  <c r="M1471" i="1"/>
  <c r="N1471" i="1"/>
  <c r="M1472" i="1"/>
  <c r="N1472" i="1"/>
  <c r="M1473" i="1"/>
  <c r="N1473" i="1"/>
  <c r="M1474" i="1"/>
  <c r="N1474" i="1"/>
  <c r="M1475" i="1"/>
  <c r="N1475" i="1"/>
  <c r="M1476" i="1"/>
  <c r="N1476" i="1"/>
  <c r="M1477" i="1"/>
  <c r="N1477" i="1"/>
  <c r="M1478" i="1"/>
  <c r="N1478" i="1"/>
  <c r="M1479" i="1"/>
  <c r="N1479" i="1"/>
  <c r="M1480" i="1"/>
  <c r="N1480" i="1"/>
  <c r="M1481" i="1"/>
  <c r="N1481" i="1"/>
  <c r="M1482" i="1"/>
  <c r="N1482" i="1"/>
  <c r="M1483" i="1"/>
  <c r="N1483" i="1"/>
  <c r="M1484" i="1"/>
  <c r="N1484" i="1"/>
  <c r="M1485" i="1"/>
  <c r="N1485" i="1"/>
  <c r="M1486" i="1"/>
  <c r="N1486" i="1"/>
  <c r="M1487" i="1"/>
  <c r="N1487" i="1"/>
  <c r="M1488" i="1"/>
  <c r="N1488" i="1"/>
  <c r="M1489" i="1"/>
  <c r="N1489" i="1"/>
  <c r="M1490" i="1"/>
  <c r="N1490" i="1"/>
  <c r="M1491" i="1"/>
  <c r="N1491" i="1"/>
  <c r="M1492" i="1"/>
  <c r="N1492" i="1"/>
  <c r="M1493" i="1"/>
  <c r="N1493" i="1"/>
  <c r="M1494" i="1"/>
  <c r="N1494" i="1"/>
  <c r="M1495" i="1"/>
  <c r="N1495" i="1"/>
  <c r="M1496" i="1"/>
  <c r="N1496" i="1"/>
  <c r="M1497" i="1"/>
  <c r="N1497" i="1"/>
  <c r="M1498" i="1"/>
  <c r="N1498" i="1"/>
  <c r="M1499" i="1"/>
  <c r="N1499" i="1"/>
  <c r="M1500" i="1"/>
  <c r="N1500" i="1"/>
  <c r="M1501" i="1"/>
  <c r="N1501" i="1"/>
  <c r="M1502" i="1"/>
  <c r="N1502" i="1"/>
  <c r="M1503" i="1"/>
  <c r="N1503" i="1"/>
  <c r="M1504" i="1"/>
  <c r="N1504" i="1"/>
  <c r="M1505" i="1"/>
  <c r="N1505" i="1"/>
  <c r="M1506" i="1"/>
  <c r="N1506" i="1"/>
  <c r="M1507" i="1"/>
  <c r="N1507" i="1"/>
  <c r="M1508" i="1"/>
  <c r="N1508" i="1"/>
  <c r="M1509" i="1"/>
  <c r="N1509" i="1"/>
  <c r="M1510" i="1"/>
  <c r="N1510" i="1"/>
  <c r="M1511" i="1"/>
  <c r="N1511" i="1"/>
  <c r="M1512" i="1"/>
  <c r="N1512" i="1"/>
  <c r="M1513" i="1"/>
  <c r="N1513" i="1"/>
  <c r="M1514" i="1"/>
  <c r="N1514" i="1"/>
  <c r="M1515" i="1"/>
  <c r="N1515" i="1"/>
  <c r="M1516" i="1"/>
  <c r="N1516" i="1"/>
  <c r="M1517" i="1"/>
  <c r="N1517" i="1"/>
  <c r="M1518" i="1"/>
  <c r="N1518" i="1"/>
  <c r="M1519" i="1"/>
  <c r="N1519" i="1"/>
  <c r="M1520" i="1"/>
  <c r="N1520" i="1"/>
  <c r="M1521" i="1"/>
  <c r="N1521" i="1"/>
  <c r="M1522" i="1"/>
  <c r="N1522" i="1"/>
  <c r="M1523" i="1"/>
  <c r="N1523" i="1"/>
  <c r="M1524" i="1"/>
  <c r="N1524" i="1"/>
  <c r="M1525" i="1"/>
  <c r="N1525" i="1"/>
  <c r="M1526" i="1"/>
  <c r="N1526" i="1"/>
  <c r="M1527" i="1"/>
  <c r="N1527" i="1"/>
  <c r="M1528" i="1"/>
  <c r="N1528" i="1"/>
  <c r="M1529" i="1"/>
  <c r="N1529" i="1"/>
  <c r="M1530" i="1"/>
  <c r="N1530" i="1"/>
  <c r="M1531" i="1"/>
  <c r="N1531" i="1"/>
  <c r="M1532" i="1"/>
  <c r="N1532" i="1"/>
  <c r="M1533" i="1"/>
  <c r="N1533" i="1"/>
  <c r="M1534" i="1"/>
  <c r="N1534" i="1"/>
  <c r="M1535" i="1"/>
  <c r="N1535" i="1"/>
  <c r="M1536" i="1"/>
  <c r="N1536" i="1"/>
  <c r="M1537" i="1"/>
  <c r="N1537" i="1"/>
  <c r="M1538" i="1"/>
  <c r="N1538" i="1"/>
  <c r="M1539" i="1"/>
  <c r="N1539" i="1"/>
  <c r="M1540" i="1"/>
  <c r="N1540" i="1"/>
  <c r="M1541" i="1"/>
  <c r="N1541" i="1"/>
  <c r="M1542" i="1"/>
  <c r="N1542" i="1"/>
  <c r="M1543" i="1"/>
  <c r="N1543" i="1"/>
  <c r="M1544" i="1"/>
  <c r="N1544" i="1"/>
  <c r="M1545" i="1"/>
  <c r="N1545" i="1"/>
  <c r="M1546" i="1"/>
  <c r="N1546" i="1"/>
  <c r="M1547" i="1"/>
  <c r="N1547" i="1"/>
  <c r="M1548" i="1"/>
  <c r="N1548" i="1"/>
  <c r="M1549" i="1"/>
  <c r="N1549" i="1"/>
  <c r="M1550" i="1"/>
  <c r="N1550" i="1"/>
  <c r="M1551" i="1"/>
  <c r="N1551" i="1"/>
  <c r="M1552" i="1"/>
  <c r="N1552" i="1"/>
  <c r="M1553" i="1"/>
  <c r="N1553" i="1"/>
  <c r="M1554" i="1"/>
  <c r="N1554" i="1"/>
  <c r="M1555" i="1"/>
  <c r="N1555" i="1"/>
  <c r="M1556" i="1"/>
  <c r="N1556" i="1"/>
  <c r="M1557" i="1"/>
  <c r="N1557" i="1"/>
  <c r="M1558" i="1"/>
  <c r="N1558" i="1"/>
  <c r="M1559" i="1"/>
  <c r="N1559" i="1"/>
  <c r="M1560" i="1"/>
  <c r="N1560" i="1"/>
  <c r="M1561" i="1"/>
  <c r="N1561" i="1"/>
  <c r="M1562" i="1"/>
  <c r="N1562" i="1"/>
  <c r="M1563" i="1"/>
  <c r="N1563" i="1"/>
  <c r="M1564" i="1"/>
  <c r="N1564" i="1"/>
  <c r="M1565" i="1"/>
  <c r="N1565" i="1"/>
  <c r="M1566" i="1"/>
  <c r="N1566" i="1"/>
  <c r="M1567" i="1"/>
  <c r="N1567" i="1"/>
  <c r="M1568" i="1"/>
  <c r="N1568" i="1"/>
  <c r="M1569" i="1"/>
  <c r="N1569" i="1"/>
  <c r="M1570" i="1"/>
  <c r="N1570" i="1"/>
  <c r="M1571" i="1"/>
  <c r="N1571" i="1"/>
  <c r="M1572" i="1"/>
  <c r="N1572" i="1"/>
  <c r="M1573" i="1"/>
  <c r="N1573" i="1"/>
  <c r="M1574" i="1"/>
  <c r="N1574" i="1"/>
  <c r="M1575" i="1"/>
  <c r="N1575" i="1"/>
  <c r="M1576" i="1"/>
  <c r="N1576" i="1"/>
  <c r="M1577" i="1"/>
  <c r="N1577" i="1"/>
  <c r="M1578" i="1"/>
  <c r="N1578" i="1"/>
  <c r="M1579" i="1"/>
  <c r="N1579" i="1"/>
  <c r="M1580" i="1"/>
  <c r="N1580" i="1"/>
  <c r="M1581" i="1"/>
  <c r="N1581" i="1"/>
  <c r="M1582" i="1"/>
  <c r="N1582" i="1"/>
  <c r="M1583" i="1"/>
  <c r="N1583" i="1"/>
  <c r="M1584" i="1"/>
  <c r="N1584" i="1"/>
  <c r="M1585" i="1"/>
  <c r="N1585" i="1"/>
  <c r="M1586" i="1"/>
  <c r="N1586" i="1"/>
  <c r="M1587" i="1"/>
  <c r="N1587" i="1"/>
  <c r="M1588" i="1"/>
  <c r="N1588" i="1"/>
  <c r="M1589" i="1"/>
  <c r="N1589" i="1"/>
  <c r="M1590" i="1"/>
  <c r="N1590" i="1"/>
  <c r="M1591" i="1"/>
  <c r="N1591" i="1"/>
  <c r="M1592" i="1"/>
  <c r="N1592" i="1"/>
  <c r="M1593" i="1"/>
  <c r="N1593" i="1"/>
  <c r="M1594" i="1"/>
  <c r="N1594" i="1"/>
  <c r="M1595" i="1"/>
  <c r="N1595" i="1"/>
  <c r="M1596" i="1"/>
  <c r="N1596" i="1"/>
  <c r="M1597" i="1"/>
  <c r="N1597" i="1"/>
  <c r="M1598" i="1"/>
  <c r="N1598" i="1"/>
  <c r="M1599" i="1"/>
  <c r="N1599" i="1"/>
  <c r="M1600" i="1"/>
  <c r="N1600" i="1"/>
  <c r="M1601" i="1"/>
  <c r="N1601" i="1"/>
  <c r="M1602" i="1"/>
  <c r="N1602" i="1"/>
  <c r="M1603" i="1"/>
  <c r="N1603" i="1"/>
  <c r="M1604" i="1"/>
  <c r="N1604" i="1"/>
  <c r="M1605" i="1"/>
  <c r="N1605" i="1"/>
  <c r="M1606" i="1"/>
  <c r="N1606" i="1"/>
  <c r="M1607" i="1"/>
  <c r="N1607" i="1"/>
  <c r="M1608" i="1"/>
  <c r="N1608" i="1"/>
  <c r="M1609" i="1"/>
  <c r="N1609" i="1"/>
  <c r="M1610" i="1"/>
  <c r="N1610" i="1"/>
  <c r="M1611" i="1"/>
  <c r="N1611" i="1"/>
  <c r="M1612" i="1"/>
  <c r="N1612" i="1"/>
  <c r="M1613" i="1"/>
  <c r="N1613" i="1"/>
  <c r="M1614" i="1"/>
  <c r="N1614" i="1"/>
  <c r="M1615" i="1"/>
  <c r="N1615" i="1"/>
  <c r="M1616" i="1"/>
  <c r="N1616" i="1"/>
  <c r="M1617" i="1"/>
  <c r="N1617" i="1"/>
  <c r="M1618" i="1"/>
  <c r="N1618" i="1"/>
  <c r="M1619" i="1"/>
  <c r="N1619" i="1"/>
  <c r="M1620" i="1"/>
  <c r="N1620" i="1"/>
  <c r="M1621" i="1"/>
  <c r="N1621" i="1"/>
  <c r="M1622" i="1"/>
  <c r="N1622" i="1"/>
  <c r="M1623" i="1"/>
  <c r="N1623" i="1"/>
  <c r="M1624" i="1"/>
  <c r="N1624" i="1"/>
  <c r="M1625" i="1"/>
  <c r="N1625" i="1"/>
  <c r="M1626" i="1"/>
  <c r="N1626" i="1"/>
  <c r="M1627" i="1"/>
  <c r="N1627" i="1"/>
  <c r="M1628" i="1"/>
  <c r="N1628" i="1"/>
  <c r="M1629" i="1"/>
  <c r="N1629" i="1"/>
  <c r="M1630" i="1"/>
  <c r="N1630" i="1"/>
  <c r="M1631" i="1"/>
  <c r="N1631" i="1"/>
  <c r="M1632" i="1"/>
  <c r="N1632" i="1"/>
  <c r="M1633" i="1"/>
  <c r="N1633" i="1"/>
  <c r="M1634" i="1"/>
  <c r="N1634" i="1"/>
  <c r="M1635" i="1"/>
  <c r="N1635" i="1"/>
  <c r="M1636" i="1"/>
  <c r="N1636" i="1"/>
  <c r="M1637" i="1"/>
  <c r="N1637" i="1"/>
  <c r="M1638" i="1"/>
  <c r="N1638" i="1"/>
  <c r="M1639" i="1"/>
  <c r="N1639" i="1"/>
  <c r="M1640" i="1"/>
  <c r="N1640" i="1"/>
  <c r="M1641" i="1"/>
  <c r="N1641" i="1"/>
  <c r="M1642" i="1"/>
  <c r="N1642" i="1"/>
  <c r="M1643" i="1"/>
  <c r="N1643" i="1"/>
  <c r="M1644" i="1"/>
  <c r="N1644" i="1"/>
  <c r="M1645" i="1"/>
  <c r="N1645" i="1"/>
  <c r="M1646" i="1"/>
  <c r="N1646" i="1"/>
  <c r="M1647" i="1"/>
  <c r="N1647" i="1"/>
  <c r="M1648" i="1"/>
  <c r="N1648" i="1"/>
  <c r="M1649" i="1"/>
  <c r="N1649" i="1"/>
  <c r="M1650" i="1"/>
  <c r="N1650" i="1"/>
  <c r="M1651" i="1"/>
  <c r="N1651" i="1"/>
  <c r="M1652" i="1"/>
  <c r="N1652" i="1"/>
  <c r="M1653" i="1"/>
  <c r="N1653" i="1"/>
  <c r="M1654" i="1"/>
  <c r="N1654" i="1"/>
  <c r="M1655" i="1"/>
  <c r="N1655" i="1"/>
  <c r="M1656" i="1"/>
  <c r="N1656" i="1"/>
  <c r="M1657" i="1"/>
  <c r="N1657" i="1"/>
  <c r="M1658" i="1"/>
  <c r="N1658" i="1"/>
  <c r="M1659" i="1"/>
  <c r="N1659" i="1"/>
  <c r="M1660" i="1"/>
  <c r="N1660" i="1"/>
  <c r="M1661" i="1"/>
  <c r="N1661" i="1"/>
  <c r="M1662" i="1"/>
  <c r="N1662" i="1"/>
  <c r="M1663" i="1"/>
  <c r="N1663" i="1"/>
  <c r="M1664" i="1"/>
  <c r="N1664" i="1"/>
  <c r="M1665" i="1"/>
  <c r="N1665" i="1"/>
  <c r="M1666" i="1"/>
  <c r="N1666" i="1"/>
  <c r="M1667" i="1"/>
  <c r="N1667" i="1"/>
  <c r="M1668" i="1"/>
  <c r="N1668" i="1"/>
  <c r="M1669" i="1"/>
  <c r="N1669" i="1"/>
  <c r="M1670" i="1"/>
  <c r="N1670" i="1"/>
  <c r="M1671" i="1"/>
  <c r="N1671" i="1"/>
  <c r="M1672" i="1"/>
  <c r="N1672" i="1"/>
  <c r="M1673" i="1"/>
  <c r="N1673" i="1"/>
  <c r="M1674" i="1"/>
  <c r="N1674" i="1"/>
  <c r="M1675" i="1"/>
  <c r="N1675" i="1"/>
  <c r="M1676" i="1"/>
  <c r="N1676" i="1"/>
  <c r="M1677" i="1"/>
  <c r="N1677" i="1"/>
  <c r="M1678" i="1"/>
  <c r="N1678" i="1"/>
  <c r="M1679" i="1"/>
  <c r="N1679" i="1"/>
  <c r="M1680" i="1"/>
  <c r="N1680" i="1"/>
  <c r="M1681" i="1"/>
  <c r="N1681" i="1"/>
  <c r="M1682" i="1"/>
  <c r="N1682" i="1"/>
  <c r="M1683" i="1"/>
  <c r="N1683" i="1"/>
  <c r="M1684" i="1"/>
  <c r="N1684" i="1"/>
  <c r="M1685" i="1"/>
  <c r="N1685" i="1"/>
  <c r="M1686" i="1"/>
  <c r="N1686" i="1"/>
  <c r="M1687" i="1"/>
  <c r="N1687" i="1"/>
  <c r="M1688" i="1"/>
  <c r="N1688" i="1"/>
  <c r="M1689" i="1"/>
  <c r="N1689" i="1"/>
  <c r="M1690" i="1"/>
  <c r="N1690" i="1"/>
  <c r="M1691" i="1"/>
  <c r="N1691" i="1"/>
  <c r="M1692" i="1"/>
  <c r="N1692" i="1"/>
  <c r="M1693" i="1"/>
  <c r="N1693" i="1"/>
  <c r="M1694" i="1"/>
  <c r="N1694" i="1"/>
  <c r="M1695" i="1"/>
  <c r="N1695" i="1"/>
  <c r="M1696" i="1"/>
  <c r="N1696" i="1"/>
  <c r="M1697" i="1"/>
  <c r="N1697" i="1"/>
  <c r="M1698" i="1"/>
  <c r="N1698" i="1"/>
  <c r="M1699" i="1"/>
  <c r="N1699" i="1"/>
  <c r="M1700" i="1"/>
  <c r="N1700" i="1"/>
  <c r="M1701" i="1"/>
  <c r="N1701" i="1"/>
  <c r="M1702" i="1"/>
  <c r="N1702" i="1"/>
  <c r="M1703" i="1"/>
  <c r="N1703" i="1"/>
  <c r="M1704" i="1"/>
  <c r="N1704" i="1"/>
  <c r="M1705" i="1"/>
  <c r="N1705" i="1"/>
  <c r="M1706" i="1"/>
  <c r="N1706" i="1"/>
  <c r="M1707" i="1"/>
  <c r="N1707" i="1"/>
  <c r="M1708" i="1"/>
  <c r="N1708" i="1"/>
  <c r="M1709" i="1"/>
  <c r="N1709" i="1"/>
  <c r="M1710" i="1"/>
  <c r="N1710" i="1"/>
  <c r="M1711" i="1"/>
  <c r="N1711" i="1"/>
  <c r="M1712" i="1"/>
  <c r="N1712" i="1"/>
  <c r="M1713" i="1"/>
  <c r="N1713" i="1"/>
  <c r="M1714" i="1"/>
  <c r="N1714" i="1"/>
  <c r="M1715" i="1"/>
  <c r="N1715" i="1"/>
  <c r="M1716" i="1"/>
  <c r="N1716" i="1"/>
  <c r="M1717" i="1"/>
  <c r="N1717" i="1"/>
  <c r="M1718" i="1"/>
  <c r="N1718" i="1"/>
  <c r="M1719" i="1"/>
  <c r="N1719" i="1"/>
  <c r="M1720" i="1"/>
  <c r="N1720" i="1"/>
  <c r="M1721" i="1"/>
  <c r="N1721" i="1"/>
  <c r="M1722" i="1"/>
  <c r="N1722" i="1"/>
  <c r="M1723" i="1"/>
  <c r="N1723" i="1"/>
  <c r="M1724" i="1"/>
  <c r="N1724" i="1"/>
  <c r="M1725" i="1"/>
  <c r="N1725" i="1"/>
  <c r="M1726" i="1"/>
  <c r="N1726" i="1"/>
  <c r="M1727" i="1"/>
  <c r="N1727" i="1"/>
  <c r="M1728" i="1"/>
  <c r="N1728" i="1"/>
  <c r="M1729" i="1"/>
  <c r="N1729" i="1"/>
  <c r="M1730" i="1"/>
  <c r="N1730" i="1"/>
  <c r="M1731" i="1"/>
  <c r="N1731" i="1"/>
  <c r="M1732" i="1"/>
  <c r="N1732" i="1"/>
  <c r="M1733" i="1"/>
  <c r="N1733" i="1"/>
  <c r="M1734" i="1"/>
  <c r="N1734" i="1"/>
  <c r="M1735" i="1"/>
  <c r="N1735" i="1"/>
  <c r="M1736" i="1"/>
  <c r="N1736" i="1"/>
  <c r="M1737" i="1"/>
  <c r="N1737" i="1"/>
  <c r="M1738" i="1"/>
  <c r="N1738" i="1"/>
  <c r="M1739" i="1"/>
  <c r="N1739" i="1"/>
  <c r="M1740" i="1"/>
  <c r="N1740" i="1"/>
  <c r="M1741" i="1"/>
  <c r="N1741" i="1"/>
  <c r="M1742" i="1"/>
  <c r="N1742" i="1"/>
  <c r="M1743" i="1"/>
  <c r="N1743" i="1"/>
  <c r="M1744" i="1"/>
  <c r="N1744" i="1"/>
  <c r="M1745" i="1"/>
  <c r="N1745" i="1"/>
  <c r="M1746" i="1"/>
  <c r="N1746" i="1"/>
  <c r="M1747" i="1"/>
  <c r="N1747" i="1"/>
  <c r="M1748" i="1"/>
  <c r="N1748" i="1"/>
  <c r="M1749" i="1"/>
  <c r="N1749" i="1"/>
  <c r="M1750" i="1"/>
  <c r="N1750" i="1"/>
  <c r="M1751" i="1"/>
  <c r="N1751" i="1"/>
  <c r="M1752" i="1"/>
  <c r="N1752" i="1"/>
  <c r="M1753" i="1"/>
  <c r="N1753" i="1"/>
  <c r="M1754" i="1"/>
  <c r="N1754" i="1"/>
  <c r="M1755" i="1"/>
  <c r="N1755" i="1"/>
  <c r="M1756" i="1"/>
  <c r="N1756" i="1"/>
  <c r="M1757" i="1"/>
  <c r="N1757" i="1"/>
  <c r="M1758" i="1"/>
  <c r="N1758" i="1"/>
  <c r="M1759" i="1"/>
  <c r="N1759" i="1"/>
  <c r="M1760" i="1"/>
  <c r="N1760" i="1"/>
  <c r="M1761" i="1"/>
  <c r="N1761" i="1"/>
  <c r="M1762" i="1"/>
  <c r="N1762" i="1"/>
  <c r="M1763" i="1"/>
  <c r="N1763" i="1"/>
  <c r="M1764" i="1"/>
  <c r="N1764" i="1"/>
  <c r="M1765" i="1"/>
  <c r="N1765" i="1"/>
  <c r="M1766" i="1"/>
  <c r="N1766" i="1"/>
  <c r="M1767" i="1"/>
  <c r="N1767" i="1"/>
  <c r="M1768" i="1"/>
  <c r="N1768" i="1"/>
  <c r="M1769" i="1"/>
  <c r="N1769" i="1"/>
  <c r="M1770" i="1"/>
  <c r="N1770" i="1"/>
  <c r="M1771" i="1"/>
  <c r="N1771" i="1"/>
  <c r="M1772" i="1"/>
  <c r="N1772" i="1"/>
  <c r="M1773" i="1"/>
  <c r="N1773" i="1"/>
  <c r="M1774" i="1"/>
  <c r="N1774" i="1"/>
  <c r="M1775" i="1"/>
  <c r="N1775" i="1"/>
  <c r="M1776" i="1"/>
  <c r="N1776" i="1"/>
  <c r="M1777" i="1"/>
  <c r="N1777" i="1"/>
  <c r="M1778" i="1"/>
  <c r="N1778" i="1"/>
  <c r="M1779" i="1"/>
  <c r="N1779" i="1"/>
  <c r="M1780" i="1"/>
  <c r="N1780" i="1"/>
  <c r="M1781" i="1"/>
  <c r="N1781" i="1"/>
  <c r="M1782" i="1"/>
  <c r="N1782" i="1"/>
  <c r="M1783" i="1"/>
  <c r="N1783" i="1"/>
  <c r="M1784" i="1"/>
  <c r="N1784" i="1"/>
  <c r="M1785" i="1"/>
  <c r="N1785" i="1"/>
  <c r="M1786" i="1"/>
  <c r="N1786" i="1"/>
  <c r="M1787" i="1"/>
  <c r="N1787" i="1"/>
  <c r="M1788" i="1"/>
  <c r="N1788" i="1"/>
  <c r="M1789" i="1"/>
  <c r="N1789" i="1"/>
  <c r="M1790" i="1"/>
  <c r="N1790" i="1"/>
  <c r="M1791" i="1"/>
  <c r="N1791" i="1"/>
  <c r="M1792" i="1"/>
  <c r="N1792" i="1"/>
  <c r="M1793" i="1"/>
  <c r="N1793" i="1"/>
  <c r="M1794" i="1"/>
  <c r="N1794" i="1"/>
  <c r="M1795" i="1"/>
  <c r="N1795" i="1"/>
  <c r="M1796" i="1"/>
  <c r="N1796" i="1"/>
  <c r="M1797" i="1"/>
  <c r="N1797" i="1"/>
  <c r="M1798" i="1"/>
  <c r="N1798" i="1"/>
  <c r="M1799" i="1"/>
  <c r="N1799" i="1"/>
  <c r="M1800" i="1"/>
  <c r="N1800" i="1"/>
  <c r="M1801" i="1"/>
  <c r="N1801" i="1"/>
  <c r="M1802" i="1"/>
  <c r="N1802" i="1"/>
  <c r="M1803" i="1"/>
  <c r="N1803" i="1"/>
  <c r="M1804" i="1"/>
  <c r="N1804" i="1"/>
  <c r="M1805" i="1"/>
  <c r="N1805" i="1"/>
  <c r="M1806" i="1"/>
  <c r="N1806" i="1"/>
  <c r="M1807" i="1"/>
  <c r="N1807" i="1"/>
  <c r="M1808" i="1"/>
  <c r="N1808" i="1"/>
  <c r="M1809" i="1"/>
  <c r="N1809" i="1"/>
  <c r="M1810" i="1"/>
  <c r="N1810" i="1"/>
  <c r="M1811" i="1"/>
  <c r="N1811" i="1"/>
  <c r="M1812" i="1"/>
  <c r="N1812" i="1"/>
  <c r="M1813" i="1"/>
  <c r="N1813" i="1"/>
  <c r="M1814" i="1"/>
  <c r="N1814" i="1"/>
  <c r="M1815" i="1"/>
  <c r="N1815" i="1"/>
  <c r="M1816" i="1"/>
  <c r="N1816" i="1"/>
  <c r="M1817" i="1"/>
  <c r="N1817" i="1"/>
  <c r="M1818" i="1"/>
  <c r="N1818" i="1"/>
  <c r="M1819" i="1"/>
  <c r="N1819" i="1"/>
  <c r="M1820" i="1"/>
  <c r="N1820" i="1"/>
  <c r="M1821" i="1"/>
  <c r="N1821" i="1"/>
  <c r="M1822" i="1"/>
  <c r="N1822" i="1"/>
  <c r="M1823" i="1"/>
  <c r="N1823" i="1"/>
  <c r="M1824" i="1"/>
  <c r="N1824" i="1"/>
  <c r="M1825" i="1"/>
  <c r="N1825" i="1"/>
  <c r="M1826" i="1"/>
  <c r="N1826" i="1"/>
  <c r="M1827" i="1"/>
  <c r="N1827" i="1"/>
  <c r="M1828" i="1"/>
  <c r="N1828" i="1"/>
  <c r="M1829" i="1"/>
  <c r="N1829" i="1"/>
  <c r="M1830" i="1"/>
  <c r="N1830" i="1"/>
  <c r="M1831" i="1"/>
  <c r="N1831" i="1"/>
  <c r="M1832" i="1"/>
  <c r="N1832" i="1"/>
  <c r="M1833" i="1"/>
  <c r="N1833" i="1"/>
  <c r="M1834" i="1"/>
  <c r="N1834" i="1"/>
  <c r="M1835" i="1"/>
  <c r="N1835" i="1"/>
  <c r="M1836" i="1"/>
  <c r="N1836" i="1"/>
  <c r="M1837" i="1"/>
  <c r="N1837" i="1"/>
  <c r="M1838" i="1"/>
  <c r="N1838" i="1"/>
  <c r="M1839" i="1"/>
  <c r="N1839" i="1"/>
  <c r="M1840" i="1"/>
  <c r="N1840" i="1"/>
  <c r="M1841" i="1"/>
  <c r="N1841" i="1"/>
  <c r="M1842" i="1"/>
  <c r="N1842" i="1"/>
  <c r="M1843" i="1"/>
  <c r="N1843" i="1"/>
  <c r="M1844" i="1"/>
  <c r="N1844" i="1"/>
  <c r="M1845" i="1"/>
  <c r="N1845" i="1"/>
  <c r="M1846" i="1"/>
  <c r="N1846" i="1"/>
  <c r="M1847" i="1"/>
  <c r="N1847" i="1"/>
  <c r="M1848" i="1"/>
  <c r="N1848" i="1"/>
  <c r="M1849" i="1"/>
  <c r="N1849" i="1"/>
  <c r="M1850" i="1"/>
  <c r="N1850" i="1"/>
  <c r="M1851" i="1"/>
  <c r="N1851" i="1"/>
  <c r="M1852" i="1"/>
  <c r="N1852" i="1"/>
  <c r="M1853" i="1"/>
  <c r="N1853" i="1"/>
  <c r="M1854" i="1"/>
  <c r="N1854" i="1"/>
  <c r="M1855" i="1"/>
  <c r="N1855" i="1"/>
  <c r="M1856" i="1"/>
  <c r="N1856" i="1"/>
  <c r="M1857" i="1"/>
  <c r="N1857" i="1"/>
  <c r="M1858" i="1"/>
  <c r="N1858" i="1"/>
  <c r="M1859" i="1"/>
  <c r="N1859" i="1"/>
  <c r="M1860" i="1"/>
  <c r="N1860" i="1"/>
  <c r="M1861" i="1"/>
  <c r="N1861" i="1"/>
  <c r="M1862" i="1"/>
  <c r="N1862" i="1"/>
  <c r="M1863" i="1"/>
  <c r="N1863" i="1"/>
  <c r="M1864" i="1"/>
  <c r="N1864" i="1"/>
  <c r="M1865" i="1"/>
  <c r="N1865" i="1"/>
  <c r="M1866" i="1"/>
  <c r="N1866" i="1"/>
  <c r="M1867" i="1"/>
  <c r="N1867" i="1"/>
  <c r="M1868" i="1"/>
  <c r="N1868" i="1"/>
  <c r="M1869" i="1"/>
  <c r="N1869" i="1"/>
  <c r="M1870" i="1"/>
  <c r="N1870" i="1"/>
  <c r="M1871" i="1"/>
  <c r="N1871" i="1"/>
  <c r="M1872" i="1"/>
  <c r="N1872" i="1"/>
  <c r="M1873" i="1"/>
  <c r="N1873" i="1"/>
  <c r="M1874" i="1"/>
  <c r="N1874" i="1"/>
  <c r="M1875" i="1"/>
  <c r="N1875" i="1"/>
  <c r="M1876" i="1"/>
  <c r="N1876" i="1"/>
  <c r="M1877" i="1"/>
  <c r="N1877" i="1"/>
  <c r="M1878" i="1"/>
  <c r="N1878" i="1"/>
  <c r="M1879" i="1"/>
  <c r="N1879" i="1"/>
  <c r="M1880" i="1"/>
  <c r="N1880" i="1"/>
  <c r="M1881" i="1"/>
  <c r="N1881" i="1"/>
  <c r="M1882" i="1"/>
  <c r="N1882" i="1"/>
  <c r="M1883" i="1"/>
  <c r="N1883" i="1"/>
  <c r="M1884" i="1"/>
  <c r="N1884" i="1"/>
  <c r="M1885" i="1"/>
  <c r="N1885" i="1"/>
  <c r="M1886" i="1"/>
  <c r="N1886" i="1"/>
  <c r="M1887" i="1"/>
  <c r="N1887" i="1"/>
  <c r="M1888" i="1"/>
  <c r="N1888" i="1"/>
  <c r="M1889" i="1"/>
  <c r="N1889" i="1"/>
  <c r="M1890" i="1"/>
  <c r="N1890" i="1"/>
  <c r="M1891" i="1"/>
  <c r="N1891" i="1"/>
  <c r="M1892" i="1"/>
  <c r="N1892" i="1"/>
  <c r="M1893" i="1"/>
  <c r="N1893" i="1"/>
  <c r="M1894" i="1"/>
  <c r="N1894" i="1"/>
  <c r="M1895" i="1"/>
  <c r="N1895" i="1"/>
  <c r="M1896" i="1"/>
  <c r="N1896" i="1"/>
  <c r="M1897" i="1"/>
  <c r="N1897" i="1"/>
  <c r="M1898" i="1"/>
  <c r="N1898" i="1"/>
  <c r="M1899" i="1"/>
  <c r="N1899" i="1"/>
  <c r="M1900" i="1"/>
  <c r="N1900" i="1"/>
  <c r="M1901" i="1"/>
  <c r="N1901" i="1"/>
  <c r="M1902" i="1"/>
  <c r="N1902" i="1"/>
  <c r="M1903" i="1"/>
  <c r="N1903" i="1"/>
  <c r="M1904" i="1"/>
  <c r="N1904" i="1"/>
  <c r="M1905" i="1"/>
  <c r="N1905" i="1"/>
  <c r="M1906" i="1"/>
  <c r="N1906" i="1"/>
  <c r="M1907" i="1"/>
  <c r="N1907" i="1"/>
  <c r="M1908" i="1"/>
  <c r="N1908" i="1"/>
  <c r="M1909" i="1"/>
  <c r="N1909" i="1"/>
  <c r="M1910" i="1"/>
  <c r="N1910" i="1"/>
  <c r="M1911" i="1"/>
  <c r="N1911" i="1"/>
  <c r="M1912" i="1"/>
  <c r="N1912" i="1"/>
  <c r="M1913" i="1"/>
  <c r="N1913" i="1"/>
  <c r="M1914" i="1"/>
  <c r="N1914" i="1"/>
  <c r="M1915" i="1"/>
  <c r="N1915" i="1"/>
  <c r="M1916" i="1"/>
  <c r="N1916" i="1"/>
  <c r="M1917" i="1"/>
  <c r="N1917" i="1"/>
  <c r="M1918" i="1"/>
  <c r="N1918" i="1"/>
  <c r="M1919" i="1"/>
  <c r="N1919" i="1"/>
  <c r="M1920" i="1"/>
  <c r="N1920" i="1"/>
  <c r="M1921" i="1"/>
  <c r="N1921" i="1"/>
  <c r="M1922" i="1"/>
  <c r="N1922" i="1"/>
  <c r="M1923" i="1"/>
  <c r="N1923" i="1"/>
  <c r="M1924" i="1"/>
  <c r="N1924" i="1"/>
  <c r="M1925" i="1"/>
  <c r="N1925" i="1"/>
  <c r="M1926" i="1"/>
  <c r="N1926" i="1"/>
  <c r="M1927" i="1"/>
  <c r="N1927" i="1"/>
  <c r="M1928" i="1"/>
  <c r="N1928" i="1"/>
  <c r="M1929" i="1"/>
  <c r="N1929" i="1"/>
  <c r="M1930" i="1"/>
  <c r="N1930" i="1"/>
  <c r="M1931" i="1"/>
  <c r="N1931" i="1"/>
  <c r="M1932" i="1"/>
  <c r="N1932" i="1"/>
  <c r="M1933" i="1"/>
  <c r="N1933" i="1"/>
  <c r="M1934" i="1"/>
  <c r="N1934" i="1"/>
  <c r="M1935" i="1"/>
  <c r="N1935" i="1"/>
  <c r="M1936" i="1"/>
  <c r="N1936" i="1"/>
  <c r="M1937" i="1"/>
  <c r="N1937" i="1"/>
  <c r="M1938" i="1"/>
  <c r="N1938" i="1"/>
  <c r="M1939" i="1"/>
  <c r="N1939" i="1"/>
  <c r="M1940" i="1"/>
  <c r="N1940" i="1"/>
  <c r="M1941" i="1"/>
  <c r="N1941" i="1"/>
  <c r="M1942" i="1"/>
  <c r="N1942" i="1"/>
  <c r="M1943" i="1"/>
  <c r="N1943" i="1"/>
  <c r="M1944" i="1"/>
  <c r="N1944" i="1"/>
  <c r="M1945" i="1"/>
  <c r="N1945" i="1"/>
  <c r="M1946" i="1"/>
  <c r="N1946" i="1"/>
  <c r="M1947" i="1"/>
  <c r="N1947" i="1"/>
  <c r="M1948" i="1"/>
  <c r="N1948" i="1"/>
  <c r="M1949" i="1"/>
  <c r="N1949" i="1"/>
  <c r="M1950" i="1"/>
  <c r="N1950" i="1"/>
  <c r="M1951" i="1"/>
  <c r="N1951" i="1"/>
  <c r="M1952" i="1"/>
  <c r="N1952" i="1"/>
  <c r="M1953" i="1"/>
  <c r="N1953" i="1"/>
  <c r="M1954" i="1"/>
  <c r="N1954" i="1"/>
  <c r="M1955" i="1"/>
  <c r="N1955" i="1"/>
  <c r="M1956" i="1"/>
  <c r="N1956" i="1"/>
  <c r="M1957" i="1"/>
  <c r="N1957" i="1"/>
  <c r="M1958" i="1"/>
  <c r="N1958" i="1"/>
  <c r="M1959" i="1"/>
  <c r="N1959" i="1"/>
  <c r="M1960" i="1"/>
  <c r="N1960" i="1"/>
  <c r="M1961" i="1"/>
  <c r="N1961" i="1"/>
  <c r="M1962" i="1"/>
  <c r="N1962" i="1"/>
  <c r="M1963" i="1"/>
  <c r="N1963" i="1"/>
  <c r="M1964" i="1"/>
  <c r="N1964" i="1"/>
  <c r="M1965" i="1"/>
  <c r="N1965" i="1"/>
  <c r="M1966" i="1"/>
  <c r="N1966" i="1"/>
  <c r="M1967" i="1"/>
  <c r="N1967" i="1"/>
  <c r="M1968" i="1"/>
  <c r="N1968" i="1"/>
  <c r="M1969" i="1"/>
  <c r="N1969" i="1"/>
  <c r="M1970" i="1"/>
  <c r="N1970" i="1"/>
  <c r="M1971" i="1"/>
  <c r="N1971" i="1"/>
  <c r="M1972" i="1"/>
  <c r="N1972" i="1"/>
  <c r="M1973" i="1"/>
  <c r="N1973" i="1"/>
  <c r="M1974" i="1"/>
  <c r="N1974" i="1"/>
  <c r="M1975" i="1"/>
  <c r="N1975" i="1"/>
  <c r="M1976" i="1"/>
  <c r="N1976" i="1"/>
  <c r="M1977" i="1"/>
  <c r="N1977" i="1"/>
  <c r="M1978" i="1"/>
  <c r="N1978" i="1"/>
  <c r="M1979" i="1"/>
  <c r="N1979" i="1"/>
  <c r="M1980" i="1"/>
  <c r="N1980" i="1"/>
  <c r="M1981" i="1"/>
  <c r="N1981" i="1"/>
  <c r="M1982" i="1"/>
  <c r="N1982" i="1"/>
  <c r="M1983" i="1"/>
  <c r="N1983" i="1"/>
  <c r="M1984" i="1"/>
  <c r="N1984" i="1"/>
  <c r="M1985" i="1"/>
  <c r="N1985" i="1"/>
  <c r="M1986" i="1"/>
  <c r="N1986" i="1"/>
  <c r="M1987" i="1"/>
  <c r="N1987" i="1"/>
  <c r="M1988" i="1"/>
  <c r="N1988" i="1"/>
  <c r="M1989" i="1"/>
  <c r="N1989" i="1"/>
  <c r="M1990" i="1"/>
  <c r="N1990" i="1"/>
  <c r="M1991" i="1"/>
  <c r="N1991" i="1"/>
  <c r="M1992" i="1"/>
  <c r="N1992" i="1"/>
  <c r="M1993" i="1"/>
  <c r="N1993" i="1"/>
  <c r="M1994" i="1"/>
  <c r="N1994" i="1"/>
  <c r="M1995" i="1"/>
  <c r="N1995" i="1"/>
  <c r="M1996" i="1"/>
  <c r="N1996" i="1"/>
  <c r="M1997" i="1"/>
  <c r="N1997" i="1"/>
  <c r="M1998" i="1"/>
  <c r="N1998" i="1"/>
  <c r="M1999" i="1"/>
  <c r="N1999" i="1"/>
  <c r="M2000" i="1"/>
  <c r="N2000" i="1"/>
  <c r="M2001" i="1"/>
  <c r="N2001" i="1"/>
  <c r="M2002" i="1"/>
  <c r="N2002" i="1"/>
  <c r="M2003" i="1"/>
  <c r="N2003" i="1"/>
  <c r="M2004" i="1"/>
  <c r="N2004" i="1"/>
  <c r="M2005" i="1"/>
  <c r="N2005" i="1"/>
  <c r="M2006" i="1"/>
  <c r="N2006" i="1"/>
  <c r="M2007" i="1"/>
  <c r="N2007" i="1"/>
  <c r="M2008" i="1"/>
  <c r="N2008" i="1"/>
  <c r="M2009" i="1"/>
  <c r="N2009" i="1"/>
  <c r="M2010" i="1"/>
  <c r="N2010" i="1"/>
  <c r="M2011" i="1"/>
  <c r="N2011" i="1"/>
  <c r="M2012" i="1"/>
  <c r="N2012" i="1"/>
  <c r="M2013" i="1"/>
  <c r="N2013" i="1"/>
  <c r="M2014" i="1"/>
  <c r="N2014" i="1"/>
  <c r="M2015" i="1"/>
  <c r="N2015" i="1"/>
  <c r="M2016" i="1"/>
  <c r="N2016" i="1"/>
  <c r="M2017" i="1"/>
  <c r="N2017" i="1"/>
  <c r="M2018" i="1"/>
  <c r="N2018" i="1"/>
  <c r="M2019" i="1"/>
  <c r="N2019" i="1"/>
  <c r="M2020" i="1"/>
  <c r="N2020" i="1"/>
  <c r="M2021" i="1"/>
  <c r="N2021" i="1"/>
  <c r="M2022" i="1"/>
  <c r="N2022" i="1"/>
  <c r="M2023" i="1"/>
  <c r="N2023" i="1"/>
  <c r="M2024" i="1"/>
  <c r="N2024" i="1"/>
  <c r="M2025" i="1"/>
  <c r="N2025" i="1"/>
  <c r="M2026" i="1"/>
  <c r="N2026" i="1"/>
  <c r="M2027" i="1"/>
  <c r="N2027" i="1"/>
  <c r="M2028" i="1"/>
  <c r="N2028" i="1"/>
  <c r="M2029" i="1"/>
  <c r="N2029" i="1"/>
  <c r="M2030" i="1"/>
  <c r="N2030" i="1"/>
  <c r="M2031" i="1"/>
  <c r="N2031" i="1"/>
  <c r="M2032" i="1"/>
  <c r="N2032" i="1"/>
  <c r="M2033" i="1"/>
  <c r="N2033" i="1"/>
  <c r="M2034" i="1"/>
  <c r="N2034" i="1"/>
  <c r="M2035" i="1"/>
  <c r="N2035" i="1"/>
  <c r="M2036" i="1"/>
  <c r="N2036" i="1"/>
  <c r="M2037" i="1"/>
  <c r="N2037" i="1"/>
  <c r="M2038" i="1"/>
  <c r="N2038" i="1"/>
  <c r="M2039" i="1"/>
  <c r="N2039" i="1"/>
  <c r="M2040" i="1"/>
  <c r="N2040" i="1"/>
  <c r="M2041" i="1"/>
  <c r="N2041" i="1"/>
  <c r="M2042" i="1"/>
  <c r="N2042" i="1"/>
  <c r="M2043" i="1"/>
  <c r="N2043" i="1"/>
  <c r="M2044" i="1"/>
  <c r="N2044" i="1"/>
  <c r="M2045" i="1"/>
  <c r="N2045" i="1"/>
  <c r="M2046" i="1"/>
  <c r="N2046" i="1"/>
  <c r="M2047" i="1"/>
  <c r="N2047" i="1"/>
  <c r="M2048" i="1"/>
  <c r="N2048" i="1"/>
  <c r="M2049" i="1"/>
  <c r="N2049" i="1"/>
  <c r="M2050" i="1"/>
  <c r="N2050" i="1"/>
  <c r="M2051" i="1"/>
  <c r="N2051" i="1"/>
  <c r="M2052" i="1"/>
  <c r="N2052" i="1"/>
  <c r="M2053" i="1"/>
  <c r="N2053" i="1"/>
  <c r="M2054" i="1"/>
  <c r="N2054" i="1"/>
  <c r="M2055" i="1"/>
  <c r="N2055" i="1"/>
  <c r="M2056" i="1"/>
  <c r="N2056" i="1"/>
  <c r="M2057" i="1"/>
  <c r="N2057" i="1"/>
  <c r="M2058" i="1"/>
  <c r="N2058" i="1"/>
  <c r="M2059" i="1"/>
  <c r="N2059" i="1"/>
  <c r="M2060" i="1"/>
  <c r="N2060" i="1"/>
  <c r="M2061" i="1"/>
  <c r="N2061" i="1"/>
  <c r="M2062" i="1"/>
  <c r="N2062" i="1"/>
  <c r="M2063" i="1"/>
  <c r="N2063" i="1"/>
  <c r="M2064" i="1"/>
  <c r="N2064" i="1"/>
  <c r="M2065" i="1"/>
  <c r="N2065" i="1"/>
  <c r="M2066" i="1"/>
  <c r="N2066" i="1"/>
  <c r="M2067" i="1"/>
  <c r="N2067" i="1"/>
  <c r="M2068" i="1"/>
  <c r="N2068" i="1"/>
  <c r="M2069" i="1"/>
  <c r="N2069" i="1"/>
  <c r="M2070" i="1"/>
  <c r="N2070" i="1"/>
  <c r="M2071" i="1"/>
  <c r="N2071" i="1"/>
  <c r="M2072" i="1"/>
  <c r="N2072" i="1"/>
  <c r="M2073" i="1"/>
  <c r="N2073" i="1"/>
  <c r="M2074" i="1"/>
  <c r="N2074" i="1"/>
  <c r="M2075" i="1"/>
  <c r="N2075" i="1"/>
  <c r="M2076" i="1"/>
  <c r="N2076" i="1"/>
  <c r="M2077" i="1"/>
  <c r="N2077" i="1"/>
  <c r="M2078" i="1"/>
  <c r="N2078" i="1"/>
  <c r="M2079" i="1"/>
  <c r="N2079" i="1"/>
  <c r="M2080" i="1"/>
  <c r="N2080" i="1"/>
  <c r="M2081" i="1"/>
  <c r="N2081" i="1"/>
  <c r="M2082" i="1"/>
  <c r="N2082" i="1"/>
  <c r="M2083" i="1"/>
  <c r="N2083" i="1"/>
  <c r="M2084" i="1"/>
  <c r="N2084" i="1"/>
  <c r="M2085" i="1"/>
  <c r="N2085" i="1"/>
  <c r="M2086" i="1"/>
  <c r="N2086" i="1"/>
  <c r="M2087" i="1"/>
  <c r="N2087" i="1"/>
  <c r="M2088" i="1"/>
  <c r="N2088" i="1"/>
  <c r="M2089" i="1"/>
  <c r="N2089" i="1"/>
  <c r="M2090" i="1"/>
  <c r="N2090" i="1"/>
  <c r="M2091" i="1"/>
  <c r="N2091" i="1"/>
  <c r="M2092" i="1"/>
  <c r="N2092" i="1"/>
  <c r="M2093" i="1"/>
  <c r="N2093" i="1"/>
  <c r="M2094" i="1"/>
  <c r="N2094" i="1"/>
  <c r="M2095" i="1"/>
  <c r="N2095" i="1"/>
  <c r="M2096" i="1"/>
  <c r="N2096" i="1"/>
  <c r="M2097" i="1"/>
  <c r="N2097" i="1"/>
  <c r="M2098" i="1"/>
  <c r="N2098" i="1"/>
  <c r="M2099" i="1"/>
  <c r="N2099" i="1"/>
  <c r="M2100" i="1"/>
  <c r="N2100" i="1"/>
  <c r="M2101" i="1"/>
  <c r="N2101" i="1"/>
  <c r="M2102" i="1"/>
  <c r="N2102" i="1"/>
  <c r="M2103" i="1"/>
  <c r="N2103" i="1"/>
  <c r="M2104" i="1"/>
  <c r="N2104" i="1"/>
  <c r="M2105" i="1"/>
  <c r="N2105" i="1"/>
  <c r="M2106" i="1"/>
  <c r="N2106" i="1"/>
  <c r="M2107" i="1"/>
  <c r="N2107" i="1"/>
  <c r="M2108" i="1"/>
  <c r="N2108" i="1"/>
  <c r="M2109" i="1"/>
  <c r="N2109" i="1"/>
  <c r="M2110" i="1"/>
  <c r="N2110" i="1"/>
  <c r="M2111" i="1"/>
  <c r="N2111" i="1"/>
  <c r="M2112" i="1"/>
  <c r="N2112" i="1"/>
  <c r="M2113" i="1"/>
  <c r="N2113" i="1"/>
  <c r="M2114" i="1"/>
  <c r="N2114" i="1"/>
  <c r="M2115" i="1"/>
  <c r="N2115" i="1"/>
  <c r="M2116" i="1"/>
  <c r="N2116" i="1"/>
  <c r="M2117" i="1"/>
  <c r="N2117" i="1"/>
  <c r="M2118" i="1"/>
  <c r="N2118" i="1"/>
  <c r="M2119" i="1"/>
  <c r="N2119" i="1"/>
  <c r="M2120" i="1"/>
  <c r="N2120" i="1"/>
  <c r="M2121" i="1"/>
  <c r="N2121" i="1"/>
  <c r="M2122" i="1"/>
  <c r="N2122" i="1"/>
  <c r="M2123" i="1"/>
  <c r="N2123" i="1"/>
  <c r="M2124" i="1"/>
  <c r="N2124" i="1"/>
  <c r="M2125" i="1"/>
  <c r="N2125" i="1"/>
  <c r="M2126" i="1"/>
  <c r="N2126" i="1"/>
  <c r="M2127" i="1"/>
  <c r="N2127" i="1"/>
  <c r="M2128" i="1"/>
  <c r="N2128" i="1"/>
  <c r="M2129" i="1"/>
  <c r="N2129" i="1"/>
  <c r="M2130" i="1"/>
  <c r="N2130" i="1"/>
  <c r="M2131" i="1"/>
  <c r="N2131" i="1"/>
  <c r="M2132" i="1"/>
  <c r="N2132" i="1"/>
  <c r="M2133" i="1"/>
  <c r="N2133" i="1"/>
  <c r="M2134" i="1"/>
  <c r="N2134" i="1"/>
  <c r="M2135" i="1"/>
  <c r="N2135" i="1"/>
  <c r="M2136" i="1"/>
  <c r="N2136" i="1"/>
  <c r="M2137" i="1"/>
  <c r="N2137" i="1"/>
  <c r="M2138" i="1"/>
  <c r="N2138" i="1"/>
  <c r="M2139" i="1"/>
  <c r="N2139" i="1"/>
  <c r="M2140" i="1"/>
  <c r="N2140" i="1"/>
  <c r="M2141" i="1"/>
  <c r="N2141" i="1"/>
  <c r="M2142" i="1"/>
  <c r="N2142" i="1"/>
  <c r="M2143" i="1"/>
  <c r="N2143" i="1"/>
  <c r="M2144" i="1"/>
  <c r="N2144" i="1"/>
  <c r="M2145" i="1"/>
  <c r="N2145" i="1"/>
  <c r="M2146" i="1"/>
  <c r="N2146" i="1"/>
  <c r="M2147" i="1"/>
  <c r="N2147" i="1"/>
  <c r="M2148" i="1"/>
  <c r="N2148" i="1"/>
  <c r="M2149" i="1"/>
  <c r="N2149" i="1"/>
  <c r="M2150" i="1"/>
  <c r="N2150" i="1"/>
  <c r="M2151" i="1"/>
  <c r="N2151" i="1"/>
  <c r="M2152" i="1"/>
  <c r="N2152" i="1"/>
  <c r="M2153" i="1"/>
  <c r="N2153" i="1"/>
  <c r="M2154" i="1"/>
  <c r="N2154" i="1"/>
  <c r="M2155" i="1"/>
  <c r="N2155" i="1"/>
  <c r="M2156" i="1"/>
  <c r="N2156" i="1"/>
  <c r="M2157" i="1"/>
  <c r="N2157" i="1"/>
  <c r="M2158" i="1"/>
  <c r="N2158" i="1"/>
  <c r="M2159" i="1"/>
  <c r="N2159" i="1"/>
  <c r="M2160" i="1"/>
  <c r="N2160" i="1"/>
  <c r="M2161" i="1"/>
  <c r="N2161" i="1"/>
  <c r="M2162" i="1"/>
  <c r="N2162" i="1"/>
  <c r="M2163" i="1"/>
  <c r="N2163" i="1"/>
  <c r="M2164" i="1"/>
  <c r="N2164" i="1"/>
  <c r="M2165" i="1"/>
  <c r="N2165" i="1"/>
  <c r="M2166" i="1"/>
  <c r="N2166" i="1"/>
  <c r="M2167" i="1"/>
  <c r="N2167" i="1"/>
  <c r="M2168" i="1"/>
  <c r="N2168" i="1"/>
  <c r="M2169" i="1"/>
  <c r="N2169" i="1"/>
  <c r="M2170" i="1"/>
  <c r="N2170" i="1"/>
  <c r="M2171" i="1"/>
  <c r="N2171" i="1"/>
  <c r="M2172" i="1"/>
  <c r="N2172" i="1"/>
  <c r="M2173" i="1"/>
  <c r="N2173" i="1"/>
  <c r="M2174" i="1"/>
  <c r="N2174" i="1"/>
  <c r="M2175" i="1"/>
  <c r="N2175" i="1"/>
  <c r="M2176" i="1"/>
  <c r="N2176" i="1"/>
  <c r="M2177" i="1"/>
  <c r="N2177" i="1"/>
  <c r="M2178" i="1"/>
  <c r="N2178" i="1"/>
  <c r="M2179" i="1"/>
  <c r="N2179" i="1"/>
  <c r="M2180" i="1"/>
  <c r="N2180" i="1"/>
  <c r="M2181" i="1"/>
  <c r="N2181" i="1"/>
  <c r="M2182" i="1"/>
  <c r="N2182" i="1"/>
  <c r="M2183" i="1"/>
  <c r="N2183" i="1"/>
  <c r="M2184" i="1"/>
  <c r="N2184" i="1"/>
  <c r="M2185" i="1"/>
  <c r="N2185" i="1"/>
  <c r="M2186" i="1"/>
  <c r="N2186" i="1"/>
  <c r="M2187" i="1"/>
  <c r="N2187" i="1"/>
  <c r="M2188" i="1"/>
  <c r="N2188" i="1"/>
  <c r="M2189" i="1"/>
  <c r="N2189" i="1"/>
  <c r="M2190" i="1"/>
  <c r="N2190" i="1"/>
  <c r="M2191" i="1"/>
  <c r="N2191" i="1"/>
  <c r="M2192" i="1"/>
  <c r="N2192" i="1"/>
  <c r="M2193" i="1"/>
  <c r="N2193" i="1"/>
  <c r="M2194" i="1"/>
  <c r="N2194" i="1"/>
  <c r="M2195" i="1"/>
  <c r="N2195" i="1"/>
  <c r="M2196" i="1"/>
  <c r="N2196" i="1"/>
  <c r="M2197" i="1"/>
  <c r="N2197" i="1"/>
  <c r="M2198" i="1"/>
  <c r="N2198" i="1"/>
  <c r="M2199" i="1"/>
  <c r="N2199" i="1"/>
  <c r="M2200" i="1"/>
  <c r="N2200" i="1"/>
  <c r="M2201" i="1"/>
  <c r="N2201" i="1"/>
  <c r="M2202" i="1"/>
  <c r="N2202" i="1"/>
  <c r="M2203" i="1"/>
  <c r="N2203" i="1"/>
  <c r="M2204" i="1"/>
  <c r="N2204" i="1"/>
  <c r="M2205" i="1"/>
  <c r="N2205" i="1"/>
  <c r="M2206" i="1"/>
  <c r="N2206" i="1"/>
  <c r="M2207" i="1"/>
  <c r="N2207" i="1"/>
  <c r="M2208" i="1"/>
  <c r="N2208" i="1"/>
  <c r="M2209" i="1"/>
  <c r="N2209" i="1"/>
  <c r="M2210" i="1"/>
  <c r="N2210" i="1"/>
  <c r="M2211" i="1"/>
  <c r="N2211" i="1"/>
  <c r="M2212" i="1"/>
  <c r="N2212" i="1"/>
  <c r="M2213" i="1"/>
  <c r="N2213" i="1"/>
  <c r="M2214" i="1"/>
  <c r="N2214" i="1"/>
  <c r="M2215" i="1"/>
  <c r="N2215" i="1"/>
  <c r="M2216" i="1"/>
  <c r="N2216" i="1"/>
  <c r="M2217" i="1"/>
  <c r="N2217" i="1"/>
  <c r="M2218" i="1"/>
  <c r="N2218" i="1"/>
  <c r="M2219" i="1"/>
  <c r="N2219" i="1"/>
  <c r="M2220" i="1"/>
  <c r="N2220" i="1"/>
  <c r="M2221" i="1"/>
  <c r="N2221" i="1"/>
  <c r="M2222" i="1"/>
  <c r="N2222" i="1"/>
  <c r="M2223" i="1"/>
  <c r="N2223" i="1"/>
  <c r="M2224" i="1"/>
  <c r="N2224" i="1"/>
  <c r="M2225" i="1"/>
  <c r="N2225" i="1"/>
  <c r="M2226" i="1"/>
  <c r="N2226" i="1"/>
  <c r="M2227" i="1"/>
  <c r="N2227" i="1"/>
  <c r="M2228" i="1"/>
  <c r="N2228" i="1"/>
  <c r="M2229" i="1"/>
  <c r="N2229" i="1"/>
  <c r="M2230" i="1"/>
  <c r="N2230" i="1"/>
  <c r="M2231" i="1"/>
  <c r="N2231" i="1"/>
  <c r="M2232" i="1"/>
  <c r="N2232" i="1"/>
  <c r="M2233" i="1"/>
  <c r="N2233" i="1"/>
  <c r="M2234" i="1"/>
  <c r="N2234" i="1"/>
  <c r="M2235" i="1"/>
  <c r="N2235" i="1"/>
  <c r="M2236" i="1"/>
  <c r="N2236" i="1"/>
  <c r="M2237" i="1"/>
  <c r="N2237" i="1"/>
  <c r="M2238" i="1"/>
  <c r="N2238" i="1"/>
  <c r="M2239" i="1"/>
  <c r="N2239" i="1"/>
  <c r="M2240" i="1"/>
  <c r="N2240" i="1"/>
  <c r="M2241" i="1"/>
  <c r="N2241" i="1"/>
  <c r="M2242" i="1"/>
  <c r="N2242" i="1"/>
  <c r="M2243" i="1"/>
  <c r="N2243" i="1"/>
  <c r="M2244" i="1"/>
  <c r="N2244" i="1"/>
  <c r="M2245" i="1"/>
  <c r="N2245" i="1"/>
  <c r="M2246" i="1"/>
  <c r="N2246" i="1"/>
  <c r="M2247" i="1"/>
  <c r="N2247" i="1"/>
  <c r="M2248" i="1"/>
  <c r="N2248" i="1"/>
  <c r="M2249" i="1"/>
  <c r="N2249" i="1"/>
  <c r="M2250" i="1"/>
  <c r="N2250" i="1"/>
  <c r="M2251" i="1"/>
  <c r="N2251" i="1"/>
  <c r="M2252" i="1"/>
  <c r="N2252" i="1"/>
  <c r="M2253" i="1"/>
  <c r="N2253" i="1"/>
  <c r="M2254" i="1"/>
  <c r="N2254" i="1"/>
  <c r="M2255" i="1"/>
  <c r="N2255" i="1"/>
  <c r="M2256" i="1"/>
  <c r="N2256" i="1"/>
  <c r="M2257" i="1"/>
  <c r="N2257" i="1"/>
  <c r="M2258" i="1"/>
  <c r="N2258" i="1"/>
  <c r="M2259" i="1"/>
  <c r="N2259" i="1"/>
  <c r="M2260" i="1"/>
  <c r="N2260" i="1"/>
  <c r="M2261" i="1"/>
  <c r="N2261" i="1"/>
  <c r="M2262" i="1"/>
  <c r="N2262" i="1"/>
  <c r="M2263" i="1"/>
  <c r="N2263" i="1"/>
  <c r="M2264" i="1"/>
  <c r="N2264" i="1"/>
  <c r="M2265" i="1"/>
  <c r="N2265" i="1"/>
  <c r="M2266" i="1"/>
  <c r="N2266" i="1"/>
  <c r="M2267" i="1"/>
  <c r="N2267" i="1"/>
  <c r="M2268" i="1"/>
  <c r="N2268" i="1"/>
  <c r="M2269" i="1"/>
  <c r="N2269" i="1"/>
  <c r="M2270" i="1"/>
  <c r="N2270" i="1"/>
  <c r="M2271" i="1"/>
  <c r="N2271" i="1"/>
  <c r="M2272" i="1"/>
  <c r="N2272" i="1"/>
  <c r="M2273" i="1"/>
  <c r="N2273" i="1"/>
  <c r="M2274" i="1"/>
  <c r="N2274" i="1"/>
  <c r="M2275" i="1"/>
  <c r="N2275" i="1"/>
  <c r="M2276" i="1"/>
  <c r="N2276" i="1"/>
  <c r="M2277" i="1"/>
  <c r="N2277" i="1"/>
  <c r="M2278" i="1"/>
  <c r="N2278" i="1"/>
  <c r="M2279" i="1"/>
  <c r="N2279" i="1"/>
  <c r="M2280" i="1"/>
  <c r="N2280" i="1"/>
  <c r="M2281" i="1"/>
  <c r="N2281" i="1"/>
  <c r="M2282" i="1"/>
  <c r="N2282" i="1"/>
  <c r="M2283" i="1"/>
  <c r="N2283" i="1"/>
  <c r="M2284" i="1"/>
  <c r="N2284" i="1"/>
  <c r="M2285" i="1"/>
  <c r="N2285" i="1"/>
  <c r="M2286" i="1"/>
  <c r="N2286" i="1"/>
  <c r="M2287" i="1"/>
  <c r="N2287" i="1"/>
  <c r="M2288" i="1"/>
  <c r="N2288" i="1"/>
  <c r="M2289" i="1"/>
  <c r="N2289" i="1"/>
  <c r="M2290" i="1"/>
  <c r="N2290" i="1"/>
  <c r="M2291" i="1"/>
  <c r="N2291" i="1"/>
  <c r="M2292" i="1"/>
  <c r="N2292" i="1"/>
  <c r="M2293" i="1"/>
  <c r="N2293" i="1"/>
  <c r="M2294" i="1"/>
  <c r="N2294" i="1"/>
  <c r="M2295" i="1"/>
  <c r="N2295" i="1"/>
  <c r="M2296" i="1"/>
  <c r="N2296" i="1"/>
  <c r="M2297" i="1"/>
  <c r="N2297" i="1"/>
  <c r="M2298" i="1"/>
  <c r="N2298" i="1"/>
  <c r="M2299" i="1"/>
  <c r="N2299" i="1"/>
  <c r="M2300" i="1"/>
  <c r="N2300" i="1"/>
  <c r="M2301" i="1"/>
  <c r="N2301" i="1"/>
  <c r="M2302" i="1"/>
  <c r="N2302" i="1"/>
  <c r="M2303" i="1"/>
  <c r="N2303" i="1"/>
  <c r="M2304" i="1"/>
  <c r="N2304" i="1"/>
  <c r="M2305" i="1"/>
  <c r="N2305" i="1"/>
  <c r="M2306" i="1"/>
  <c r="N2306" i="1"/>
  <c r="M2307" i="1"/>
  <c r="N2307" i="1"/>
  <c r="M2308" i="1"/>
  <c r="N2308" i="1"/>
  <c r="M2309" i="1"/>
  <c r="N2309" i="1"/>
  <c r="M2310" i="1"/>
  <c r="N2310" i="1"/>
  <c r="M2311" i="1"/>
  <c r="N2311" i="1"/>
  <c r="M2312" i="1"/>
  <c r="N2312" i="1"/>
  <c r="M2313" i="1"/>
  <c r="N2313" i="1"/>
  <c r="M2314" i="1"/>
  <c r="N2314" i="1"/>
  <c r="M2315" i="1"/>
  <c r="N2315" i="1"/>
  <c r="M2316" i="1"/>
  <c r="N2316" i="1"/>
  <c r="M2317" i="1"/>
  <c r="N2317" i="1"/>
  <c r="M2318" i="1"/>
  <c r="N2318" i="1"/>
  <c r="M2319" i="1"/>
  <c r="N2319" i="1"/>
  <c r="M2320" i="1"/>
  <c r="N2320" i="1"/>
  <c r="M2321" i="1"/>
  <c r="N2321" i="1"/>
  <c r="M2322" i="1"/>
  <c r="N2322" i="1"/>
  <c r="M2323" i="1"/>
  <c r="N2323" i="1"/>
  <c r="M2324" i="1"/>
  <c r="N2324" i="1"/>
  <c r="M2325" i="1"/>
  <c r="N2325" i="1"/>
  <c r="M2326" i="1"/>
  <c r="N2326" i="1"/>
  <c r="M2327" i="1"/>
  <c r="N2327" i="1"/>
  <c r="M2328" i="1"/>
  <c r="N2328" i="1"/>
  <c r="M2329" i="1"/>
  <c r="N2329" i="1"/>
  <c r="M2330" i="1"/>
  <c r="N2330" i="1"/>
  <c r="M2331" i="1"/>
  <c r="N2331" i="1"/>
  <c r="M2332" i="1"/>
  <c r="N2332" i="1"/>
  <c r="M2333" i="1"/>
  <c r="N2333" i="1"/>
  <c r="M2334" i="1"/>
  <c r="N2334" i="1"/>
  <c r="M2335" i="1"/>
  <c r="N2335" i="1"/>
  <c r="M2336" i="1"/>
  <c r="N2336" i="1"/>
  <c r="M2337" i="1"/>
  <c r="N2337" i="1"/>
  <c r="M2338" i="1"/>
  <c r="N2338" i="1"/>
  <c r="M2339" i="1"/>
  <c r="N2339" i="1"/>
  <c r="M2340" i="1"/>
  <c r="N2340" i="1"/>
  <c r="M2341" i="1"/>
  <c r="N2341" i="1"/>
  <c r="M2342" i="1"/>
  <c r="N2342" i="1"/>
  <c r="M2343" i="1"/>
  <c r="N2343" i="1"/>
  <c r="M2344" i="1"/>
  <c r="N2344" i="1"/>
  <c r="M2345" i="1"/>
  <c r="N2345" i="1"/>
  <c r="M2346" i="1"/>
  <c r="N2346" i="1"/>
  <c r="M2347" i="1"/>
  <c r="N2347" i="1"/>
  <c r="M2348" i="1"/>
  <c r="N2348" i="1"/>
  <c r="M2349" i="1"/>
  <c r="N2349" i="1"/>
  <c r="M2350" i="1"/>
  <c r="N2350" i="1"/>
  <c r="M2351" i="1"/>
  <c r="N2351" i="1"/>
  <c r="M2352" i="1"/>
  <c r="N2352" i="1"/>
  <c r="M2353" i="1"/>
  <c r="N2353" i="1"/>
  <c r="M2354" i="1"/>
  <c r="N2354" i="1"/>
  <c r="M2355" i="1"/>
  <c r="N2355" i="1"/>
  <c r="M2356" i="1"/>
  <c r="N2356" i="1"/>
  <c r="M2357" i="1"/>
  <c r="N2357" i="1"/>
  <c r="M2358" i="1"/>
  <c r="N2358" i="1"/>
  <c r="M2359" i="1"/>
  <c r="N2359" i="1"/>
  <c r="M2360" i="1"/>
  <c r="N2360" i="1"/>
  <c r="M2361" i="1"/>
  <c r="N2361" i="1"/>
  <c r="M2362" i="1"/>
  <c r="N2362" i="1"/>
  <c r="M2363" i="1"/>
  <c r="N2363" i="1"/>
  <c r="M2364" i="1"/>
  <c r="N2364" i="1"/>
  <c r="M2365" i="1"/>
  <c r="N2365" i="1"/>
  <c r="M2366" i="1"/>
  <c r="N2366" i="1"/>
  <c r="M2367" i="1"/>
  <c r="N2367" i="1"/>
  <c r="M2368" i="1"/>
  <c r="N2368" i="1"/>
  <c r="M2369" i="1"/>
  <c r="N2369" i="1"/>
  <c r="M2370" i="1"/>
  <c r="N2370" i="1"/>
  <c r="M2371" i="1"/>
  <c r="N2371" i="1"/>
  <c r="M2372" i="1"/>
  <c r="N2372" i="1"/>
  <c r="M2373" i="1"/>
  <c r="N2373" i="1"/>
  <c r="M2374" i="1"/>
  <c r="N2374" i="1"/>
  <c r="M2375" i="1"/>
  <c r="N2375" i="1"/>
  <c r="M2376" i="1"/>
  <c r="N2376" i="1"/>
  <c r="M2377" i="1"/>
  <c r="N2377" i="1"/>
  <c r="M2378" i="1"/>
  <c r="N2378" i="1"/>
  <c r="M2379" i="1"/>
  <c r="N2379" i="1"/>
  <c r="M2380" i="1"/>
  <c r="N2380" i="1"/>
  <c r="M2381" i="1"/>
  <c r="N2381" i="1"/>
  <c r="M2382" i="1"/>
  <c r="N2382" i="1"/>
  <c r="M2383" i="1"/>
  <c r="N2383" i="1"/>
  <c r="M2384" i="1"/>
  <c r="N2384" i="1"/>
  <c r="M2385" i="1"/>
  <c r="N2385" i="1"/>
  <c r="M2386" i="1"/>
  <c r="N2386" i="1"/>
  <c r="M2387" i="1"/>
  <c r="N2387" i="1"/>
  <c r="M2388" i="1"/>
  <c r="N2388" i="1"/>
  <c r="M2389" i="1"/>
  <c r="N2389" i="1"/>
  <c r="M2390" i="1"/>
  <c r="N2390" i="1"/>
  <c r="M2391" i="1"/>
  <c r="N2391" i="1"/>
  <c r="M2392" i="1"/>
  <c r="N2392" i="1"/>
  <c r="M2393" i="1"/>
  <c r="N2393" i="1"/>
  <c r="M2394" i="1"/>
  <c r="N2394" i="1"/>
  <c r="M2395" i="1"/>
  <c r="N2395" i="1"/>
  <c r="M2396" i="1"/>
  <c r="N2396" i="1"/>
  <c r="M2397" i="1"/>
  <c r="N2397" i="1"/>
  <c r="M2398" i="1"/>
  <c r="N2398" i="1"/>
  <c r="M2399" i="1"/>
  <c r="N2399" i="1"/>
  <c r="M2400" i="1"/>
  <c r="N2400" i="1"/>
  <c r="M2401" i="1"/>
  <c r="N2401" i="1"/>
  <c r="M2402" i="1"/>
  <c r="N2402" i="1"/>
  <c r="M2403" i="1"/>
  <c r="N2403" i="1"/>
  <c r="M2404" i="1"/>
  <c r="N2404" i="1"/>
  <c r="M2405" i="1"/>
  <c r="N2405" i="1"/>
  <c r="M2406" i="1"/>
  <c r="N2406" i="1"/>
  <c r="M2407" i="1"/>
  <c r="N2407" i="1"/>
  <c r="M2408" i="1"/>
  <c r="N2408" i="1"/>
  <c r="M2409" i="1"/>
  <c r="N2409" i="1"/>
  <c r="M2410" i="1"/>
  <c r="N2410" i="1"/>
  <c r="M2411" i="1"/>
  <c r="N2411" i="1"/>
  <c r="M2412" i="1"/>
  <c r="N2412" i="1"/>
  <c r="M2413" i="1"/>
  <c r="N2413" i="1"/>
  <c r="M2414" i="1"/>
  <c r="N2414" i="1"/>
  <c r="M2415" i="1"/>
  <c r="N2415" i="1"/>
  <c r="M2416" i="1"/>
  <c r="N2416" i="1"/>
  <c r="M2417" i="1"/>
  <c r="N2417" i="1"/>
  <c r="M2418" i="1"/>
  <c r="N2418" i="1"/>
  <c r="M2419" i="1"/>
  <c r="N2419" i="1"/>
  <c r="M2420" i="1"/>
  <c r="N2420" i="1"/>
  <c r="M2421" i="1"/>
  <c r="N2421" i="1"/>
  <c r="M2422" i="1"/>
  <c r="N2422" i="1"/>
  <c r="M2423" i="1"/>
  <c r="N2423" i="1"/>
  <c r="M2424" i="1"/>
  <c r="N2424" i="1"/>
  <c r="M2425" i="1"/>
  <c r="N2425" i="1"/>
  <c r="M2426" i="1"/>
  <c r="N2426" i="1"/>
  <c r="M2427" i="1"/>
  <c r="N2427" i="1"/>
  <c r="M2428" i="1"/>
  <c r="N2428" i="1"/>
  <c r="M2429" i="1"/>
  <c r="N2429" i="1"/>
  <c r="M2430" i="1"/>
  <c r="N2430" i="1"/>
  <c r="M2431" i="1"/>
  <c r="N2431" i="1"/>
  <c r="M2432" i="1"/>
  <c r="N2432" i="1"/>
  <c r="M2433" i="1"/>
  <c r="N2433" i="1"/>
  <c r="M2434" i="1"/>
  <c r="N2434" i="1"/>
  <c r="M2435" i="1"/>
  <c r="N2435" i="1"/>
  <c r="M2436" i="1"/>
  <c r="N2436" i="1"/>
  <c r="M2437" i="1"/>
  <c r="N2437" i="1"/>
  <c r="M2438" i="1"/>
  <c r="N2438" i="1"/>
  <c r="M2439" i="1"/>
  <c r="N2439" i="1"/>
  <c r="M2440" i="1"/>
  <c r="N2440" i="1"/>
  <c r="M2441" i="1"/>
  <c r="N2441" i="1"/>
  <c r="M2442" i="1"/>
  <c r="N2442" i="1"/>
  <c r="M2443" i="1"/>
  <c r="N2443" i="1"/>
  <c r="M2444" i="1"/>
  <c r="N2444" i="1"/>
  <c r="M2445" i="1"/>
  <c r="N2445" i="1"/>
  <c r="M2446" i="1"/>
  <c r="N2446" i="1"/>
  <c r="M2447" i="1"/>
  <c r="N2447" i="1"/>
  <c r="M2448" i="1"/>
  <c r="N2448" i="1"/>
  <c r="M2449" i="1"/>
  <c r="N2449" i="1"/>
  <c r="M2450" i="1"/>
  <c r="N2450" i="1"/>
  <c r="M2451" i="1"/>
  <c r="N2451" i="1"/>
  <c r="M2452" i="1"/>
  <c r="N2452" i="1"/>
  <c r="M2453" i="1"/>
  <c r="N2453" i="1"/>
  <c r="M2454" i="1"/>
  <c r="N2454" i="1"/>
  <c r="M2455" i="1"/>
  <c r="N2455" i="1"/>
  <c r="M2456" i="1"/>
  <c r="N2456" i="1"/>
  <c r="M2457" i="1"/>
  <c r="N2457" i="1"/>
  <c r="M2458" i="1"/>
  <c r="N2458" i="1"/>
  <c r="M2459" i="1"/>
  <c r="N2459" i="1"/>
  <c r="M2460" i="1"/>
  <c r="N2460" i="1"/>
  <c r="M2461" i="1"/>
  <c r="N2461" i="1"/>
  <c r="M2462" i="1"/>
  <c r="N2462" i="1"/>
  <c r="M2463" i="1"/>
  <c r="N2463" i="1"/>
  <c r="M2464" i="1"/>
  <c r="N2464" i="1"/>
  <c r="M2465" i="1"/>
  <c r="N2465" i="1"/>
  <c r="M2466" i="1"/>
  <c r="N2466" i="1"/>
  <c r="M2467" i="1"/>
  <c r="N2467" i="1"/>
  <c r="M2468" i="1"/>
  <c r="N2468" i="1"/>
  <c r="M2469" i="1"/>
  <c r="N2469" i="1"/>
  <c r="M2470" i="1"/>
  <c r="N2470" i="1"/>
  <c r="M2471" i="1"/>
  <c r="N2471" i="1"/>
  <c r="M2472" i="1"/>
  <c r="N2472" i="1"/>
  <c r="M2473" i="1"/>
  <c r="N2473" i="1"/>
  <c r="M2474" i="1"/>
  <c r="N2474" i="1"/>
  <c r="M2475" i="1"/>
  <c r="N2475" i="1"/>
  <c r="M2476" i="1"/>
  <c r="N2476" i="1"/>
  <c r="M2477" i="1"/>
  <c r="N2477" i="1"/>
  <c r="M2478" i="1"/>
  <c r="N2478" i="1"/>
  <c r="M2479" i="1"/>
  <c r="N2479" i="1"/>
  <c r="M2480" i="1"/>
  <c r="N2480" i="1"/>
  <c r="M2481" i="1"/>
  <c r="N2481" i="1"/>
  <c r="M2482" i="1"/>
  <c r="N2482" i="1"/>
  <c r="M2483" i="1"/>
  <c r="N2483" i="1"/>
  <c r="M2484" i="1"/>
  <c r="N2484" i="1"/>
  <c r="M2485" i="1"/>
  <c r="N2485" i="1"/>
  <c r="M2486" i="1"/>
  <c r="N2486" i="1"/>
  <c r="M2487" i="1"/>
  <c r="N2487" i="1"/>
  <c r="M2488" i="1"/>
  <c r="N2488" i="1"/>
  <c r="M2489" i="1"/>
  <c r="N2489" i="1"/>
  <c r="M2490" i="1"/>
  <c r="N2490" i="1"/>
  <c r="M2491" i="1"/>
  <c r="N2491" i="1"/>
  <c r="M2492" i="1"/>
  <c r="N2492" i="1"/>
  <c r="M2493" i="1"/>
  <c r="N2493" i="1"/>
  <c r="M2494" i="1"/>
  <c r="N2494" i="1"/>
  <c r="M2495" i="1"/>
  <c r="N2495" i="1"/>
  <c r="M2496" i="1"/>
  <c r="N2496" i="1"/>
  <c r="M2497" i="1"/>
  <c r="N2497" i="1"/>
  <c r="M2498" i="1"/>
  <c r="N2498" i="1"/>
  <c r="M2499" i="1"/>
  <c r="N2499" i="1"/>
  <c r="M2500" i="1"/>
  <c r="N2500" i="1"/>
  <c r="M2501" i="1"/>
  <c r="N2501" i="1"/>
  <c r="M2502" i="1"/>
  <c r="N2502" i="1"/>
  <c r="M2503" i="1"/>
  <c r="N2503" i="1"/>
  <c r="M2504" i="1"/>
  <c r="N2504" i="1"/>
  <c r="M2505" i="1"/>
  <c r="N2505" i="1"/>
  <c r="M2506" i="1"/>
  <c r="N2506" i="1"/>
  <c r="M2507" i="1"/>
  <c r="N2507" i="1"/>
  <c r="M2508" i="1"/>
  <c r="N2508" i="1"/>
  <c r="M2509" i="1"/>
  <c r="N2509" i="1"/>
  <c r="M2510" i="1"/>
  <c r="N2510" i="1"/>
  <c r="M2511" i="1"/>
  <c r="N2511" i="1"/>
  <c r="M2512" i="1"/>
  <c r="N2512" i="1"/>
  <c r="M2513" i="1"/>
  <c r="N2513" i="1"/>
  <c r="M2514" i="1"/>
  <c r="N2514" i="1"/>
  <c r="M2515" i="1"/>
  <c r="N2515" i="1"/>
  <c r="M2516" i="1"/>
  <c r="N2516" i="1"/>
  <c r="M2517" i="1"/>
  <c r="N2517" i="1"/>
  <c r="M2518" i="1"/>
  <c r="N2518" i="1"/>
  <c r="M2519" i="1"/>
  <c r="N2519" i="1"/>
  <c r="M2520" i="1"/>
  <c r="N2520" i="1"/>
  <c r="M2521" i="1"/>
  <c r="N2521" i="1"/>
  <c r="M2522" i="1"/>
  <c r="N2522" i="1"/>
  <c r="M2523" i="1"/>
  <c r="N2523" i="1"/>
  <c r="M2524" i="1"/>
  <c r="N2524" i="1"/>
  <c r="M2525" i="1"/>
  <c r="N2525" i="1"/>
  <c r="M2526" i="1"/>
  <c r="N2526" i="1"/>
  <c r="M2527" i="1"/>
  <c r="N2527" i="1"/>
  <c r="M2528" i="1"/>
  <c r="N2528" i="1"/>
  <c r="M2529" i="1"/>
  <c r="N2529" i="1"/>
  <c r="M2530" i="1"/>
  <c r="N2530" i="1"/>
  <c r="M2531" i="1"/>
  <c r="N2531" i="1"/>
  <c r="M2532" i="1"/>
  <c r="N2532" i="1"/>
  <c r="M2533" i="1"/>
  <c r="N2533" i="1"/>
  <c r="M2534" i="1"/>
  <c r="N2534" i="1"/>
  <c r="M2535" i="1"/>
  <c r="N2535" i="1"/>
  <c r="M2536" i="1"/>
  <c r="N2536" i="1"/>
  <c r="M2537" i="1"/>
  <c r="N2537" i="1"/>
  <c r="M2538" i="1"/>
  <c r="N2538" i="1"/>
  <c r="M2539" i="1"/>
  <c r="N2539" i="1"/>
  <c r="M2540" i="1"/>
  <c r="N2540" i="1"/>
  <c r="M2541" i="1"/>
  <c r="N2541" i="1"/>
  <c r="M2542" i="1"/>
  <c r="N2542" i="1"/>
  <c r="M2543" i="1"/>
  <c r="N2543" i="1"/>
  <c r="M2544" i="1"/>
  <c r="N2544" i="1"/>
  <c r="M2545" i="1"/>
  <c r="N2545" i="1"/>
  <c r="M2546" i="1"/>
  <c r="N2546" i="1"/>
  <c r="M2547" i="1"/>
  <c r="N2547" i="1"/>
  <c r="M2548" i="1"/>
  <c r="N2548" i="1"/>
  <c r="M2549" i="1"/>
  <c r="N2549" i="1"/>
  <c r="M2550" i="1"/>
  <c r="N2550" i="1"/>
  <c r="M2551" i="1"/>
  <c r="N2551" i="1"/>
  <c r="M2552" i="1"/>
  <c r="N2552" i="1"/>
  <c r="M2553" i="1"/>
  <c r="N2553" i="1"/>
  <c r="M2554" i="1"/>
  <c r="N2554" i="1"/>
  <c r="M2555" i="1"/>
  <c r="N2555" i="1"/>
  <c r="M2556" i="1"/>
  <c r="N2556" i="1"/>
  <c r="M2557" i="1"/>
  <c r="N2557" i="1"/>
  <c r="M2558" i="1"/>
  <c r="N2558" i="1"/>
  <c r="M2559" i="1"/>
  <c r="N2559" i="1"/>
  <c r="M2560" i="1"/>
  <c r="N2560" i="1"/>
  <c r="M2561" i="1"/>
  <c r="N2561" i="1"/>
  <c r="M2562" i="1"/>
  <c r="N2562" i="1"/>
  <c r="M2563" i="1"/>
  <c r="N2563" i="1"/>
  <c r="M2564" i="1"/>
  <c r="N2564" i="1"/>
  <c r="M2565" i="1"/>
  <c r="N2565" i="1"/>
  <c r="M2566" i="1"/>
  <c r="N2566" i="1"/>
  <c r="M2567" i="1"/>
  <c r="N2567" i="1"/>
  <c r="M2568" i="1"/>
  <c r="N2568" i="1"/>
  <c r="M2569" i="1"/>
  <c r="N2569" i="1"/>
  <c r="M2570" i="1"/>
  <c r="N2570" i="1"/>
  <c r="M2571" i="1"/>
  <c r="N2571" i="1"/>
  <c r="M2572" i="1"/>
  <c r="N2572" i="1"/>
  <c r="M2573" i="1"/>
  <c r="N2573" i="1"/>
  <c r="M2574" i="1"/>
  <c r="N2574" i="1"/>
  <c r="M2575" i="1"/>
  <c r="N2575" i="1"/>
  <c r="M2576" i="1"/>
  <c r="N2576" i="1"/>
  <c r="M2577" i="1"/>
  <c r="N2577" i="1"/>
  <c r="M2578" i="1"/>
  <c r="N2578" i="1"/>
  <c r="M2579" i="1"/>
  <c r="N2579" i="1"/>
  <c r="M2580" i="1"/>
  <c r="N2580" i="1"/>
  <c r="M2581" i="1"/>
  <c r="N2581" i="1"/>
  <c r="M2582" i="1"/>
  <c r="N2582" i="1"/>
  <c r="M2583" i="1"/>
  <c r="N2583" i="1"/>
  <c r="M2584" i="1"/>
  <c r="N2584" i="1"/>
  <c r="M2585" i="1"/>
  <c r="N2585" i="1"/>
  <c r="M2586" i="1"/>
  <c r="N2586" i="1"/>
  <c r="M2587" i="1"/>
  <c r="N2587" i="1"/>
  <c r="M2588" i="1"/>
  <c r="N2588" i="1"/>
  <c r="M2589" i="1"/>
  <c r="N2589" i="1"/>
  <c r="M2590" i="1"/>
  <c r="N2590" i="1"/>
  <c r="M2591" i="1"/>
  <c r="N2591" i="1"/>
  <c r="M2592" i="1"/>
  <c r="N2592" i="1"/>
  <c r="M2593" i="1"/>
  <c r="N2593" i="1"/>
  <c r="M2594" i="1"/>
  <c r="N2594" i="1"/>
  <c r="M2595" i="1"/>
  <c r="N2595" i="1"/>
  <c r="M2596" i="1"/>
  <c r="N2596" i="1"/>
  <c r="M2597" i="1"/>
  <c r="N2597" i="1"/>
  <c r="M2598" i="1"/>
  <c r="N2598" i="1"/>
  <c r="M2599" i="1"/>
  <c r="N2599" i="1"/>
  <c r="M2600" i="1"/>
  <c r="N2600" i="1"/>
  <c r="M2601" i="1"/>
  <c r="N2601" i="1"/>
  <c r="M2602" i="1"/>
  <c r="N2602" i="1"/>
  <c r="M2603" i="1"/>
  <c r="N2603" i="1"/>
  <c r="M2604" i="1"/>
  <c r="N2604" i="1"/>
  <c r="M2605" i="1"/>
  <c r="N2605" i="1"/>
  <c r="M2606" i="1"/>
  <c r="N2606" i="1"/>
  <c r="M2607" i="1"/>
  <c r="N2607" i="1"/>
  <c r="M2608" i="1"/>
  <c r="N2608" i="1"/>
  <c r="M2609" i="1"/>
  <c r="N2609" i="1"/>
  <c r="M2610" i="1"/>
  <c r="N2610" i="1"/>
  <c r="M2611" i="1"/>
  <c r="N2611" i="1"/>
  <c r="M2612" i="1"/>
  <c r="N2612" i="1"/>
  <c r="M2613" i="1"/>
  <c r="N2613" i="1"/>
  <c r="M2614" i="1"/>
  <c r="N2614" i="1"/>
  <c r="M2615" i="1"/>
  <c r="N2615" i="1"/>
  <c r="M2616" i="1"/>
  <c r="N2616" i="1"/>
  <c r="M2617" i="1"/>
  <c r="N2617" i="1"/>
  <c r="M2618" i="1"/>
  <c r="N2618" i="1"/>
  <c r="M2619" i="1"/>
  <c r="N2619" i="1"/>
  <c r="M2620" i="1"/>
  <c r="N2620" i="1"/>
  <c r="M2621" i="1"/>
  <c r="N2621" i="1"/>
  <c r="M2622" i="1"/>
  <c r="N2622" i="1"/>
  <c r="M2623" i="1"/>
  <c r="N2623" i="1"/>
  <c r="M2624" i="1"/>
  <c r="N2624" i="1"/>
  <c r="M2625" i="1"/>
  <c r="N2625" i="1"/>
  <c r="M2626" i="1"/>
  <c r="N2626" i="1"/>
  <c r="M2627" i="1"/>
  <c r="N2627" i="1"/>
  <c r="M2628" i="1"/>
  <c r="N2628" i="1"/>
  <c r="M2629" i="1"/>
  <c r="N2629" i="1"/>
  <c r="M2630" i="1"/>
  <c r="N2630" i="1"/>
  <c r="M2631" i="1"/>
  <c r="N2631" i="1"/>
  <c r="M2632" i="1"/>
  <c r="N2632" i="1"/>
  <c r="M2633" i="1"/>
  <c r="N2633" i="1"/>
  <c r="M2634" i="1"/>
  <c r="N2634" i="1"/>
  <c r="M2635" i="1"/>
  <c r="N2635" i="1"/>
  <c r="M2636" i="1"/>
  <c r="N2636" i="1"/>
  <c r="M2637" i="1"/>
  <c r="N2637" i="1"/>
  <c r="M2638" i="1"/>
  <c r="N2638" i="1"/>
  <c r="M2639" i="1"/>
  <c r="N2639" i="1"/>
  <c r="M2640" i="1"/>
  <c r="N2640" i="1"/>
  <c r="M2641" i="1"/>
  <c r="N2641" i="1"/>
  <c r="M2642" i="1"/>
  <c r="N2642" i="1"/>
  <c r="M2643" i="1"/>
  <c r="N2643" i="1"/>
  <c r="M2644" i="1"/>
  <c r="N2644" i="1"/>
  <c r="M2645" i="1"/>
  <c r="N2645" i="1"/>
  <c r="M2646" i="1"/>
  <c r="N2646" i="1"/>
  <c r="M2647" i="1"/>
  <c r="N2647" i="1"/>
  <c r="M2648" i="1"/>
  <c r="N2648" i="1"/>
  <c r="M2649" i="1"/>
  <c r="N2649" i="1"/>
  <c r="M2650" i="1"/>
  <c r="N2650" i="1"/>
  <c r="M2651" i="1"/>
  <c r="N2651" i="1"/>
  <c r="M2652" i="1"/>
  <c r="N2652" i="1"/>
  <c r="M2653" i="1"/>
  <c r="N2653" i="1"/>
  <c r="M2654" i="1"/>
  <c r="N2654" i="1"/>
  <c r="M2655" i="1"/>
  <c r="N2655" i="1"/>
  <c r="M2656" i="1"/>
  <c r="N2656" i="1"/>
  <c r="M2657" i="1"/>
  <c r="N2657" i="1"/>
  <c r="M2658" i="1"/>
  <c r="N2658" i="1"/>
  <c r="M2659" i="1"/>
  <c r="N2659" i="1"/>
  <c r="M2660" i="1"/>
  <c r="N2660" i="1"/>
  <c r="M2661" i="1"/>
  <c r="N2661" i="1"/>
  <c r="M2662" i="1"/>
  <c r="N2662" i="1"/>
  <c r="M2663" i="1"/>
  <c r="N2663" i="1"/>
  <c r="M2664" i="1"/>
  <c r="N2664" i="1"/>
  <c r="M2665" i="1"/>
  <c r="N2665" i="1"/>
  <c r="M2666" i="1"/>
  <c r="N2666" i="1"/>
  <c r="M2667" i="1"/>
  <c r="N2667" i="1"/>
  <c r="M2668" i="1"/>
  <c r="N2668" i="1"/>
  <c r="M2669" i="1"/>
  <c r="N2669" i="1"/>
  <c r="M2670" i="1"/>
  <c r="N2670" i="1"/>
  <c r="M2671" i="1"/>
  <c r="N2671" i="1"/>
  <c r="M2672" i="1"/>
  <c r="N2672" i="1"/>
  <c r="M2673" i="1"/>
  <c r="N2673" i="1"/>
  <c r="M2674" i="1"/>
  <c r="N2674" i="1"/>
  <c r="M2675" i="1"/>
  <c r="N2675" i="1"/>
  <c r="M2676" i="1"/>
  <c r="N2676" i="1"/>
  <c r="M2677" i="1"/>
  <c r="N2677" i="1"/>
  <c r="M2678" i="1"/>
  <c r="N2678" i="1"/>
  <c r="M2679" i="1"/>
  <c r="N2679" i="1"/>
  <c r="M2680" i="1"/>
  <c r="N2680" i="1"/>
  <c r="M2681" i="1"/>
  <c r="N2681" i="1"/>
  <c r="M2682" i="1"/>
  <c r="N2682" i="1"/>
  <c r="M2683" i="1"/>
  <c r="N2683" i="1"/>
  <c r="M2684" i="1"/>
  <c r="N2684" i="1"/>
  <c r="M2685" i="1"/>
  <c r="N2685" i="1"/>
  <c r="M2686" i="1"/>
  <c r="N2686" i="1"/>
  <c r="M2687" i="1"/>
  <c r="N2687" i="1"/>
  <c r="M2688" i="1"/>
  <c r="N2688" i="1"/>
  <c r="M2689" i="1"/>
  <c r="N2689" i="1"/>
  <c r="M2690" i="1"/>
  <c r="N2690" i="1"/>
  <c r="M2691" i="1"/>
  <c r="N2691" i="1"/>
  <c r="M2692" i="1"/>
  <c r="N2692" i="1"/>
  <c r="M2693" i="1"/>
  <c r="N2693" i="1"/>
  <c r="M2694" i="1"/>
  <c r="N2694" i="1"/>
  <c r="M2695" i="1"/>
  <c r="N2695" i="1"/>
  <c r="M2696" i="1"/>
  <c r="N2696" i="1"/>
  <c r="M2697" i="1"/>
  <c r="N2697" i="1"/>
  <c r="M2698" i="1"/>
  <c r="N2698" i="1"/>
  <c r="M2699" i="1"/>
  <c r="N2699" i="1"/>
  <c r="M2700" i="1"/>
  <c r="N2700" i="1"/>
  <c r="M2701" i="1"/>
  <c r="N2701" i="1"/>
  <c r="M2702" i="1"/>
  <c r="N2702" i="1"/>
  <c r="M2703" i="1"/>
  <c r="N2703" i="1"/>
  <c r="M2704" i="1"/>
  <c r="N2704" i="1"/>
  <c r="M2705" i="1"/>
  <c r="N2705" i="1"/>
  <c r="M2706" i="1"/>
  <c r="N2706" i="1"/>
  <c r="M2707" i="1"/>
  <c r="N2707" i="1"/>
  <c r="M2708" i="1"/>
  <c r="N2708" i="1"/>
  <c r="M2709" i="1"/>
  <c r="N2709" i="1"/>
  <c r="M2710" i="1"/>
  <c r="N2710" i="1"/>
  <c r="M2711" i="1"/>
  <c r="N2711" i="1"/>
  <c r="M2712" i="1"/>
  <c r="N2712" i="1"/>
  <c r="M2713" i="1"/>
  <c r="N2713" i="1"/>
  <c r="M2714" i="1"/>
  <c r="N2714" i="1"/>
  <c r="M2715" i="1"/>
  <c r="N2715" i="1"/>
  <c r="M2716" i="1"/>
  <c r="N2716" i="1"/>
  <c r="M2717" i="1"/>
  <c r="N2717" i="1"/>
  <c r="M2718" i="1"/>
  <c r="N2718" i="1"/>
  <c r="M2719" i="1"/>
  <c r="N2719" i="1"/>
  <c r="M2720" i="1"/>
  <c r="N2720" i="1"/>
  <c r="M2721" i="1"/>
  <c r="N2721" i="1"/>
  <c r="M2722" i="1"/>
  <c r="N2722" i="1"/>
  <c r="M2723" i="1"/>
  <c r="N2723" i="1"/>
  <c r="M2724" i="1"/>
  <c r="N2724" i="1"/>
  <c r="M2725" i="1"/>
  <c r="N2725" i="1"/>
  <c r="M2726" i="1"/>
  <c r="N2726" i="1"/>
  <c r="M2727" i="1"/>
  <c r="N2727" i="1"/>
  <c r="M2728" i="1"/>
  <c r="N2728" i="1"/>
  <c r="M2729" i="1"/>
  <c r="N2729" i="1"/>
  <c r="M2730" i="1"/>
  <c r="N2730" i="1"/>
  <c r="M2731" i="1"/>
  <c r="N2731" i="1"/>
  <c r="M2732" i="1"/>
  <c r="N2732" i="1"/>
  <c r="M2733" i="1"/>
  <c r="N2733" i="1"/>
  <c r="M2734" i="1"/>
  <c r="N2734" i="1"/>
  <c r="M2735" i="1"/>
  <c r="N2735" i="1"/>
  <c r="M2736" i="1"/>
  <c r="N2736" i="1"/>
  <c r="M2737" i="1"/>
  <c r="N2737" i="1"/>
  <c r="M2738" i="1"/>
  <c r="N2738" i="1"/>
  <c r="M2739" i="1"/>
  <c r="N2739" i="1"/>
  <c r="M2740" i="1"/>
  <c r="N2740" i="1"/>
  <c r="M2741" i="1"/>
  <c r="N2741" i="1"/>
  <c r="M2742" i="1"/>
  <c r="N2742" i="1"/>
  <c r="M2743" i="1"/>
  <c r="N2743" i="1"/>
  <c r="M2744" i="1"/>
  <c r="N2744" i="1"/>
  <c r="M2745" i="1"/>
  <c r="N2745" i="1"/>
  <c r="M2746" i="1"/>
  <c r="N2746" i="1"/>
  <c r="M2747" i="1"/>
  <c r="N2747" i="1"/>
  <c r="M2748" i="1"/>
  <c r="N2748" i="1"/>
  <c r="M2749" i="1"/>
  <c r="N2749" i="1"/>
  <c r="M2750" i="1"/>
  <c r="N2750" i="1"/>
  <c r="M2751" i="1"/>
  <c r="N2751" i="1"/>
  <c r="M2752" i="1"/>
  <c r="N2752" i="1"/>
  <c r="M2753" i="1"/>
  <c r="N2753" i="1"/>
  <c r="M2754" i="1"/>
  <c r="N2754" i="1"/>
  <c r="M2755" i="1"/>
  <c r="N2755" i="1"/>
  <c r="M2756" i="1"/>
  <c r="N2756" i="1"/>
  <c r="M2757" i="1"/>
  <c r="N2757" i="1"/>
  <c r="M2758" i="1"/>
  <c r="N2758" i="1"/>
  <c r="M2759" i="1"/>
  <c r="N2759" i="1"/>
  <c r="M2760" i="1"/>
  <c r="N2760" i="1"/>
  <c r="M2761" i="1"/>
  <c r="N2761" i="1"/>
  <c r="M2762" i="1"/>
  <c r="N2762" i="1"/>
  <c r="M2763" i="1"/>
  <c r="N2763" i="1"/>
  <c r="M2764" i="1"/>
  <c r="N2764" i="1"/>
  <c r="M2765" i="1"/>
  <c r="N2765" i="1"/>
  <c r="M2766" i="1"/>
  <c r="N2766" i="1"/>
  <c r="M2767" i="1"/>
  <c r="N2767" i="1"/>
  <c r="M2768" i="1"/>
  <c r="N2768" i="1"/>
  <c r="M2769" i="1"/>
  <c r="N2769" i="1"/>
  <c r="M2770" i="1"/>
  <c r="N2770" i="1"/>
  <c r="M2771" i="1"/>
  <c r="N2771" i="1"/>
  <c r="M2772" i="1"/>
  <c r="N2772" i="1"/>
  <c r="M2773" i="1"/>
  <c r="N2773" i="1"/>
  <c r="M2774" i="1"/>
  <c r="N2774" i="1"/>
  <c r="M2775" i="1"/>
  <c r="N2775" i="1"/>
  <c r="M2776" i="1"/>
  <c r="N2776" i="1"/>
  <c r="M2777" i="1"/>
  <c r="N2777" i="1"/>
  <c r="M2778" i="1"/>
  <c r="N2778" i="1"/>
  <c r="M2779" i="1"/>
  <c r="N2779" i="1"/>
  <c r="M2780" i="1"/>
  <c r="N2780" i="1"/>
  <c r="M2781" i="1"/>
  <c r="N2781" i="1"/>
  <c r="M2782" i="1"/>
  <c r="N2782" i="1"/>
  <c r="M2783" i="1"/>
  <c r="N2783" i="1"/>
  <c r="M2784" i="1"/>
  <c r="N2784" i="1"/>
  <c r="M2785" i="1"/>
  <c r="N2785" i="1"/>
  <c r="M2786" i="1"/>
  <c r="N2786" i="1"/>
  <c r="M2787" i="1"/>
  <c r="N2787" i="1"/>
  <c r="M2788" i="1"/>
  <c r="N2788" i="1"/>
  <c r="M2789" i="1"/>
  <c r="N2789" i="1"/>
  <c r="M2790" i="1"/>
  <c r="N2790" i="1"/>
  <c r="M2791" i="1"/>
  <c r="N2791" i="1"/>
  <c r="M2792" i="1"/>
  <c r="N2792" i="1"/>
  <c r="M2793" i="1"/>
  <c r="N2793" i="1"/>
  <c r="M2794" i="1"/>
  <c r="N2794" i="1"/>
  <c r="M2795" i="1"/>
  <c r="N2795" i="1"/>
  <c r="M2796" i="1"/>
  <c r="N2796" i="1"/>
  <c r="M2797" i="1"/>
  <c r="N2797" i="1"/>
  <c r="M2798" i="1"/>
  <c r="N2798" i="1"/>
  <c r="M2799" i="1"/>
  <c r="N2799" i="1"/>
  <c r="M2800" i="1"/>
  <c r="N2800" i="1"/>
  <c r="M2801" i="1"/>
  <c r="N2801" i="1"/>
  <c r="M2802" i="1"/>
  <c r="N2802" i="1"/>
  <c r="M2803" i="1"/>
  <c r="N2803" i="1"/>
  <c r="M2804" i="1"/>
  <c r="N2804" i="1"/>
  <c r="M2805" i="1"/>
  <c r="N2805" i="1"/>
  <c r="M2806" i="1"/>
  <c r="N2806" i="1"/>
  <c r="M2807" i="1"/>
  <c r="N2807" i="1"/>
  <c r="M2808" i="1"/>
  <c r="N2808" i="1"/>
  <c r="M2809" i="1"/>
  <c r="N2809" i="1"/>
  <c r="M2810" i="1"/>
  <c r="N2810" i="1"/>
  <c r="M2811" i="1"/>
  <c r="N2811" i="1"/>
  <c r="M2812" i="1"/>
  <c r="N2812" i="1"/>
  <c r="M2813" i="1"/>
  <c r="N2813" i="1"/>
  <c r="M2814" i="1"/>
  <c r="N2814" i="1"/>
  <c r="M2815" i="1"/>
  <c r="N2815" i="1"/>
  <c r="M2816" i="1"/>
  <c r="N2816" i="1"/>
  <c r="M2817" i="1"/>
  <c r="N2817" i="1"/>
  <c r="M2818" i="1"/>
  <c r="N2818" i="1"/>
  <c r="M2819" i="1"/>
  <c r="N2819" i="1"/>
  <c r="M2820" i="1"/>
  <c r="N2820" i="1"/>
  <c r="M2821" i="1"/>
  <c r="N2821" i="1"/>
  <c r="M2822" i="1"/>
  <c r="N2822" i="1"/>
  <c r="M2823" i="1"/>
  <c r="N2823" i="1"/>
  <c r="M2824" i="1"/>
  <c r="N2824" i="1"/>
  <c r="M2825" i="1"/>
  <c r="N2825" i="1"/>
  <c r="M2826" i="1"/>
  <c r="N2826" i="1"/>
  <c r="M2827" i="1"/>
  <c r="N2827" i="1"/>
  <c r="M2828" i="1"/>
  <c r="N2828" i="1"/>
  <c r="M2829" i="1"/>
  <c r="N2829" i="1"/>
  <c r="M2830" i="1"/>
  <c r="N2830" i="1"/>
  <c r="M2831" i="1"/>
  <c r="N2831" i="1"/>
  <c r="M2832" i="1"/>
  <c r="N2832" i="1"/>
  <c r="M2833" i="1"/>
  <c r="N2833" i="1"/>
  <c r="M2834" i="1"/>
  <c r="N2834" i="1"/>
  <c r="M2835" i="1"/>
  <c r="N2835" i="1"/>
  <c r="M2836" i="1"/>
  <c r="N2836" i="1"/>
  <c r="M2837" i="1"/>
  <c r="N2837" i="1"/>
  <c r="M2838" i="1"/>
  <c r="N2838" i="1"/>
  <c r="M2839" i="1"/>
  <c r="N2839" i="1"/>
  <c r="M2840" i="1"/>
  <c r="N2840" i="1"/>
  <c r="M2841" i="1"/>
  <c r="N2841" i="1"/>
  <c r="M2842" i="1"/>
  <c r="N2842" i="1"/>
  <c r="M2843" i="1"/>
  <c r="N2843" i="1"/>
  <c r="M2844" i="1"/>
  <c r="N2844" i="1"/>
  <c r="M2845" i="1"/>
  <c r="N2845" i="1"/>
  <c r="M2846" i="1"/>
  <c r="N2846" i="1"/>
  <c r="M2847" i="1"/>
  <c r="N2847" i="1"/>
  <c r="M2848" i="1"/>
  <c r="N2848" i="1"/>
  <c r="M2849" i="1"/>
  <c r="N2849" i="1"/>
  <c r="M2850" i="1"/>
  <c r="N2850" i="1"/>
  <c r="M2851" i="1"/>
  <c r="N2851" i="1"/>
  <c r="M2852" i="1"/>
  <c r="N2852" i="1"/>
  <c r="M2853" i="1"/>
  <c r="N2853" i="1"/>
  <c r="M2854" i="1"/>
  <c r="N2854" i="1"/>
  <c r="M2855" i="1"/>
  <c r="N2855" i="1"/>
  <c r="M2856" i="1"/>
  <c r="N2856" i="1"/>
  <c r="M2857" i="1"/>
  <c r="N2857" i="1"/>
  <c r="M2858" i="1"/>
  <c r="N2858" i="1"/>
  <c r="M2859" i="1"/>
  <c r="N2859" i="1"/>
  <c r="M2860" i="1"/>
  <c r="N2860" i="1"/>
  <c r="M2861" i="1"/>
  <c r="N2861" i="1"/>
  <c r="M2862" i="1"/>
  <c r="N2862" i="1"/>
  <c r="M2863" i="1"/>
  <c r="N2863" i="1"/>
  <c r="M2864" i="1"/>
  <c r="N2864" i="1"/>
  <c r="M2865" i="1"/>
  <c r="N2865" i="1"/>
  <c r="M2866" i="1"/>
  <c r="N2866" i="1"/>
  <c r="M2867" i="1"/>
  <c r="N2867" i="1"/>
  <c r="M2868" i="1"/>
  <c r="N2868" i="1"/>
  <c r="M2869" i="1"/>
  <c r="N2869" i="1"/>
  <c r="M2870" i="1"/>
  <c r="N2870" i="1"/>
  <c r="M2871" i="1"/>
  <c r="N2871" i="1"/>
  <c r="M2872" i="1"/>
  <c r="N2872" i="1"/>
  <c r="M2873" i="1"/>
  <c r="N2873" i="1"/>
  <c r="M2874" i="1"/>
  <c r="N2874" i="1"/>
  <c r="M2875" i="1"/>
  <c r="N2875" i="1"/>
  <c r="M2876" i="1"/>
  <c r="N2876" i="1"/>
  <c r="M2877" i="1"/>
  <c r="N2877" i="1"/>
  <c r="M2878" i="1"/>
  <c r="N2878" i="1"/>
  <c r="M2879" i="1"/>
  <c r="N2879" i="1"/>
  <c r="M2880" i="1"/>
  <c r="N2880" i="1"/>
  <c r="M2881" i="1"/>
  <c r="N2881" i="1"/>
  <c r="M2882" i="1"/>
  <c r="N2882" i="1"/>
  <c r="M2883" i="1"/>
  <c r="N2883" i="1"/>
  <c r="M2884" i="1"/>
  <c r="N2884" i="1"/>
  <c r="M2885" i="1"/>
  <c r="N2885" i="1"/>
  <c r="M2886" i="1"/>
  <c r="N2886" i="1"/>
  <c r="M2887" i="1"/>
  <c r="N2887" i="1"/>
  <c r="M2888" i="1"/>
  <c r="N2888" i="1"/>
  <c r="M2889" i="1"/>
  <c r="N2889" i="1"/>
  <c r="M2890" i="1"/>
  <c r="N2890" i="1"/>
  <c r="M2891" i="1"/>
  <c r="N2891" i="1"/>
  <c r="M2892" i="1"/>
  <c r="N2892" i="1"/>
  <c r="M2893" i="1"/>
  <c r="N2893" i="1"/>
  <c r="M2894" i="1"/>
  <c r="N2894" i="1"/>
  <c r="M2895" i="1"/>
  <c r="N2895" i="1"/>
  <c r="M2896" i="1"/>
  <c r="N2896" i="1"/>
  <c r="M2897" i="1"/>
  <c r="N2897" i="1"/>
  <c r="M2898" i="1"/>
  <c r="N2898" i="1"/>
  <c r="M2899" i="1"/>
  <c r="N2899" i="1"/>
  <c r="M2900" i="1"/>
  <c r="N2900" i="1"/>
  <c r="M2901" i="1"/>
  <c r="N2901" i="1"/>
  <c r="M2902" i="1"/>
  <c r="N2902" i="1"/>
  <c r="M2903" i="1"/>
  <c r="N2903" i="1"/>
  <c r="M2904" i="1"/>
  <c r="N2904" i="1"/>
  <c r="M2905" i="1"/>
  <c r="N2905" i="1"/>
  <c r="M2906" i="1"/>
  <c r="N2906" i="1"/>
  <c r="M2907" i="1"/>
  <c r="N2907" i="1"/>
  <c r="M2908" i="1"/>
  <c r="N2908" i="1"/>
  <c r="M2909" i="1"/>
  <c r="N2909" i="1"/>
  <c r="M2910" i="1"/>
  <c r="N2910" i="1"/>
  <c r="M2911" i="1"/>
  <c r="N2911" i="1"/>
  <c r="M2912" i="1"/>
  <c r="N2912" i="1"/>
  <c r="M2913" i="1"/>
  <c r="N2913" i="1"/>
  <c r="M2914" i="1"/>
  <c r="N2914" i="1"/>
  <c r="M2915" i="1"/>
  <c r="N2915" i="1"/>
  <c r="M2916" i="1"/>
  <c r="N2916" i="1"/>
  <c r="M2917" i="1"/>
  <c r="N2917" i="1"/>
  <c r="M2918" i="1"/>
  <c r="N2918" i="1"/>
  <c r="M2919" i="1"/>
  <c r="N2919" i="1"/>
  <c r="M2920" i="1"/>
  <c r="N2920" i="1"/>
  <c r="M2921" i="1"/>
  <c r="N2921" i="1"/>
  <c r="M2922" i="1"/>
  <c r="N2922" i="1"/>
  <c r="M2923" i="1"/>
  <c r="N2923" i="1"/>
  <c r="M2924" i="1"/>
  <c r="N2924" i="1"/>
  <c r="M2925" i="1"/>
  <c r="N2925" i="1"/>
  <c r="M2926" i="1"/>
  <c r="N2926" i="1"/>
  <c r="M2927" i="1"/>
  <c r="N2927" i="1"/>
  <c r="M2928" i="1"/>
  <c r="N2928" i="1"/>
  <c r="M2929" i="1"/>
  <c r="N2929" i="1"/>
  <c r="M2930" i="1"/>
  <c r="N2930" i="1"/>
  <c r="M2931" i="1"/>
  <c r="N2931" i="1"/>
  <c r="M2932" i="1"/>
  <c r="N2932" i="1"/>
  <c r="M2933" i="1"/>
  <c r="N2933" i="1"/>
  <c r="M2934" i="1"/>
  <c r="N2934" i="1"/>
  <c r="M2935" i="1"/>
  <c r="N2935" i="1"/>
  <c r="M2936" i="1"/>
  <c r="N2936" i="1"/>
  <c r="M2937" i="1"/>
  <c r="N2937" i="1"/>
  <c r="M2938" i="1"/>
  <c r="N2938" i="1"/>
  <c r="M2939" i="1"/>
  <c r="N2939" i="1"/>
  <c r="M2940" i="1"/>
  <c r="N2940" i="1"/>
  <c r="M2941" i="1"/>
  <c r="N2941" i="1"/>
  <c r="M2942" i="1"/>
  <c r="N2942" i="1"/>
  <c r="M2943" i="1"/>
  <c r="N2943" i="1"/>
  <c r="M2944" i="1"/>
  <c r="N2944" i="1"/>
  <c r="M2945" i="1"/>
  <c r="N2945" i="1"/>
  <c r="M2946" i="1"/>
  <c r="N2946" i="1"/>
  <c r="M2947" i="1"/>
  <c r="N2947" i="1"/>
  <c r="M2948" i="1"/>
  <c r="N2948" i="1"/>
  <c r="M2949" i="1"/>
  <c r="N2949" i="1"/>
  <c r="M2950" i="1"/>
  <c r="N2950" i="1"/>
  <c r="M2951" i="1"/>
  <c r="N2951" i="1"/>
  <c r="M2952" i="1"/>
  <c r="N2952" i="1"/>
  <c r="M2953" i="1"/>
  <c r="N2953" i="1"/>
  <c r="M2954" i="1"/>
  <c r="N2954" i="1"/>
  <c r="M2955" i="1"/>
  <c r="N2955" i="1"/>
  <c r="M2956" i="1"/>
  <c r="N2956" i="1"/>
  <c r="M2957" i="1"/>
  <c r="N2957" i="1"/>
  <c r="M2958" i="1"/>
  <c r="N2958" i="1"/>
  <c r="M2959" i="1"/>
  <c r="N2959" i="1"/>
  <c r="M2960" i="1"/>
  <c r="N2960" i="1"/>
  <c r="M2961" i="1"/>
  <c r="N2961" i="1"/>
  <c r="M2962" i="1"/>
  <c r="N2962" i="1"/>
  <c r="M2963" i="1"/>
  <c r="N2963" i="1"/>
  <c r="M2964" i="1"/>
  <c r="N2964" i="1"/>
  <c r="M2965" i="1"/>
  <c r="N2965" i="1"/>
  <c r="M2966" i="1"/>
  <c r="N2966" i="1"/>
  <c r="M2967" i="1"/>
  <c r="N2967" i="1"/>
  <c r="M2968" i="1"/>
  <c r="N2968" i="1"/>
  <c r="M2969" i="1"/>
  <c r="N2969" i="1"/>
  <c r="M2970" i="1"/>
  <c r="N2970" i="1"/>
  <c r="M2971" i="1"/>
  <c r="N2971" i="1"/>
  <c r="M2972" i="1"/>
  <c r="N2972" i="1"/>
  <c r="M2973" i="1"/>
  <c r="N2973" i="1"/>
  <c r="M2974" i="1"/>
  <c r="N2974" i="1"/>
  <c r="M2975" i="1"/>
  <c r="N2975" i="1"/>
  <c r="M2976" i="1"/>
  <c r="N2976" i="1"/>
  <c r="M2977" i="1"/>
  <c r="N2977" i="1"/>
  <c r="M2978" i="1"/>
  <c r="N2978" i="1"/>
  <c r="M2979" i="1"/>
  <c r="N2979" i="1"/>
  <c r="M2980" i="1"/>
  <c r="N2980" i="1"/>
  <c r="M2981" i="1"/>
  <c r="N2981" i="1"/>
  <c r="M2982" i="1"/>
  <c r="N2982" i="1"/>
  <c r="M2983" i="1"/>
  <c r="N2983" i="1"/>
  <c r="M2984" i="1"/>
  <c r="N2984" i="1"/>
  <c r="M2985" i="1"/>
  <c r="N2985" i="1"/>
  <c r="M2986" i="1"/>
  <c r="N2986" i="1"/>
  <c r="M2987" i="1"/>
  <c r="N2987" i="1"/>
  <c r="M2988" i="1"/>
  <c r="N2988" i="1"/>
  <c r="M2989" i="1"/>
  <c r="N2989" i="1"/>
  <c r="M2990" i="1"/>
  <c r="N2990" i="1"/>
  <c r="M2991" i="1"/>
  <c r="N2991" i="1"/>
  <c r="M2992" i="1"/>
  <c r="N2992" i="1"/>
  <c r="M2993" i="1"/>
  <c r="N2993" i="1"/>
  <c r="M2994" i="1"/>
  <c r="N2994" i="1"/>
  <c r="M2995" i="1"/>
  <c r="N2995" i="1"/>
  <c r="M2996" i="1"/>
  <c r="N2996" i="1"/>
  <c r="M2997" i="1"/>
  <c r="N2997" i="1"/>
  <c r="M2998" i="1"/>
  <c r="N2998" i="1"/>
  <c r="M2999" i="1"/>
  <c r="N2999" i="1"/>
  <c r="M3000" i="1"/>
  <c r="N3000" i="1"/>
  <c r="M3001" i="1"/>
  <c r="N3001" i="1"/>
  <c r="M3002" i="1"/>
  <c r="N3002" i="1"/>
  <c r="M3003" i="1"/>
  <c r="N3003" i="1"/>
  <c r="M3004" i="1"/>
  <c r="N3004" i="1"/>
  <c r="M3005" i="1"/>
  <c r="N3005" i="1"/>
  <c r="M3006" i="1"/>
  <c r="N3006" i="1"/>
  <c r="M3007" i="1"/>
  <c r="N3007" i="1"/>
  <c r="M3008" i="1"/>
  <c r="N3008" i="1"/>
  <c r="M3009" i="1"/>
  <c r="N3009" i="1"/>
  <c r="M3010" i="1"/>
  <c r="N3010" i="1"/>
  <c r="M3011" i="1"/>
  <c r="N3011" i="1"/>
  <c r="M3012" i="1"/>
  <c r="N3012" i="1"/>
  <c r="M3013" i="1"/>
  <c r="N3013" i="1"/>
  <c r="M3014" i="1"/>
  <c r="N3014" i="1"/>
  <c r="M3015" i="1"/>
  <c r="N3015" i="1"/>
  <c r="M3016" i="1"/>
  <c r="N3016" i="1"/>
  <c r="M3017" i="1"/>
  <c r="N3017" i="1"/>
  <c r="M3018" i="1"/>
  <c r="N3018" i="1"/>
  <c r="M3019" i="1"/>
  <c r="N3019" i="1"/>
  <c r="M3020" i="1"/>
  <c r="N3020" i="1"/>
  <c r="M3021" i="1"/>
  <c r="N3021" i="1"/>
  <c r="M3022" i="1"/>
  <c r="N3022" i="1"/>
  <c r="M3023" i="1"/>
  <c r="N3023" i="1"/>
  <c r="M3024" i="1"/>
  <c r="N3024" i="1"/>
  <c r="M3025" i="1"/>
  <c r="N3025" i="1"/>
  <c r="M3026" i="1"/>
  <c r="N3026" i="1"/>
  <c r="M3027" i="1"/>
  <c r="N3027" i="1"/>
  <c r="M3028" i="1"/>
  <c r="N3028" i="1"/>
  <c r="M3029" i="1"/>
  <c r="N3029" i="1"/>
  <c r="M3030" i="1"/>
  <c r="N3030" i="1"/>
  <c r="M3031" i="1"/>
  <c r="N3031" i="1"/>
  <c r="M3032" i="1"/>
  <c r="N3032" i="1"/>
  <c r="M3033" i="1"/>
  <c r="N3033" i="1"/>
  <c r="M3034" i="1"/>
  <c r="N3034" i="1"/>
  <c r="M3035" i="1"/>
  <c r="N3035" i="1"/>
  <c r="M3036" i="1"/>
  <c r="N3036" i="1"/>
  <c r="M3037" i="1"/>
  <c r="N3037" i="1"/>
  <c r="M3038" i="1"/>
  <c r="N3038" i="1"/>
  <c r="M3039" i="1"/>
  <c r="N3039" i="1"/>
  <c r="M3040" i="1"/>
  <c r="N3040" i="1"/>
  <c r="M3041" i="1"/>
  <c r="N3041" i="1"/>
  <c r="M3042" i="1"/>
  <c r="N3042" i="1"/>
  <c r="M3043" i="1"/>
  <c r="N3043" i="1"/>
  <c r="M3044" i="1"/>
  <c r="N3044" i="1"/>
  <c r="M3045" i="1"/>
  <c r="N3045" i="1"/>
  <c r="M3046" i="1"/>
  <c r="N3046" i="1"/>
  <c r="M3047" i="1"/>
  <c r="N3047" i="1"/>
  <c r="M3048" i="1"/>
  <c r="N3048" i="1"/>
  <c r="M3049" i="1"/>
  <c r="N3049" i="1"/>
  <c r="M3050" i="1"/>
  <c r="N3050" i="1"/>
  <c r="M3051" i="1"/>
  <c r="N3051" i="1"/>
  <c r="M3052" i="1"/>
  <c r="N3052" i="1"/>
  <c r="M3053" i="1"/>
  <c r="N3053" i="1"/>
  <c r="M3054" i="1"/>
  <c r="N3054" i="1"/>
  <c r="M3055" i="1"/>
  <c r="N3055" i="1"/>
  <c r="M3056" i="1"/>
  <c r="N3056" i="1"/>
  <c r="M3057" i="1"/>
  <c r="N3057" i="1"/>
  <c r="M3058" i="1"/>
  <c r="N3058" i="1"/>
  <c r="M3059" i="1"/>
  <c r="N3059" i="1"/>
  <c r="M3060" i="1"/>
  <c r="N3060" i="1"/>
  <c r="M3061" i="1"/>
  <c r="N3061" i="1"/>
  <c r="M3062" i="1"/>
  <c r="N3062" i="1"/>
  <c r="M3063" i="1"/>
  <c r="N3063" i="1"/>
  <c r="M3064" i="1"/>
  <c r="N3064" i="1"/>
  <c r="M3065" i="1"/>
  <c r="N3065" i="1"/>
  <c r="M3066" i="1"/>
  <c r="N3066" i="1"/>
  <c r="M3067" i="1"/>
  <c r="N3067" i="1"/>
  <c r="M3068" i="1"/>
  <c r="N3068" i="1"/>
  <c r="M3069" i="1"/>
  <c r="N3069" i="1"/>
  <c r="M3070" i="1"/>
  <c r="N3070" i="1"/>
  <c r="M3071" i="1"/>
  <c r="N3071" i="1"/>
  <c r="M3072" i="1"/>
  <c r="N3072" i="1"/>
  <c r="M3073" i="1"/>
  <c r="N3073" i="1"/>
  <c r="M3074" i="1"/>
  <c r="N3074" i="1"/>
  <c r="M3075" i="1"/>
  <c r="N3075" i="1"/>
  <c r="M3076" i="1"/>
  <c r="N3076" i="1"/>
  <c r="M3077" i="1"/>
  <c r="N3077" i="1"/>
  <c r="M3078" i="1"/>
  <c r="N3078" i="1"/>
  <c r="M3079" i="1"/>
  <c r="N3079" i="1"/>
  <c r="M3080" i="1"/>
  <c r="N3080" i="1"/>
  <c r="M3081" i="1"/>
  <c r="N3081" i="1"/>
  <c r="M3082" i="1"/>
  <c r="N3082" i="1"/>
  <c r="M3083" i="1"/>
  <c r="N3083" i="1"/>
  <c r="M3084" i="1"/>
  <c r="N3084" i="1"/>
  <c r="M3085" i="1"/>
  <c r="N3085" i="1"/>
  <c r="M3086" i="1"/>
  <c r="N3086" i="1"/>
  <c r="M3087" i="1"/>
  <c r="N3087" i="1"/>
  <c r="M3088" i="1"/>
  <c r="N3088" i="1"/>
  <c r="M3089" i="1"/>
  <c r="N3089" i="1"/>
  <c r="M3090" i="1"/>
  <c r="N3090" i="1"/>
  <c r="M3091" i="1"/>
  <c r="N3091" i="1"/>
  <c r="M3092" i="1"/>
  <c r="N3092" i="1"/>
  <c r="M3093" i="1"/>
  <c r="N3093" i="1"/>
  <c r="M3094" i="1"/>
  <c r="N3094" i="1"/>
  <c r="M3095" i="1"/>
  <c r="N3095" i="1"/>
  <c r="M3096" i="1"/>
  <c r="N3096" i="1"/>
  <c r="M3097" i="1"/>
  <c r="N3097" i="1"/>
  <c r="M3098" i="1"/>
  <c r="N3098" i="1"/>
  <c r="M3099" i="1"/>
  <c r="N3099" i="1"/>
  <c r="M3100" i="1"/>
  <c r="N3100" i="1"/>
  <c r="M3101" i="1"/>
  <c r="N3101" i="1"/>
  <c r="M3102" i="1"/>
  <c r="N3102" i="1"/>
  <c r="M3103" i="1"/>
  <c r="N3103" i="1"/>
  <c r="M3104" i="1"/>
  <c r="N3104" i="1"/>
  <c r="M3105" i="1"/>
  <c r="N3105" i="1"/>
  <c r="M3106" i="1"/>
  <c r="N3106" i="1"/>
  <c r="M3107" i="1"/>
  <c r="N3107" i="1"/>
  <c r="M3108" i="1"/>
  <c r="N3108" i="1"/>
  <c r="M3109" i="1"/>
  <c r="N3109" i="1"/>
  <c r="M3110" i="1"/>
  <c r="N3110" i="1"/>
  <c r="M3111" i="1"/>
  <c r="N3111" i="1"/>
  <c r="M3112" i="1"/>
  <c r="N3112" i="1"/>
  <c r="M3113" i="1"/>
  <c r="N3113" i="1"/>
  <c r="M3114" i="1"/>
  <c r="N3114" i="1"/>
  <c r="M3115" i="1"/>
  <c r="N3115" i="1"/>
  <c r="M3116" i="1"/>
  <c r="N3116" i="1"/>
  <c r="M3117" i="1"/>
  <c r="N3117" i="1"/>
  <c r="M3118" i="1"/>
  <c r="N3118" i="1"/>
  <c r="M3119" i="1"/>
  <c r="N3119" i="1"/>
  <c r="M3120" i="1"/>
  <c r="N3120" i="1"/>
  <c r="M3121" i="1"/>
  <c r="N3121" i="1"/>
  <c r="M3122" i="1"/>
  <c r="N3122" i="1"/>
  <c r="M3123" i="1"/>
  <c r="N3123" i="1"/>
  <c r="M3124" i="1"/>
  <c r="N3124" i="1"/>
  <c r="M3125" i="1"/>
  <c r="N3125" i="1"/>
  <c r="M3126" i="1"/>
  <c r="N3126" i="1"/>
  <c r="M3127" i="1"/>
  <c r="N3127" i="1"/>
  <c r="M3128" i="1"/>
  <c r="N3128" i="1"/>
  <c r="M3129" i="1"/>
  <c r="N3129" i="1"/>
  <c r="M3130" i="1"/>
  <c r="N3130" i="1"/>
  <c r="M3131" i="1"/>
  <c r="N3131" i="1"/>
  <c r="M3132" i="1"/>
  <c r="N3132" i="1"/>
  <c r="M3133" i="1"/>
  <c r="N3133" i="1"/>
  <c r="M3134" i="1"/>
  <c r="N3134" i="1"/>
  <c r="M3135" i="1"/>
  <c r="N3135" i="1"/>
  <c r="M3136" i="1"/>
  <c r="N3136" i="1"/>
  <c r="M3137" i="1"/>
  <c r="N3137" i="1"/>
  <c r="M3138" i="1"/>
  <c r="N3138" i="1"/>
  <c r="M3139" i="1"/>
  <c r="N3139" i="1"/>
  <c r="M3140" i="1"/>
  <c r="N3140" i="1"/>
  <c r="M3141" i="1"/>
  <c r="N3141" i="1"/>
  <c r="M3142" i="1"/>
  <c r="N3142" i="1"/>
  <c r="M3143" i="1"/>
  <c r="N3143" i="1"/>
  <c r="M3144" i="1"/>
  <c r="N3144" i="1"/>
  <c r="M3145" i="1"/>
  <c r="N3145" i="1"/>
  <c r="M3146" i="1"/>
  <c r="N3146" i="1"/>
  <c r="M3147" i="1"/>
  <c r="N3147" i="1"/>
  <c r="M3148" i="1"/>
  <c r="N3148" i="1"/>
  <c r="M3149" i="1"/>
  <c r="N3149" i="1"/>
  <c r="M3150" i="1"/>
  <c r="N3150" i="1"/>
  <c r="M3151" i="1"/>
  <c r="N3151" i="1"/>
  <c r="M3152" i="1"/>
  <c r="N3152" i="1"/>
  <c r="M3153" i="1"/>
  <c r="N3153" i="1"/>
  <c r="M3154" i="1"/>
  <c r="N3154" i="1"/>
  <c r="M3155" i="1"/>
  <c r="N3155" i="1"/>
  <c r="M3156" i="1"/>
  <c r="N3156" i="1"/>
  <c r="M3157" i="1"/>
  <c r="N3157" i="1"/>
  <c r="M3158" i="1"/>
  <c r="N3158" i="1"/>
  <c r="M3159" i="1"/>
  <c r="N3159" i="1"/>
  <c r="M3160" i="1"/>
  <c r="N3160" i="1"/>
  <c r="M3161" i="1"/>
  <c r="N3161" i="1"/>
  <c r="M3162" i="1"/>
  <c r="N3162" i="1"/>
  <c r="M3163" i="1"/>
  <c r="N3163" i="1"/>
  <c r="M3164" i="1"/>
  <c r="N3164" i="1"/>
  <c r="M3165" i="1"/>
  <c r="N3165" i="1"/>
  <c r="M3166" i="1"/>
  <c r="N3166" i="1"/>
  <c r="M3167" i="1"/>
  <c r="N3167" i="1"/>
  <c r="M3168" i="1"/>
  <c r="N3168" i="1"/>
  <c r="M3169" i="1"/>
  <c r="N3169" i="1"/>
  <c r="M3170" i="1"/>
  <c r="N3170" i="1"/>
  <c r="M3171" i="1"/>
  <c r="N3171" i="1"/>
  <c r="M3172" i="1"/>
  <c r="N3172" i="1"/>
  <c r="M3173" i="1"/>
  <c r="N3173" i="1"/>
  <c r="M3174" i="1"/>
  <c r="N3174" i="1"/>
  <c r="M3175" i="1"/>
  <c r="N3175" i="1"/>
  <c r="M3176" i="1"/>
  <c r="N3176" i="1"/>
  <c r="M3177" i="1"/>
  <c r="N3177" i="1"/>
  <c r="M3178" i="1"/>
  <c r="N3178" i="1"/>
  <c r="M3179" i="1"/>
  <c r="N3179" i="1"/>
  <c r="M3180" i="1"/>
  <c r="N3180" i="1"/>
  <c r="M3181" i="1"/>
  <c r="N3181" i="1"/>
  <c r="M3182" i="1"/>
  <c r="N3182" i="1"/>
  <c r="M3183" i="1"/>
  <c r="N3183" i="1"/>
  <c r="M3184" i="1"/>
  <c r="N3184" i="1"/>
  <c r="M3185" i="1"/>
  <c r="N3185" i="1"/>
  <c r="M3186" i="1"/>
  <c r="N3186" i="1"/>
  <c r="M3187" i="1"/>
  <c r="N3187" i="1"/>
  <c r="M3188" i="1"/>
  <c r="N3188" i="1"/>
  <c r="M3189" i="1"/>
  <c r="N3189" i="1"/>
  <c r="M3190" i="1"/>
  <c r="N3190" i="1"/>
  <c r="M3191" i="1"/>
  <c r="N3191" i="1"/>
  <c r="M3192" i="1"/>
  <c r="N3192" i="1"/>
  <c r="M3193" i="1"/>
  <c r="N3193" i="1"/>
  <c r="M3194" i="1"/>
  <c r="N3194" i="1"/>
  <c r="M3195" i="1"/>
  <c r="N3195" i="1"/>
  <c r="M3196" i="1"/>
  <c r="N3196" i="1"/>
  <c r="M3197" i="1"/>
  <c r="N3197" i="1"/>
  <c r="M3198" i="1"/>
  <c r="N3198" i="1"/>
  <c r="M3199" i="1"/>
  <c r="N3199" i="1"/>
  <c r="M3200" i="1"/>
  <c r="N3200" i="1"/>
  <c r="M3201" i="1"/>
  <c r="N3201" i="1"/>
  <c r="M3202" i="1"/>
  <c r="N3202" i="1"/>
  <c r="M3203" i="1"/>
  <c r="N3203" i="1"/>
  <c r="M3204" i="1"/>
  <c r="N3204" i="1"/>
  <c r="M3205" i="1"/>
  <c r="N3205" i="1"/>
  <c r="M3206" i="1"/>
  <c r="N3206" i="1"/>
  <c r="M3207" i="1"/>
  <c r="N3207" i="1"/>
  <c r="M3208" i="1"/>
  <c r="N3208" i="1"/>
  <c r="M3209" i="1"/>
  <c r="N3209" i="1"/>
  <c r="M3210" i="1"/>
  <c r="N3210" i="1"/>
  <c r="M3211" i="1"/>
  <c r="N3211" i="1"/>
  <c r="M3212" i="1"/>
  <c r="N3212" i="1"/>
  <c r="M3213" i="1"/>
  <c r="N3213" i="1"/>
  <c r="M3214" i="1"/>
  <c r="N3214" i="1"/>
  <c r="M3215" i="1"/>
  <c r="N3215" i="1"/>
  <c r="M3216" i="1"/>
  <c r="N3216" i="1"/>
  <c r="M3217" i="1"/>
  <c r="N3217" i="1"/>
  <c r="M3218" i="1"/>
  <c r="N3218" i="1"/>
  <c r="M3219" i="1"/>
  <c r="N3219" i="1"/>
  <c r="M3220" i="1"/>
  <c r="N3220" i="1"/>
  <c r="M3221" i="1"/>
  <c r="N3221" i="1"/>
  <c r="M3222" i="1"/>
  <c r="N3222" i="1"/>
  <c r="M3223" i="1"/>
  <c r="N3223" i="1"/>
  <c r="M3224" i="1"/>
  <c r="N3224" i="1"/>
  <c r="M3225" i="1"/>
  <c r="N3225" i="1"/>
  <c r="M3226" i="1"/>
  <c r="N3226" i="1"/>
  <c r="M3227" i="1"/>
  <c r="N3227" i="1"/>
  <c r="M3228" i="1"/>
  <c r="N3228" i="1"/>
  <c r="M3229" i="1"/>
  <c r="N3229" i="1"/>
  <c r="M3230" i="1"/>
  <c r="N3230" i="1"/>
  <c r="M3231" i="1"/>
  <c r="N3231" i="1"/>
  <c r="M3232" i="1"/>
  <c r="N3232" i="1"/>
  <c r="M3233" i="1"/>
  <c r="N3233" i="1"/>
  <c r="M3234" i="1"/>
  <c r="N3234" i="1"/>
  <c r="M3235" i="1"/>
  <c r="N3235" i="1"/>
  <c r="M3236" i="1"/>
  <c r="N3236" i="1"/>
  <c r="M3237" i="1"/>
  <c r="N3237" i="1"/>
  <c r="M3238" i="1"/>
  <c r="N3238" i="1"/>
  <c r="M3239" i="1"/>
  <c r="N3239" i="1"/>
  <c r="M3240" i="1"/>
  <c r="N3240" i="1"/>
  <c r="M3241" i="1"/>
  <c r="N3241" i="1"/>
  <c r="M3242" i="1"/>
  <c r="N3242" i="1"/>
  <c r="M3243" i="1"/>
  <c r="N3243" i="1"/>
  <c r="M3244" i="1"/>
  <c r="N3244" i="1"/>
  <c r="M3245" i="1"/>
  <c r="N3245" i="1"/>
  <c r="M3246" i="1"/>
  <c r="N3246" i="1"/>
  <c r="M3247" i="1"/>
  <c r="N3247" i="1"/>
  <c r="M3248" i="1"/>
  <c r="N3248" i="1"/>
  <c r="M3249" i="1"/>
  <c r="N3249" i="1"/>
  <c r="M3250" i="1"/>
  <c r="N3250" i="1"/>
  <c r="M3251" i="1"/>
  <c r="N3251" i="1"/>
  <c r="M3252" i="1"/>
  <c r="N3252" i="1"/>
  <c r="M3253" i="1"/>
  <c r="N3253" i="1"/>
  <c r="M3254" i="1"/>
  <c r="N3254" i="1"/>
  <c r="M3255" i="1"/>
  <c r="N3255" i="1"/>
  <c r="M3256" i="1"/>
  <c r="N3256" i="1"/>
  <c r="M3257" i="1"/>
  <c r="N3257" i="1"/>
  <c r="M3258" i="1"/>
  <c r="N3258" i="1"/>
  <c r="M3259" i="1"/>
  <c r="N3259" i="1"/>
  <c r="M3260" i="1"/>
  <c r="N3260" i="1"/>
  <c r="M3261" i="1"/>
  <c r="N3261" i="1"/>
  <c r="M3262" i="1"/>
  <c r="N3262" i="1"/>
  <c r="M3263" i="1"/>
  <c r="N3263" i="1"/>
  <c r="M3264" i="1"/>
  <c r="N3264" i="1"/>
  <c r="M3265" i="1"/>
  <c r="N3265" i="1"/>
  <c r="M3266" i="1"/>
  <c r="N3266" i="1"/>
  <c r="M3267" i="1"/>
  <c r="N3267" i="1"/>
  <c r="M3268" i="1"/>
  <c r="N3268" i="1"/>
  <c r="M3269" i="1"/>
  <c r="N3269" i="1"/>
  <c r="M3270" i="1"/>
  <c r="N3270" i="1"/>
  <c r="M3271" i="1"/>
  <c r="N3271" i="1"/>
  <c r="M3272" i="1"/>
  <c r="N3272" i="1"/>
  <c r="M3273" i="1"/>
  <c r="N3273" i="1"/>
  <c r="M3274" i="1"/>
  <c r="N3274" i="1"/>
  <c r="M3275" i="1"/>
  <c r="N3275" i="1"/>
  <c r="M3276" i="1"/>
  <c r="N3276" i="1"/>
  <c r="M3277" i="1"/>
  <c r="N3277" i="1"/>
  <c r="M3278" i="1"/>
  <c r="N3278" i="1"/>
  <c r="M3279" i="1"/>
  <c r="N3279" i="1"/>
  <c r="M3280" i="1"/>
  <c r="N3280" i="1"/>
  <c r="M3281" i="1"/>
  <c r="N3281" i="1"/>
  <c r="M3282" i="1"/>
  <c r="N3282" i="1"/>
  <c r="M3283" i="1"/>
  <c r="N3283" i="1"/>
  <c r="M3284" i="1"/>
  <c r="N3284" i="1"/>
  <c r="M3285" i="1"/>
  <c r="N3285" i="1"/>
  <c r="M3286" i="1"/>
  <c r="N3286" i="1"/>
  <c r="M3287" i="1"/>
  <c r="N3287" i="1"/>
  <c r="M3288" i="1"/>
  <c r="N3288" i="1"/>
  <c r="M3289" i="1"/>
  <c r="N3289" i="1"/>
  <c r="M3290" i="1"/>
  <c r="N3290" i="1"/>
  <c r="M3291" i="1"/>
  <c r="N3291" i="1"/>
  <c r="M3292" i="1"/>
  <c r="N3292" i="1"/>
  <c r="M3293" i="1"/>
  <c r="N3293" i="1"/>
  <c r="M3294" i="1"/>
  <c r="N3294" i="1"/>
  <c r="M3295" i="1"/>
  <c r="N3295" i="1"/>
  <c r="M3296" i="1"/>
  <c r="N3296" i="1"/>
  <c r="M3297" i="1"/>
  <c r="N3297" i="1"/>
  <c r="M3298" i="1"/>
  <c r="N3298" i="1"/>
  <c r="M3299" i="1"/>
  <c r="N3299" i="1"/>
  <c r="M3300" i="1"/>
  <c r="N3300" i="1"/>
  <c r="M3301" i="1"/>
  <c r="N3301" i="1"/>
  <c r="M3302" i="1"/>
  <c r="N3302" i="1"/>
  <c r="M3303" i="1"/>
  <c r="N3303" i="1"/>
  <c r="M3304" i="1"/>
  <c r="N3304" i="1"/>
  <c r="M3305" i="1"/>
  <c r="N3305" i="1"/>
  <c r="M3306" i="1"/>
  <c r="N3306" i="1"/>
  <c r="M3307" i="1"/>
  <c r="N3307" i="1"/>
  <c r="M3308" i="1"/>
  <c r="N3308" i="1"/>
  <c r="M3309" i="1"/>
  <c r="N3309" i="1"/>
  <c r="M3310" i="1"/>
  <c r="N3310" i="1"/>
  <c r="M3311" i="1"/>
  <c r="N3311" i="1"/>
  <c r="M3312" i="1"/>
  <c r="N3312" i="1"/>
  <c r="M3313" i="1"/>
  <c r="N3313" i="1"/>
  <c r="M3314" i="1"/>
  <c r="N3314" i="1"/>
  <c r="M3315" i="1"/>
  <c r="N3315" i="1"/>
  <c r="M3316" i="1"/>
  <c r="N3316" i="1"/>
  <c r="M3317" i="1"/>
  <c r="N3317" i="1"/>
  <c r="M3318" i="1"/>
  <c r="N3318" i="1"/>
  <c r="M3319" i="1"/>
  <c r="N3319" i="1"/>
  <c r="M3320" i="1"/>
  <c r="N3320" i="1"/>
  <c r="M3321" i="1"/>
  <c r="N3321" i="1"/>
  <c r="M3322" i="1"/>
  <c r="N3322" i="1"/>
  <c r="M3323" i="1"/>
  <c r="N3323" i="1"/>
  <c r="M3324" i="1"/>
  <c r="N3324" i="1"/>
  <c r="M3325" i="1"/>
  <c r="N3325" i="1"/>
  <c r="M3326" i="1"/>
  <c r="N3326" i="1"/>
  <c r="M3327" i="1"/>
  <c r="N3327" i="1"/>
  <c r="M3328" i="1"/>
  <c r="N3328" i="1"/>
  <c r="M3329" i="1"/>
  <c r="N3329" i="1"/>
  <c r="M3330" i="1"/>
  <c r="N3330" i="1"/>
  <c r="M3331" i="1"/>
  <c r="N3331" i="1"/>
  <c r="M3332" i="1"/>
  <c r="N3332" i="1"/>
  <c r="M3333" i="1"/>
  <c r="N3333" i="1"/>
  <c r="M3334" i="1"/>
  <c r="N3334" i="1"/>
  <c r="M3335" i="1"/>
  <c r="N3335" i="1"/>
  <c r="M3336" i="1"/>
  <c r="N3336" i="1"/>
  <c r="M3337" i="1"/>
  <c r="N3337" i="1"/>
  <c r="M3338" i="1"/>
  <c r="N3338" i="1"/>
  <c r="M3339" i="1"/>
  <c r="N3339" i="1"/>
  <c r="M3340" i="1"/>
  <c r="N3340" i="1"/>
  <c r="M3341" i="1"/>
  <c r="N3341" i="1"/>
  <c r="M3342" i="1"/>
  <c r="N3342" i="1"/>
  <c r="M3343" i="1"/>
  <c r="N3343" i="1"/>
  <c r="M3344" i="1"/>
  <c r="N3344" i="1"/>
  <c r="M3345" i="1"/>
  <c r="N3345" i="1"/>
  <c r="M3346" i="1"/>
  <c r="N3346" i="1"/>
  <c r="M3347" i="1"/>
  <c r="N3347" i="1"/>
  <c r="M3348" i="1"/>
  <c r="N3348" i="1"/>
  <c r="M3349" i="1"/>
  <c r="N3349" i="1"/>
  <c r="M3350" i="1"/>
  <c r="N3350" i="1"/>
  <c r="M3351" i="1"/>
  <c r="N3351" i="1"/>
  <c r="M3352" i="1"/>
  <c r="N3352" i="1"/>
  <c r="M3353" i="1"/>
  <c r="N3353" i="1"/>
  <c r="M3354" i="1"/>
  <c r="N3354" i="1"/>
  <c r="M3355" i="1"/>
  <c r="N3355" i="1"/>
  <c r="M3356" i="1"/>
  <c r="N3356" i="1"/>
  <c r="M3357" i="1"/>
  <c r="N3357" i="1"/>
  <c r="M3358" i="1"/>
  <c r="N3358" i="1"/>
  <c r="M3359" i="1"/>
  <c r="N3359" i="1"/>
  <c r="M3360" i="1"/>
  <c r="N3360" i="1"/>
  <c r="M3361" i="1"/>
  <c r="N3361" i="1"/>
  <c r="M3362" i="1"/>
  <c r="N3362" i="1"/>
  <c r="M3363" i="1"/>
  <c r="N3363" i="1"/>
  <c r="M3364" i="1"/>
  <c r="N3364" i="1"/>
  <c r="M3365" i="1"/>
  <c r="N3365" i="1"/>
  <c r="M3366" i="1"/>
  <c r="N3366" i="1"/>
  <c r="M3367" i="1"/>
  <c r="N3367" i="1"/>
  <c r="M3368" i="1"/>
  <c r="N3368" i="1"/>
  <c r="M3369" i="1"/>
  <c r="N3369" i="1"/>
  <c r="M3370" i="1"/>
  <c r="N3370" i="1"/>
  <c r="M3371" i="1"/>
  <c r="N3371" i="1"/>
  <c r="M3372" i="1"/>
  <c r="N3372" i="1"/>
  <c r="M3373" i="1"/>
  <c r="N3373" i="1"/>
  <c r="M3374" i="1"/>
  <c r="N3374" i="1"/>
  <c r="M3375" i="1"/>
  <c r="N3375" i="1"/>
  <c r="M3376" i="1"/>
  <c r="N3376" i="1"/>
  <c r="M3377" i="1"/>
  <c r="N3377" i="1"/>
  <c r="M3378" i="1"/>
  <c r="N3378" i="1"/>
  <c r="M3379" i="1"/>
  <c r="N3379" i="1"/>
  <c r="M3380" i="1"/>
  <c r="N3380" i="1"/>
  <c r="M3381" i="1"/>
  <c r="N3381" i="1"/>
  <c r="M3382" i="1"/>
  <c r="N3382" i="1"/>
  <c r="M3383" i="1"/>
  <c r="N3383" i="1"/>
  <c r="M3384" i="1"/>
  <c r="N3384" i="1"/>
  <c r="M3385" i="1"/>
  <c r="N3385" i="1"/>
  <c r="M3386" i="1"/>
  <c r="N3386" i="1"/>
  <c r="M3387" i="1"/>
  <c r="N3387" i="1"/>
  <c r="M3388" i="1"/>
  <c r="N3388" i="1"/>
  <c r="M3389" i="1"/>
  <c r="N3389" i="1"/>
  <c r="M3390" i="1"/>
  <c r="N3390" i="1"/>
  <c r="M3391" i="1"/>
  <c r="N3391" i="1"/>
  <c r="M3392" i="1"/>
  <c r="N3392" i="1"/>
  <c r="M3393" i="1"/>
  <c r="N3393" i="1"/>
  <c r="M3394" i="1"/>
  <c r="N3394" i="1"/>
  <c r="M3395" i="1"/>
  <c r="N3395" i="1"/>
  <c r="M3396" i="1"/>
  <c r="N3396" i="1"/>
  <c r="M3397" i="1"/>
  <c r="N3397" i="1"/>
  <c r="M3398" i="1"/>
  <c r="N3398" i="1"/>
  <c r="M3399" i="1"/>
  <c r="N3399" i="1"/>
  <c r="M3400" i="1"/>
  <c r="N3400" i="1"/>
  <c r="M3401" i="1"/>
  <c r="N3401" i="1"/>
  <c r="M3402" i="1"/>
  <c r="N3402" i="1"/>
  <c r="M3403" i="1"/>
  <c r="N3403" i="1"/>
  <c r="M3404" i="1"/>
  <c r="N3404" i="1"/>
  <c r="M3405" i="1"/>
  <c r="N3405" i="1"/>
  <c r="M3406" i="1"/>
  <c r="N3406" i="1"/>
  <c r="M3407" i="1"/>
  <c r="N3407" i="1"/>
  <c r="M3408" i="1"/>
  <c r="N3408" i="1"/>
  <c r="M3409" i="1"/>
  <c r="N3409" i="1"/>
  <c r="M3410" i="1"/>
  <c r="N3410" i="1"/>
  <c r="M3411" i="1"/>
  <c r="N3411" i="1"/>
  <c r="M3412" i="1"/>
  <c r="N3412" i="1"/>
  <c r="M3413" i="1"/>
  <c r="N3413" i="1"/>
  <c r="M3414" i="1"/>
  <c r="N3414" i="1"/>
  <c r="M3415" i="1"/>
  <c r="N3415" i="1"/>
  <c r="M3416" i="1"/>
  <c r="N3416" i="1"/>
  <c r="M3417" i="1"/>
  <c r="N3417" i="1"/>
  <c r="M3418" i="1"/>
  <c r="N3418" i="1"/>
  <c r="M3419" i="1"/>
  <c r="N3419" i="1"/>
  <c r="M3420" i="1"/>
  <c r="N3420" i="1"/>
  <c r="M3421" i="1"/>
  <c r="N3421" i="1"/>
  <c r="M3422" i="1"/>
  <c r="N3422" i="1"/>
  <c r="M3423" i="1"/>
  <c r="N3423" i="1"/>
  <c r="M3424" i="1"/>
  <c r="N3424" i="1"/>
  <c r="M3425" i="1"/>
  <c r="N3425" i="1"/>
  <c r="M3426" i="1"/>
  <c r="N3426" i="1"/>
  <c r="M3427" i="1"/>
  <c r="N3427" i="1"/>
  <c r="M3428" i="1"/>
  <c r="N3428" i="1"/>
  <c r="M3429" i="1"/>
  <c r="N3429" i="1"/>
  <c r="M3430" i="1"/>
  <c r="N3430" i="1"/>
  <c r="M3431" i="1"/>
  <c r="N3431" i="1"/>
  <c r="M3432" i="1"/>
  <c r="N3432" i="1"/>
  <c r="M3433" i="1"/>
  <c r="N3433" i="1"/>
  <c r="M3434" i="1"/>
  <c r="N3434" i="1"/>
  <c r="M3435" i="1"/>
  <c r="N3435" i="1"/>
  <c r="M3436" i="1"/>
  <c r="N3436" i="1"/>
  <c r="M3437" i="1"/>
  <c r="N3437" i="1"/>
  <c r="M3438" i="1"/>
  <c r="N3438" i="1"/>
  <c r="M3439" i="1"/>
  <c r="N3439" i="1"/>
  <c r="M3440" i="1"/>
  <c r="N3440" i="1"/>
  <c r="M3441" i="1"/>
  <c r="N3441" i="1"/>
  <c r="M3442" i="1"/>
  <c r="N3442" i="1"/>
  <c r="M3443" i="1"/>
  <c r="N3443" i="1"/>
  <c r="M3444" i="1"/>
  <c r="N3444" i="1"/>
  <c r="M3445" i="1"/>
  <c r="N3445" i="1"/>
  <c r="M3446" i="1"/>
  <c r="N3446" i="1"/>
  <c r="M3447" i="1"/>
  <c r="N3447" i="1"/>
  <c r="M3448" i="1"/>
  <c r="N3448" i="1"/>
  <c r="M3449" i="1"/>
  <c r="N3449" i="1"/>
  <c r="M3450" i="1"/>
  <c r="N3450" i="1"/>
  <c r="M3451" i="1"/>
  <c r="N3451" i="1"/>
  <c r="M3452" i="1"/>
  <c r="N3452" i="1"/>
  <c r="M3453" i="1"/>
  <c r="N3453" i="1"/>
  <c r="M3454" i="1"/>
  <c r="N3454" i="1"/>
  <c r="M3455" i="1"/>
  <c r="N3455" i="1"/>
  <c r="M3456" i="1"/>
  <c r="N3456" i="1"/>
  <c r="M3457" i="1"/>
  <c r="N3457" i="1"/>
  <c r="M3458" i="1"/>
  <c r="N3458" i="1"/>
  <c r="M3459" i="1"/>
  <c r="N3459" i="1"/>
  <c r="M3460" i="1"/>
  <c r="N3460" i="1"/>
  <c r="M3461" i="1"/>
  <c r="N3461" i="1"/>
  <c r="M3462" i="1"/>
  <c r="N3462" i="1"/>
  <c r="M3463" i="1"/>
  <c r="N3463" i="1"/>
  <c r="M3464" i="1"/>
  <c r="N3464" i="1"/>
  <c r="M3465" i="1"/>
  <c r="N3465" i="1"/>
  <c r="M3466" i="1"/>
  <c r="N3466" i="1"/>
  <c r="M3467" i="1"/>
  <c r="N3467" i="1"/>
  <c r="M3468" i="1"/>
  <c r="N3468" i="1"/>
  <c r="M3469" i="1"/>
  <c r="N3469" i="1"/>
  <c r="M3470" i="1"/>
  <c r="N3470" i="1"/>
  <c r="M3471" i="1"/>
  <c r="N3471" i="1"/>
  <c r="M3472" i="1"/>
  <c r="N3472" i="1"/>
  <c r="M3473" i="1"/>
  <c r="N3473" i="1"/>
  <c r="M3474" i="1"/>
  <c r="N3474" i="1"/>
  <c r="M3475" i="1"/>
  <c r="N3475" i="1"/>
  <c r="M3476" i="1"/>
  <c r="N3476" i="1"/>
  <c r="M3477" i="1"/>
  <c r="N3477" i="1"/>
  <c r="M3478" i="1"/>
  <c r="N3478" i="1"/>
  <c r="M3479" i="1"/>
  <c r="N3479" i="1"/>
  <c r="M3480" i="1"/>
  <c r="N3480" i="1"/>
  <c r="M3481" i="1"/>
  <c r="N3481" i="1"/>
  <c r="M3482" i="1"/>
  <c r="N3482" i="1"/>
  <c r="M3483" i="1"/>
  <c r="N3483" i="1"/>
  <c r="M3484" i="1"/>
  <c r="N3484" i="1"/>
  <c r="M2" i="1"/>
  <c r="N2" i="1"/>
  <c r="M3" i="1"/>
  <c r="N3" i="1"/>
  <c r="M4" i="1"/>
  <c r="N4" i="1"/>
  <c r="M5" i="1"/>
  <c r="N5" i="1"/>
  <c r="M6" i="1"/>
  <c r="N6" i="1"/>
  <c r="M7" i="1"/>
  <c r="N7" i="1"/>
  <c r="M8" i="1"/>
  <c r="N8" i="1"/>
  <c r="N9" i="1"/>
  <c r="M9" i="1"/>
  <c r="V2093" i="1"/>
  <c r="W1026" i="1"/>
  <c r="V1026" i="1"/>
  <c r="V1025" i="1"/>
  <c r="V2750" i="1"/>
  <c r="W3293" i="1"/>
  <c r="V3293" i="1"/>
  <c r="W3303" i="1"/>
  <c r="V3303" i="1"/>
  <c r="W1093" i="1"/>
  <c r="V1093" i="1"/>
  <c r="V1095" i="1"/>
  <c r="V1465" i="1"/>
  <c r="W611" i="1"/>
  <c r="W2864" i="1"/>
  <c r="V2864" i="1"/>
  <c r="V140" i="1"/>
  <c r="W137" i="1"/>
  <c r="V137" i="1"/>
  <c r="W136" i="1"/>
  <c r="V136" i="1"/>
  <c r="W138" i="1"/>
  <c r="V138" i="1"/>
  <c r="W1909" i="1"/>
  <c r="V1909" i="1"/>
  <c r="W1910" i="1"/>
  <c r="V1910" i="1"/>
  <c r="W1935" i="1"/>
  <c r="V1935" i="1"/>
  <c r="W1934" i="1"/>
  <c r="V1934" i="1"/>
  <c r="V2058" i="1"/>
  <c r="W2057" i="1"/>
  <c r="V2057" i="1"/>
  <c r="W649" i="1"/>
  <c r="V649" i="1"/>
  <c r="W2088" i="1"/>
  <c r="V2088" i="1"/>
  <c r="W2087" i="1"/>
  <c r="V2087" i="1"/>
  <c r="W1846" i="1"/>
  <c r="V1846" i="1"/>
  <c r="V186" i="1"/>
  <c r="W346" i="1"/>
  <c r="W345" i="1"/>
  <c r="V671" i="1"/>
  <c r="W1086" i="1"/>
  <c r="V1086" i="1"/>
  <c r="W30" i="1"/>
  <c r="V30" i="1"/>
  <c r="W1281" i="1"/>
  <c r="V1281" i="1"/>
  <c r="V1280" i="1"/>
  <c r="V243" i="1"/>
  <c r="W242" i="1"/>
  <c r="V242" i="1"/>
  <c r="V507" i="1"/>
  <c r="V2493" i="1"/>
  <c r="V2158" i="1"/>
  <c r="W1896" i="1"/>
  <c r="V1896" i="1"/>
  <c r="W1895" i="1"/>
  <c r="V1895" i="1"/>
  <c r="W1894" i="1"/>
  <c r="V1894" i="1"/>
  <c r="V2867" i="1"/>
  <c r="V2866" i="1"/>
  <c r="W2865" i="1"/>
  <c r="V2865" i="1"/>
  <c r="V2870" i="1"/>
  <c r="V2869" i="1"/>
  <c r="V2868" i="1"/>
  <c r="V2863" i="1"/>
  <c r="W2869" i="1"/>
  <c r="W2868" i="1"/>
  <c r="V2106" i="1"/>
  <c r="W3114" i="1"/>
  <c r="V3114" i="1"/>
  <c r="V2862" i="1"/>
  <c r="W2589" i="1"/>
  <c r="V2589" i="1"/>
  <c r="V2528" i="1"/>
  <c r="V3121" i="1"/>
  <c r="V1110" i="1"/>
  <c r="V986" i="1"/>
  <c r="V2314" i="1"/>
  <c r="W2314" i="1"/>
  <c r="W2753" i="1"/>
  <c r="V2753" i="1"/>
  <c r="W173" i="1"/>
  <c r="V173" i="1"/>
  <c r="V310" i="1"/>
  <c r="W310" i="1"/>
  <c r="W187" i="1"/>
  <c r="V187" i="1"/>
  <c r="V248" i="1"/>
  <c r="W248" i="1"/>
  <c r="W2982" i="1"/>
  <c r="W2981" i="1"/>
  <c r="W2980" i="1"/>
  <c r="W2979" i="1"/>
  <c r="W2978" i="1"/>
  <c r="W2977" i="1"/>
  <c r="W2976" i="1"/>
  <c r="W2975" i="1"/>
  <c r="V2982" i="1"/>
  <c r="V2981" i="1"/>
  <c r="V2980" i="1"/>
  <c r="V2979" i="1"/>
  <c r="V2978" i="1"/>
  <c r="V2977" i="1"/>
  <c r="V2976" i="1"/>
  <c r="V297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W2577" i="1"/>
  <c r="V2577" i="1"/>
  <c r="W2576" i="1"/>
  <c r="V2576" i="1"/>
  <c r="W2601" i="1"/>
  <c r="V2601" i="1"/>
  <c r="W1137" i="1"/>
  <c r="W1615" i="1"/>
  <c r="V1137" i="1"/>
  <c r="V3166" i="1"/>
  <c r="V3165" i="1"/>
  <c r="V3164" i="1"/>
  <c r="V3163" i="1"/>
  <c r="V3162" i="1"/>
  <c r="V3161" i="1"/>
  <c r="V3160" i="1"/>
  <c r="V3159" i="1"/>
  <c r="V3158" i="1"/>
  <c r="V3157" i="1"/>
  <c r="V3156" i="1"/>
  <c r="V3155" i="1"/>
  <c r="V3154" i="1"/>
  <c r="W3155" i="1"/>
  <c r="W3156" i="1"/>
  <c r="W3157" i="1"/>
  <c r="W3158" i="1"/>
  <c r="W3159" i="1"/>
  <c r="W3160" i="1"/>
  <c r="W3161" i="1"/>
  <c r="W3162" i="1"/>
  <c r="W3163" i="1"/>
  <c r="W3164" i="1"/>
  <c r="W3165" i="1"/>
  <c r="W3166" i="1"/>
  <c r="W3154" i="1"/>
  <c r="V2538" i="1"/>
  <c r="W227" i="1"/>
  <c r="V227" i="1"/>
  <c r="W90" i="1"/>
  <c r="V90" i="1"/>
  <c r="V75" i="1"/>
  <c r="V437" i="1"/>
  <c r="W1374" i="1"/>
  <c r="V1374" i="1"/>
  <c r="W1691" i="1"/>
  <c r="V1691" i="1"/>
  <c r="W3227" i="1"/>
  <c r="V3227" i="1"/>
  <c r="W2238" i="1"/>
  <c r="W2237" i="1"/>
  <c r="W2236" i="1"/>
  <c r="V2236" i="1"/>
  <c r="W202" i="1"/>
  <c r="V202" i="1"/>
  <c r="V478" i="1"/>
  <c r="V477" i="1"/>
  <c r="V476" i="1"/>
  <c r="V2607" i="1"/>
  <c r="V506" i="1"/>
  <c r="V1646" i="1"/>
  <c r="W219" i="1"/>
  <c r="V219" i="1"/>
  <c r="W216" i="1"/>
  <c r="V216" i="1"/>
  <c r="W218" i="1"/>
  <c r="V218" i="1"/>
  <c r="W217" i="1"/>
  <c r="V217" i="1"/>
  <c r="W215" i="1"/>
  <c r="V215" i="1"/>
  <c r="W207" i="1"/>
  <c r="V207" i="1"/>
  <c r="W209" i="1"/>
  <c r="V209" i="1"/>
  <c r="W208" i="1"/>
  <c r="V208" i="1"/>
  <c r="W213" i="1"/>
  <c r="V213" i="1"/>
  <c r="W211" i="1"/>
  <c r="V211" i="1"/>
  <c r="W210" i="1"/>
  <c r="V210" i="1"/>
  <c r="W205" i="1"/>
  <c r="V205" i="1"/>
  <c r="W206" i="1"/>
  <c r="V206" i="1"/>
  <c r="W200" i="1"/>
  <c r="V200" i="1"/>
  <c r="W199" i="1"/>
  <c r="V199" i="1"/>
  <c r="W190" i="1"/>
  <c r="V190" i="1"/>
  <c r="W195" i="1"/>
  <c r="V195" i="1"/>
  <c r="W196" i="1"/>
  <c r="V196" i="1"/>
  <c r="W197" i="1"/>
  <c r="V197" i="1"/>
  <c r="W198" i="1"/>
  <c r="V198" i="1"/>
  <c r="W194" i="1"/>
  <c r="V194" i="1"/>
  <c r="W193" i="1"/>
  <c r="V193" i="1"/>
  <c r="W191" i="1"/>
  <c r="V191" i="1"/>
  <c r="W189" i="1"/>
  <c r="V189" i="1"/>
  <c r="W192" i="1"/>
  <c r="V192" i="1"/>
  <c r="W1383" i="1"/>
  <c r="V1383" i="1"/>
  <c r="W1382" i="1"/>
  <c r="V1382" i="1"/>
  <c r="V3129" i="1"/>
  <c r="V3128" i="1"/>
  <c r="V3127" i="1"/>
  <c r="V3126" i="1"/>
  <c r="V3125" i="1"/>
  <c r="V3124" i="1"/>
  <c r="V3122" i="1"/>
  <c r="V3233" i="1"/>
  <c r="V2908" i="1"/>
  <c r="W2907" i="1"/>
  <c r="V2907" i="1"/>
  <c r="V3123" i="1"/>
  <c r="W3120" i="1"/>
  <c r="V3120" i="1"/>
  <c r="V73" i="1"/>
  <c r="V3183" i="1"/>
  <c r="W76" i="1"/>
  <c r="V76" i="1"/>
  <c r="V1067" i="1"/>
  <c r="W1067" i="1"/>
  <c r="V224" i="1"/>
  <c r="V223" i="1"/>
  <c r="V222" i="1"/>
  <c r="W69" i="1"/>
  <c r="V69" i="1"/>
  <c r="W68" i="1"/>
  <c r="V68" i="1"/>
  <c r="V221" i="1"/>
  <c r="W220" i="1"/>
  <c r="V220" i="1"/>
  <c r="W185" i="1"/>
  <c r="V185" i="1"/>
  <c r="W3402" i="1"/>
  <c r="V3402" i="1"/>
  <c r="V3401" i="1"/>
  <c r="V3119" i="1"/>
  <c r="W3119" i="1"/>
  <c r="W3118" i="1"/>
  <c r="V3118" i="1"/>
  <c r="V3110" i="1"/>
  <c r="W3117" i="1"/>
  <c r="V3117" i="1"/>
  <c r="V836" i="1"/>
  <c r="V837" i="1"/>
  <c r="V337" i="1"/>
  <c r="V1682" i="1"/>
  <c r="W3169" i="1"/>
  <c r="V3169" i="1"/>
  <c r="V3170" i="1"/>
  <c r="W3170" i="1"/>
  <c r="V2921" i="1"/>
  <c r="W1892" i="1"/>
  <c r="V1892" i="1"/>
  <c r="W1272" i="1"/>
  <c r="V1272" i="1"/>
  <c r="V1071" i="1"/>
  <c r="V1070" i="1"/>
  <c r="V3209" i="1"/>
  <c r="V3208" i="1"/>
  <c r="W1541" i="1"/>
  <c r="V1541" i="1"/>
  <c r="W1933" i="1"/>
  <c r="V1933" i="1"/>
  <c r="W1893" i="1"/>
  <c r="V1893" i="1"/>
  <c r="V3167" i="1"/>
  <c r="V3168" i="1"/>
  <c r="V3212" i="1"/>
  <c r="V3213" i="1"/>
  <c r="V3207" i="1"/>
  <c r="V184" i="1"/>
  <c r="W2705" i="1"/>
  <c r="V2705" i="1"/>
  <c r="W2706" i="1"/>
  <c r="V2706" i="1"/>
  <c r="W2929" i="1"/>
  <c r="V2929" i="1"/>
  <c r="W2928" i="1"/>
  <c r="V2928" i="1"/>
  <c r="W2931" i="1"/>
  <c r="V2931" i="1"/>
  <c r="W2930" i="1"/>
  <c r="V2930" i="1"/>
  <c r="V2932" i="1"/>
  <c r="W2932" i="1"/>
  <c r="V2933" i="1"/>
  <c r="W2933" i="1"/>
  <c r="W3093" i="1"/>
  <c r="W1254" i="1"/>
  <c r="V1254" i="1"/>
  <c r="W2534" i="1"/>
  <c r="V2534" i="1"/>
  <c r="W167" i="1"/>
  <c r="W1354" i="1"/>
  <c r="V1354" i="1"/>
  <c r="V1349" i="1"/>
  <c r="W3400" i="1"/>
  <c r="V3400" i="1"/>
  <c r="W459" i="1"/>
  <c r="V459" i="1"/>
  <c r="W3232" i="1"/>
  <c r="V3232" i="1"/>
  <c r="W2202" i="1"/>
  <c r="W2972" i="1"/>
  <c r="V2972" i="1"/>
  <c r="W2973" i="1"/>
  <c r="V2973" i="1"/>
  <c r="W2974" i="1"/>
  <c r="V2974" i="1"/>
  <c r="W2970" i="1"/>
  <c r="V2970" i="1"/>
  <c r="W2754" i="1"/>
  <c r="V2754" i="1"/>
  <c r="V2752" i="1"/>
  <c r="V3188" i="1"/>
  <c r="W977" i="1"/>
  <c r="V2910" i="1"/>
  <c r="V2909" i="1"/>
  <c r="V315" i="1"/>
  <c r="V1808" i="1"/>
  <c r="V2107" i="1"/>
  <c r="V1932" i="1"/>
  <c r="V1897" i="1"/>
  <c r="V2985" i="1"/>
  <c r="V2984" i="1"/>
  <c r="V2983" i="1"/>
  <c r="W2906" i="1"/>
  <c r="V2906" i="1"/>
  <c r="V2911" i="1"/>
  <c r="V775" i="1"/>
  <c r="V776" i="1"/>
  <c r="V774" i="1"/>
  <c r="V778" i="1"/>
  <c r="V777" i="1"/>
  <c r="V779" i="1"/>
  <c r="V475" i="1"/>
  <c r="V2547" i="1"/>
  <c r="V1930" i="1"/>
  <c r="V2076" i="1"/>
  <c r="V1931" i="1"/>
  <c r="W267" i="1"/>
  <c r="V267" i="1"/>
  <c r="V765" i="1"/>
  <c r="V768" i="1"/>
  <c r="V769" i="1"/>
  <c r="V770" i="1"/>
  <c r="V767" i="1"/>
  <c r="V772" i="1"/>
  <c r="V771" i="1"/>
  <c r="V1605" i="1"/>
  <c r="W1605" i="1"/>
  <c r="W1082" i="1"/>
  <c r="V1082" i="1"/>
  <c r="W928" i="1"/>
  <c r="V928" i="1"/>
  <c r="W214" i="1"/>
  <c r="V214" i="1"/>
  <c r="W163" i="1"/>
  <c r="V163" i="1"/>
  <c r="W96" i="1"/>
  <c r="V96" i="1"/>
  <c r="V761" i="1"/>
  <c r="V760" i="1"/>
  <c r="V759" i="1"/>
  <c r="V758" i="1"/>
  <c r="V757" i="1"/>
  <c r="V756" i="1"/>
  <c r="V755" i="1"/>
  <c r="V95" i="1"/>
  <c r="W539" i="1"/>
  <c r="W538" i="1"/>
  <c r="W1351" i="1"/>
  <c r="W3262" i="1"/>
  <c r="V3262" i="1"/>
  <c r="V3418" i="1"/>
  <c r="V3292" i="1"/>
  <c r="V3306" i="1"/>
  <c r="V257" i="1"/>
  <c r="V752" i="1"/>
  <c r="V750" i="1"/>
  <c r="V751" i="1"/>
  <c r="V754" i="1"/>
  <c r="V753" i="1"/>
  <c r="V749" i="1"/>
  <c r="V3244" i="1"/>
  <c r="V3243" i="1"/>
  <c r="V3242" i="1"/>
  <c r="V3241" i="1"/>
  <c r="V3240" i="1"/>
  <c r="V3239" i="1"/>
  <c r="V926" i="1"/>
  <c r="W926" i="1"/>
  <c r="W927" i="1"/>
  <c r="V927" i="1"/>
  <c r="V3238" i="1"/>
  <c r="W1503" i="1"/>
  <c r="V1503" i="1"/>
  <c r="V748" i="1"/>
  <c r="V745" i="1"/>
  <c r="V747" i="1"/>
  <c r="V746" i="1"/>
  <c r="V744" i="1"/>
  <c r="V784" i="1"/>
  <c r="W784" i="1"/>
  <c r="W18" i="1"/>
  <c r="V18" i="1"/>
  <c r="W19" i="1"/>
  <c r="V19" i="1"/>
  <c r="W1899" i="1"/>
  <c r="V1899" i="1"/>
  <c r="V2003" i="1"/>
  <c r="V1703" i="1"/>
  <c r="V3135" i="1"/>
  <c r="V3134" i="1"/>
  <c r="V3133" i="1"/>
  <c r="V3136" i="1"/>
  <c r="W3136" i="1"/>
  <c r="W3135" i="1"/>
  <c r="W3134" i="1"/>
  <c r="W3133" i="1"/>
  <c r="V283" i="1"/>
  <c r="V282" i="1"/>
  <c r="W1504" i="1"/>
  <c r="V1504" i="1"/>
  <c r="W1600" i="1"/>
  <c r="W941" i="1"/>
  <c r="V941" i="1"/>
  <c r="W1505" i="1"/>
  <c r="V1505" i="1"/>
  <c r="W3344" i="1"/>
  <c r="V3142" i="1"/>
  <c r="V3141" i="1"/>
  <c r="V3140" i="1"/>
  <c r="V3139" i="1"/>
  <c r="V3138" i="1"/>
  <c r="V3143" i="1"/>
  <c r="W3139" i="1"/>
  <c r="W3138" i="1"/>
  <c r="W3137" i="1"/>
  <c r="V3137" i="1"/>
  <c r="W3141" i="1"/>
  <c r="W3140" i="1"/>
  <c r="W3142" i="1"/>
  <c r="W3143" i="1"/>
  <c r="V2986" i="1"/>
  <c r="V3054" i="1"/>
  <c r="V3053" i="1"/>
  <c r="V2953" i="1"/>
  <c r="V728" i="1"/>
  <c r="V727" i="1"/>
  <c r="V1347" i="1"/>
  <c r="V3206" i="1"/>
  <c r="W1318" i="1"/>
  <c r="V1318" i="1"/>
  <c r="W1317" i="1"/>
  <c r="V1317" i="1"/>
  <c r="V740" i="1"/>
  <c r="V742" i="1"/>
  <c r="V743" i="1"/>
  <c r="V741" i="1"/>
  <c r="V739" i="1"/>
  <c r="V731" i="1"/>
  <c r="W1205" i="1"/>
  <c r="V1205" i="1"/>
  <c r="W2600" i="1"/>
  <c r="V2600" i="1"/>
  <c r="W367" i="1"/>
  <c r="V367" i="1"/>
  <c r="V3189" i="1"/>
  <c r="W2783" i="1"/>
  <c r="V2783" i="1"/>
  <c r="W3421" i="1"/>
  <c r="V3421" i="1"/>
  <c r="W3420" i="1"/>
  <c r="V3420" i="1"/>
  <c r="V1641" i="1"/>
  <c r="V3180" i="1"/>
  <c r="W617" i="1"/>
  <c r="V818" i="1"/>
  <c r="W1029" i="1"/>
  <c r="V1029" i="1"/>
  <c r="W1028" i="1"/>
  <c r="V1028" i="1"/>
  <c r="V1686" i="1"/>
  <c r="W1686" i="1"/>
  <c r="W1685" i="1"/>
  <c r="V1685" i="1"/>
  <c r="V316" i="1"/>
  <c r="W3247" i="1"/>
  <c r="V3247" i="1"/>
  <c r="W3246" i="1"/>
  <c r="V3246" i="1"/>
  <c r="W1058" i="1"/>
  <c r="V1058" i="1"/>
  <c r="V1057" i="1"/>
  <c r="W984" i="1"/>
  <c r="V984" i="1"/>
  <c r="W982" i="1"/>
  <c r="V982" i="1"/>
  <c r="W1227" i="1"/>
  <c r="V1227" i="1"/>
  <c r="W1228" i="1"/>
  <c r="V1228" i="1"/>
  <c r="W1108" i="1"/>
  <c r="V1108" i="1"/>
  <c r="V1734" i="1"/>
  <c r="V5" i="1"/>
  <c r="V6" i="1"/>
  <c r="V7" i="1"/>
  <c r="V8" i="1"/>
  <c r="V10" i="1"/>
  <c r="V14" i="1"/>
  <c r="V15" i="1"/>
  <c r="W15" i="1"/>
  <c r="W39" i="1"/>
  <c r="W40" i="1"/>
  <c r="W41" i="1"/>
  <c r="W42" i="1"/>
  <c r="W43" i="1"/>
  <c r="W44" i="1"/>
  <c r="V45" i="1"/>
  <c r="V46" i="1"/>
  <c r="V56" i="1"/>
  <c r="W56" i="1"/>
  <c r="V60" i="1"/>
  <c r="V65" i="1"/>
  <c r="V70" i="1"/>
  <c r="W70" i="1"/>
  <c r="V71" i="1"/>
  <c r="W71" i="1"/>
  <c r="V74" i="1"/>
  <c r="W74" i="1"/>
  <c r="V82" i="1"/>
  <c r="V88" i="1"/>
  <c r="V91" i="1"/>
  <c r="V100" i="1"/>
  <c r="V108" i="1"/>
  <c r="V111" i="1"/>
  <c r="V117" i="1"/>
  <c r="V122" i="1"/>
  <c r="W122" i="1"/>
  <c r="V141" i="1"/>
  <c r="V143" i="1"/>
  <c r="W143" i="1"/>
  <c r="V144" i="1"/>
  <c r="W144" i="1"/>
  <c r="V145" i="1"/>
  <c r="V146" i="1"/>
  <c r="V152" i="1"/>
  <c r="V160" i="1"/>
  <c r="V169" i="1"/>
  <c r="V170" i="1"/>
  <c r="W170" i="1"/>
  <c r="V171" i="1"/>
  <c r="W171" i="1"/>
  <c r="V172" i="1"/>
  <c r="W172" i="1"/>
  <c r="V176" i="1"/>
  <c r="V239" i="1"/>
  <c r="V247" i="1"/>
  <c r="W247" i="1"/>
  <c r="V262" i="1"/>
  <c r="V280" i="1"/>
  <c r="V284" i="1"/>
  <c r="V285" i="1"/>
  <c r="V296" i="1"/>
  <c r="V297" i="1"/>
  <c r="V298" i="1"/>
  <c r="V317" i="1"/>
  <c r="V318" i="1"/>
  <c r="V328" i="1"/>
  <c r="W328" i="1"/>
  <c r="W329" i="1"/>
  <c r="V330" i="1"/>
  <c r="W330" i="1"/>
  <c r="V331" i="1"/>
  <c r="W331" i="1"/>
  <c r="V350" i="1"/>
  <c r="V351" i="1"/>
  <c r="V355" i="1"/>
  <c r="W355" i="1"/>
  <c r="V363" i="1"/>
  <c r="W363" i="1"/>
  <c r="V364" i="1"/>
  <c r="W364" i="1"/>
  <c r="V398" i="1"/>
  <c r="V402" i="1"/>
  <c r="V446" i="1"/>
  <c r="V450" i="1"/>
  <c r="W450" i="1"/>
  <c r="V453" i="1"/>
  <c r="W453" i="1"/>
  <c r="V454" i="1"/>
  <c r="W454" i="1"/>
  <c r="V470" i="1"/>
  <c r="W470" i="1"/>
  <c r="V471" i="1"/>
  <c r="V473" i="1"/>
  <c r="W473" i="1"/>
  <c r="V474" i="1"/>
  <c r="W474" i="1"/>
  <c r="V491" i="1"/>
  <c r="V499" i="1"/>
  <c r="V500" i="1"/>
  <c r="W500" i="1"/>
  <c r="V504" i="1"/>
  <c r="V508" i="1"/>
  <c r="W532" i="1"/>
  <c r="V535" i="1"/>
  <c r="V537" i="1"/>
  <c r="V563" i="1"/>
  <c r="W563" i="1"/>
  <c r="V572" i="1"/>
  <c r="W572" i="1"/>
  <c r="V575" i="1"/>
  <c r="V577" i="1"/>
  <c r="V587" i="1"/>
  <c r="W624" i="1"/>
  <c r="W625" i="1"/>
  <c r="V626" i="1"/>
  <c r="W626" i="1"/>
  <c r="V627" i="1"/>
  <c r="W627" i="1"/>
  <c r="V628" i="1"/>
  <c r="W628" i="1"/>
  <c r="V629" i="1"/>
  <c r="W629" i="1"/>
  <c r="V630" i="1"/>
  <c r="W630" i="1"/>
  <c r="V632" i="1"/>
  <c r="W632" i="1"/>
  <c r="V633" i="1"/>
  <c r="W633" i="1"/>
  <c r="V634" i="1"/>
  <c r="W634" i="1"/>
  <c r="V652" i="1"/>
  <c r="V654" i="1"/>
  <c r="V657" i="1"/>
  <c r="V661" i="1"/>
  <c r="W661" i="1"/>
  <c r="V694" i="1"/>
  <c r="V695" i="1"/>
  <c r="V696" i="1"/>
  <c r="W696" i="1"/>
  <c r="V699" i="1"/>
  <c r="W699" i="1"/>
  <c r="V700" i="1"/>
  <c r="V707" i="1"/>
  <c r="V709" i="1"/>
  <c r="V710" i="1"/>
  <c r="V711" i="1"/>
  <c r="V734" i="1"/>
  <c r="V735" i="1"/>
  <c r="V736" i="1"/>
  <c r="V737" i="1"/>
  <c r="V738" i="1"/>
  <c r="V729" i="1"/>
  <c r="V730" i="1"/>
  <c r="V733" i="1"/>
  <c r="W807" i="1"/>
  <c r="W808" i="1"/>
  <c r="V813" i="1"/>
  <c r="W813" i="1"/>
  <c r="V904" i="1"/>
  <c r="W904" i="1"/>
  <c r="V912" i="1"/>
  <c r="W912" i="1"/>
  <c r="V930" i="1"/>
  <c r="W930" i="1"/>
  <c r="V931" i="1"/>
  <c r="W931" i="1"/>
  <c r="V933" i="1"/>
  <c r="W933" i="1"/>
  <c r="V934" i="1"/>
  <c r="W934" i="1"/>
  <c r="V955" i="1"/>
  <c r="W955" i="1"/>
  <c r="V957" i="1"/>
  <c r="W957" i="1"/>
  <c r="V958" i="1"/>
  <c r="W958" i="1"/>
  <c r="V960" i="1"/>
  <c r="W960" i="1"/>
  <c r="V961" i="1"/>
  <c r="W961" i="1"/>
  <c r="V962" i="1"/>
  <c r="W962" i="1"/>
  <c r="V963" i="1"/>
  <c r="W963" i="1"/>
  <c r="V964" i="1"/>
  <c r="W964" i="1"/>
  <c r="V965" i="1"/>
  <c r="W965" i="1"/>
  <c r="V966" i="1"/>
  <c r="W966" i="1"/>
  <c r="V967" i="1"/>
  <c r="W967" i="1"/>
  <c r="V973" i="1"/>
  <c r="W973" i="1"/>
  <c r="V974" i="1"/>
  <c r="W974" i="1"/>
  <c r="V979" i="1"/>
  <c r="W979" i="1"/>
  <c r="V990" i="1"/>
  <c r="W990" i="1"/>
  <c r="W995" i="1"/>
  <c r="W996" i="1"/>
  <c r="W1001" i="1"/>
  <c r="V1002" i="1"/>
  <c r="V1003" i="1"/>
  <c r="W1003" i="1"/>
  <c r="V1007" i="1"/>
  <c r="W1007" i="1"/>
  <c r="V1008" i="1"/>
  <c r="V1009" i="1"/>
  <c r="W1009" i="1"/>
  <c r="V838" i="1"/>
  <c r="V1087" i="1"/>
  <c r="W1087" i="1"/>
  <c r="V1088" i="1"/>
  <c r="W1088" i="1"/>
  <c r="V1091" i="1"/>
  <c r="V1096" i="1"/>
  <c r="V1015" i="1"/>
  <c r="W1015" i="1"/>
  <c r="V1016" i="1"/>
  <c r="V1102" i="1"/>
  <c r="W1102" i="1"/>
  <c r="V1103" i="1"/>
  <c r="V1105" i="1"/>
  <c r="W1105" i="1"/>
  <c r="V1106" i="1"/>
  <c r="V1107" i="1"/>
  <c r="W1107" i="1"/>
  <c r="V1030" i="1"/>
  <c r="W1030" i="1"/>
  <c r="V1032" i="1"/>
  <c r="V1035" i="1"/>
  <c r="V1036" i="1"/>
  <c r="V1037" i="1"/>
  <c r="V1038" i="1"/>
  <c r="V1039" i="1"/>
  <c r="V1069" i="1"/>
  <c r="V1041" i="1"/>
  <c r="V1056" i="1"/>
  <c r="V1109" i="1"/>
  <c r="W1109" i="1"/>
  <c r="V1112" i="1"/>
  <c r="W1112" i="1"/>
  <c r="V1113" i="1"/>
  <c r="V1114" i="1"/>
  <c r="W1114" i="1"/>
  <c r="V1115" i="1"/>
  <c r="W1115" i="1"/>
  <c r="V1118" i="1"/>
  <c r="V1119" i="1"/>
  <c r="V1120" i="1"/>
  <c r="W1120" i="1"/>
  <c r="V1121" i="1"/>
  <c r="W1121" i="1"/>
  <c r="V1132" i="1"/>
  <c r="V1133" i="1"/>
  <c r="V1134" i="1"/>
  <c r="V1138" i="1"/>
  <c r="V1139" i="1"/>
  <c r="V1142" i="1"/>
  <c r="V1143" i="1"/>
  <c r="V1144" i="1"/>
  <c r="V1145" i="1"/>
  <c r="V1146" i="1"/>
  <c r="V1147" i="1"/>
  <c r="V1148" i="1"/>
  <c r="V1158" i="1"/>
  <c r="W1158" i="1"/>
  <c r="V1159" i="1"/>
  <c r="W1159" i="1"/>
  <c r="V1195" i="1"/>
  <c r="W1195" i="1"/>
  <c r="V1196" i="1"/>
  <c r="V1197" i="1"/>
  <c r="W1197" i="1"/>
  <c r="V1209" i="1"/>
  <c r="V1215" i="1"/>
  <c r="V1220" i="1"/>
  <c r="V1225" i="1"/>
  <c r="V1229" i="1"/>
  <c r="V1230" i="1"/>
  <c r="V1231" i="1"/>
  <c r="V1232" i="1"/>
  <c r="V1235" i="1"/>
  <c r="W1235" i="1"/>
  <c r="V1236" i="1"/>
  <c r="W1236" i="1"/>
  <c r="V1244" i="1"/>
  <c r="W1244" i="1"/>
  <c r="V1245" i="1"/>
  <c r="W1245" i="1"/>
  <c r="V1253" i="1"/>
  <c r="W1253" i="1"/>
  <c r="V1257" i="1"/>
  <c r="V1274" i="1"/>
  <c r="W1274" i="1"/>
  <c r="V1275" i="1"/>
  <c r="W1275" i="1"/>
  <c r="V1276" i="1"/>
  <c r="W1276" i="1"/>
  <c r="V1277" i="1"/>
  <c r="V1278" i="1"/>
  <c r="W1278" i="1"/>
  <c r="V1279" i="1"/>
  <c r="V1295" i="1"/>
  <c r="W1295" i="1"/>
  <c r="V1296" i="1"/>
  <c r="W1296" i="1"/>
  <c r="V1308" i="1"/>
  <c r="V1309" i="1"/>
  <c r="W1309" i="1"/>
  <c r="V1310" i="1"/>
  <c r="W1310" i="1"/>
  <c r="V1314" i="1"/>
  <c r="W1314" i="1"/>
  <c r="V1325" i="1"/>
  <c r="V1330" i="1"/>
  <c r="W1330" i="1"/>
  <c r="W1340" i="1"/>
  <c r="V1370" i="1"/>
  <c r="W1370" i="1"/>
  <c r="V1371" i="1"/>
  <c r="W1371" i="1"/>
  <c r="V1372" i="1"/>
  <c r="W1372" i="1"/>
  <c r="V1373" i="1"/>
  <c r="W1373" i="1"/>
  <c r="V1376" i="1"/>
  <c r="W1376" i="1"/>
  <c r="V1377" i="1"/>
  <c r="W1377" i="1"/>
  <c r="V1378" i="1"/>
  <c r="W1378" i="1"/>
  <c r="V1379" i="1"/>
  <c r="W1379" i="1"/>
  <c r="V1387" i="1"/>
  <c r="W1387" i="1"/>
  <c r="V1389" i="1"/>
  <c r="W1389" i="1"/>
  <c r="V1391" i="1"/>
  <c r="W1391" i="1"/>
  <c r="V1400" i="1"/>
  <c r="W1400" i="1"/>
  <c r="V1401" i="1"/>
  <c r="W1401" i="1"/>
  <c r="V1402" i="1"/>
  <c r="W1402" i="1"/>
  <c r="V1403" i="1"/>
  <c r="W1403" i="1"/>
  <c r="V1404" i="1"/>
  <c r="W1404" i="1"/>
  <c r="V1407" i="1"/>
  <c r="V1410" i="1"/>
  <c r="V1411" i="1"/>
  <c r="W1411" i="1"/>
  <c r="V1439" i="1"/>
  <c r="W1439" i="1"/>
  <c r="V1440" i="1"/>
  <c r="W1440" i="1"/>
  <c r="V1441" i="1"/>
  <c r="V1442" i="1"/>
  <c r="V1443" i="1"/>
  <c r="V1444" i="1"/>
  <c r="V1447" i="1"/>
  <c r="W1447" i="1"/>
  <c r="V1448" i="1"/>
  <c r="W1448" i="1"/>
  <c r="V1463" i="1"/>
  <c r="V1485" i="1"/>
  <c r="V1486" i="1"/>
  <c r="V1488" i="1"/>
  <c r="V1489" i="1"/>
  <c r="V1490" i="1"/>
  <c r="V1498" i="1"/>
  <c r="W1498" i="1"/>
  <c r="V1501" i="1"/>
  <c r="V1506" i="1"/>
  <c r="W1506" i="1"/>
  <c r="V1542" i="1"/>
  <c r="V1545" i="1"/>
  <c r="V1555" i="1"/>
  <c r="V1572" i="1"/>
  <c r="W1613" i="1"/>
  <c r="W1614" i="1"/>
  <c r="W1616" i="1"/>
  <c r="W1617" i="1"/>
  <c r="V1620" i="1"/>
  <c r="W1620" i="1"/>
  <c r="V1651" i="1"/>
  <c r="V1660" i="1"/>
  <c r="W1660" i="1"/>
  <c r="V1668" i="1"/>
  <c r="W1668" i="1"/>
  <c r="V1693" i="1"/>
  <c r="W1693" i="1"/>
  <c r="V1694" i="1"/>
  <c r="W1694" i="1"/>
  <c r="V1701" i="1"/>
  <c r="V1702" i="1"/>
  <c r="V1716" i="1"/>
  <c r="W1724" i="1"/>
  <c r="W1725" i="1"/>
  <c r="V1727" i="1"/>
  <c r="V1740" i="1"/>
  <c r="V1746" i="1"/>
  <c r="V1749" i="1"/>
  <c r="V1751" i="1"/>
  <c r="V1752" i="1"/>
  <c r="V1776" i="1"/>
  <c r="V1784" i="1"/>
  <c r="V1785" i="1"/>
  <c r="W1792" i="1"/>
  <c r="W1793" i="1"/>
  <c r="W1794" i="1"/>
  <c r="V1797" i="1"/>
  <c r="W1797" i="1"/>
  <c r="V1813" i="1"/>
  <c r="W1813" i="1"/>
  <c r="V1847" i="1"/>
  <c r="V1849" i="1"/>
  <c r="W1849" i="1"/>
  <c r="V1891" i="1"/>
  <c r="W1891" i="1"/>
  <c r="V1905" i="1"/>
  <c r="V1908" i="1"/>
  <c r="W1908" i="1"/>
  <c r="V1923" i="1"/>
  <c r="W1923" i="1"/>
  <c r="V1925" i="1"/>
  <c r="V1926" i="1"/>
  <c r="V1927" i="1"/>
  <c r="W1927" i="1"/>
  <c r="V1928" i="1"/>
  <c r="W1928" i="1"/>
  <c r="V1929" i="1"/>
  <c r="W1929" i="1"/>
  <c r="V1945" i="1"/>
  <c r="V1984" i="1"/>
  <c r="W1984" i="1"/>
  <c r="V1985" i="1"/>
  <c r="W1985" i="1"/>
  <c r="V1986" i="1"/>
  <c r="W1986" i="1"/>
  <c r="V1996" i="1"/>
  <c r="W1996" i="1"/>
  <c r="V1997" i="1"/>
  <c r="W1997" i="1"/>
  <c r="V2000" i="1"/>
  <c r="W2000" i="1"/>
  <c r="V2002" i="1"/>
  <c r="W2002" i="1"/>
  <c r="V2011" i="1"/>
  <c r="V2012" i="1"/>
  <c r="V2023" i="1"/>
  <c r="V2027" i="1"/>
  <c r="W2027" i="1"/>
  <c r="V2028" i="1"/>
  <c r="W2028" i="1"/>
  <c r="V2029" i="1"/>
  <c r="W2029" i="1"/>
  <c r="V2030" i="1"/>
  <c r="W2030" i="1"/>
  <c r="V2040" i="1"/>
  <c r="V2052" i="1"/>
  <c r="V2053" i="1"/>
  <c r="V2054" i="1"/>
  <c r="V2055" i="1"/>
  <c r="V2056" i="1"/>
  <c r="V2068" i="1"/>
  <c r="W2068" i="1"/>
  <c r="V2160" i="1"/>
  <c r="V2161" i="1"/>
  <c r="V2162" i="1"/>
  <c r="V2163" i="1"/>
  <c r="V2164" i="1"/>
  <c r="V2165" i="1"/>
  <c r="V2166" i="1"/>
  <c r="V2167" i="1"/>
  <c r="V2168" i="1"/>
  <c r="V2169" i="1"/>
  <c r="V2170" i="1"/>
  <c r="V2171" i="1"/>
  <c r="V2184" i="1"/>
  <c r="W2184" i="1"/>
  <c r="V2187" i="1"/>
  <c r="W2187" i="1"/>
  <c r="V2196" i="1"/>
  <c r="W2196" i="1"/>
  <c r="V2208" i="1"/>
  <c r="W2208" i="1"/>
  <c r="V2211" i="1"/>
  <c r="W2211" i="1"/>
  <c r="V2212" i="1"/>
  <c r="W2212" i="1"/>
  <c r="V2221" i="1"/>
  <c r="V2229" i="1"/>
  <c r="V2231" i="1"/>
  <c r="W2231" i="1"/>
  <c r="V2232" i="1"/>
  <c r="W2232" i="1"/>
  <c r="V2250" i="1"/>
  <c r="W2250" i="1"/>
  <c r="V2251" i="1"/>
  <c r="W2251" i="1"/>
  <c r="V2258" i="1"/>
  <c r="V2259" i="1"/>
  <c r="V2265" i="1"/>
  <c r="V2266" i="1"/>
  <c r="V2267" i="1"/>
  <c r="V2270" i="1"/>
  <c r="V2280" i="1"/>
  <c r="W2280" i="1"/>
  <c r="V2286" i="1"/>
  <c r="V2290" i="1"/>
  <c r="V2302" i="1"/>
  <c r="W2302" i="1"/>
  <c r="V2306" i="1"/>
  <c r="V2308" i="1"/>
  <c r="W2308" i="1"/>
  <c r="V2309" i="1"/>
  <c r="W2309" i="1"/>
  <c r="V2310" i="1"/>
  <c r="V2319" i="1"/>
  <c r="V2324" i="1"/>
  <c r="W2324" i="1"/>
  <c r="V2325" i="1"/>
  <c r="W2325" i="1"/>
  <c r="V2327" i="1"/>
  <c r="V2328" i="1"/>
  <c r="V2332" i="1"/>
  <c r="V2333" i="1"/>
  <c r="V2334" i="1"/>
  <c r="V2342" i="1"/>
  <c r="V2343" i="1"/>
  <c r="V2344" i="1"/>
  <c r="V2345" i="1"/>
  <c r="V2346" i="1"/>
  <c r="V2347" i="1"/>
  <c r="V2348" i="1"/>
  <c r="V2349" i="1"/>
  <c r="V2350" i="1"/>
  <c r="V2351" i="1"/>
  <c r="V2352" i="1"/>
  <c r="V2353" i="1"/>
  <c r="V2354" i="1"/>
  <c r="V2355" i="1"/>
  <c r="V2356" i="1"/>
  <c r="V2357" i="1"/>
  <c r="V2358" i="1"/>
  <c r="V2359" i="1"/>
  <c r="V2360" i="1"/>
  <c r="V2361" i="1"/>
  <c r="V2362" i="1"/>
  <c r="V2363" i="1"/>
  <c r="V2364" i="1"/>
  <c r="V2365" i="1"/>
  <c r="V2366" i="1"/>
  <c r="V2367" i="1"/>
  <c r="V2368" i="1"/>
  <c r="V2369" i="1"/>
  <c r="V2370" i="1"/>
  <c r="V2371" i="1"/>
  <c r="V2372" i="1"/>
  <c r="V2373" i="1"/>
  <c r="V2374" i="1"/>
  <c r="V2375" i="1"/>
  <c r="V2376" i="1"/>
  <c r="V2377" i="1"/>
  <c r="V2378" i="1"/>
  <c r="V2379" i="1"/>
  <c r="V2380" i="1"/>
  <c r="V2381" i="1"/>
  <c r="V2382" i="1"/>
  <c r="V2383" i="1"/>
  <c r="V2384" i="1"/>
  <c r="W2384" i="1"/>
  <c r="V2385" i="1"/>
  <c r="V2401" i="1"/>
  <c r="W2401" i="1"/>
  <c r="V2402" i="1"/>
  <c r="W2402" i="1"/>
  <c r="V2403" i="1"/>
  <c r="W2403" i="1"/>
  <c r="V2404" i="1"/>
  <c r="W2404" i="1"/>
  <c r="V2405" i="1"/>
  <c r="W2405" i="1"/>
  <c r="V2406" i="1"/>
  <c r="W2406" i="1"/>
  <c r="V2407" i="1"/>
  <c r="W2407" i="1"/>
  <c r="V2408" i="1"/>
  <c r="W2408" i="1"/>
  <c r="V2409" i="1"/>
  <c r="W2409" i="1"/>
  <c r="V2410" i="1"/>
  <c r="W2410" i="1"/>
  <c r="V2411" i="1"/>
  <c r="W2411" i="1"/>
  <c r="V2412" i="1"/>
  <c r="W2412" i="1"/>
  <c r="V2413" i="1"/>
  <c r="W2413" i="1"/>
  <c r="V2414" i="1"/>
  <c r="W2414" i="1"/>
  <c r="V2415" i="1"/>
  <c r="W2415" i="1"/>
  <c r="V2416" i="1"/>
  <c r="W2416" i="1"/>
  <c r="V2417" i="1"/>
  <c r="W2417" i="1"/>
  <c r="V2418" i="1"/>
  <c r="W2418" i="1"/>
  <c r="V2419" i="1"/>
  <c r="W2419" i="1"/>
  <c r="V2420" i="1"/>
  <c r="W2420" i="1"/>
  <c r="V2421" i="1"/>
  <c r="W2421" i="1"/>
  <c r="V2422" i="1"/>
  <c r="W2422" i="1"/>
  <c r="V2423" i="1"/>
  <c r="W2423" i="1"/>
  <c r="V2424" i="1"/>
  <c r="W2424" i="1"/>
  <c r="V2425" i="1"/>
  <c r="W2425" i="1"/>
  <c r="V2426" i="1"/>
  <c r="W2426" i="1"/>
  <c r="V2427" i="1"/>
  <c r="W2427" i="1"/>
  <c r="V2428" i="1"/>
  <c r="W2428" i="1"/>
  <c r="V2429" i="1"/>
  <c r="W2429" i="1"/>
  <c r="V2430" i="1"/>
  <c r="W2430" i="1"/>
  <c r="V2431" i="1"/>
  <c r="W2431" i="1"/>
  <c r="V2432" i="1"/>
  <c r="W2432" i="1"/>
  <c r="V2433" i="1"/>
  <c r="W2433" i="1"/>
  <c r="V2434" i="1"/>
  <c r="W2434" i="1"/>
  <c r="V2435" i="1"/>
  <c r="W2435" i="1"/>
  <c r="V2436" i="1"/>
  <c r="W2436" i="1"/>
  <c r="V2437" i="1"/>
  <c r="W2437" i="1"/>
  <c r="V2438" i="1"/>
  <c r="W2438" i="1"/>
  <c r="V2439" i="1"/>
  <c r="W2439" i="1"/>
  <c r="V2440" i="1"/>
  <c r="W2440" i="1"/>
  <c r="V2441" i="1"/>
  <c r="W2441" i="1"/>
  <c r="V2442" i="1"/>
  <c r="W2442" i="1"/>
  <c r="V2443" i="1"/>
  <c r="W2443" i="1"/>
  <c r="V2444" i="1"/>
  <c r="W2444" i="1"/>
  <c r="V2445" i="1"/>
  <c r="W2445" i="1"/>
  <c r="V2446" i="1"/>
  <c r="W2446" i="1"/>
  <c r="V2447" i="1"/>
  <c r="W2447" i="1"/>
  <c r="V2448" i="1"/>
  <c r="W2448" i="1"/>
  <c r="V2449" i="1"/>
  <c r="W2449" i="1"/>
  <c r="V2450" i="1"/>
  <c r="W2450" i="1"/>
  <c r="V2451" i="1"/>
  <c r="W2451" i="1"/>
  <c r="V2452" i="1"/>
  <c r="W2452" i="1"/>
  <c r="V2453" i="1"/>
  <c r="W2453" i="1"/>
  <c r="V2454" i="1"/>
  <c r="W2454" i="1"/>
  <c r="V2455" i="1"/>
  <c r="W2455" i="1"/>
  <c r="V2456" i="1"/>
  <c r="W2456" i="1"/>
  <c r="V2457" i="1"/>
  <c r="W2457" i="1"/>
  <c r="V2458" i="1"/>
  <c r="W2458" i="1"/>
  <c r="V2459" i="1"/>
  <c r="W2459" i="1"/>
  <c r="V2460" i="1"/>
  <c r="W2460" i="1"/>
  <c r="V2461" i="1"/>
  <c r="W2461" i="1"/>
  <c r="V2462" i="1"/>
  <c r="W2462" i="1"/>
  <c r="V2463" i="1"/>
  <c r="W2463" i="1"/>
  <c r="V2464" i="1"/>
  <c r="W2464" i="1"/>
  <c r="V2465" i="1"/>
  <c r="W2465" i="1"/>
  <c r="V2466" i="1"/>
  <c r="W2466" i="1"/>
  <c r="V2467" i="1"/>
  <c r="W2467" i="1"/>
  <c r="V2468" i="1"/>
  <c r="W2468" i="1"/>
  <c r="V2469" i="1"/>
  <c r="W2469" i="1"/>
  <c r="V2470" i="1"/>
  <c r="W2470" i="1"/>
  <c r="V2471" i="1"/>
  <c r="W2471" i="1"/>
  <c r="V2472" i="1"/>
  <c r="W2472" i="1"/>
  <c r="V2473" i="1"/>
  <c r="W2473" i="1"/>
  <c r="V2474" i="1"/>
  <c r="W2474" i="1"/>
  <c r="V2475" i="1"/>
  <c r="W2475" i="1"/>
  <c r="V2476" i="1"/>
  <c r="W2476" i="1"/>
  <c r="V2477" i="1"/>
  <c r="W2477" i="1"/>
  <c r="V2478" i="1"/>
  <c r="W2478" i="1"/>
  <c r="V2479" i="1"/>
  <c r="W2479" i="1"/>
  <c r="V2480" i="1"/>
  <c r="W2480" i="1"/>
  <c r="V2481" i="1"/>
  <c r="W2481" i="1"/>
  <c r="V2482" i="1"/>
  <c r="W2482" i="1"/>
  <c r="V2483" i="1"/>
  <c r="W2483" i="1"/>
  <c r="V2484" i="1"/>
  <c r="W2484" i="1"/>
  <c r="V2485" i="1"/>
  <c r="W2485" i="1"/>
  <c r="V2489" i="1"/>
  <c r="W2489" i="1"/>
  <c r="V2490" i="1"/>
  <c r="W2490" i="1"/>
  <c r="V2494" i="1"/>
  <c r="V2495" i="1"/>
  <c r="V2509" i="1"/>
  <c r="W2509" i="1"/>
  <c r="V2510" i="1"/>
  <c r="W2510" i="1"/>
  <c r="V2511" i="1"/>
  <c r="W2511" i="1"/>
  <c r="V2512" i="1"/>
  <c r="V2514" i="1"/>
  <c r="W2514" i="1"/>
  <c r="V2518" i="1"/>
  <c r="V2525" i="1"/>
  <c r="V2529" i="1"/>
  <c r="V2532" i="1"/>
  <c r="W2532" i="1"/>
  <c r="V2535" i="1"/>
  <c r="V2536" i="1"/>
  <c r="V2537" i="1"/>
  <c r="W2537" i="1"/>
  <c r="V2539" i="1"/>
  <c r="W2539" i="1"/>
  <c r="V2590" i="1"/>
  <c r="W2590" i="1"/>
  <c r="V2540" i="1"/>
  <c r="V2541" i="1"/>
  <c r="V2551" i="1"/>
  <c r="W2551" i="1"/>
  <c r="V2555" i="1"/>
  <c r="W2555" i="1"/>
  <c r="V2559" i="1"/>
  <c r="V2564" i="1"/>
  <c r="V2567" i="1"/>
  <c r="V2571" i="1"/>
  <c r="W2571" i="1"/>
  <c r="V2574" i="1"/>
  <c r="V2580" i="1"/>
  <c r="V2585" i="1"/>
  <c r="V2586" i="1"/>
  <c r="V2587" i="1"/>
  <c r="V2593" i="1"/>
  <c r="V2557" i="1"/>
  <c r="V2594" i="1"/>
  <c r="V2599" i="1"/>
  <c r="V2602" i="1"/>
  <c r="W2602" i="1"/>
  <c r="V2727" i="1"/>
  <c r="W2727" i="1"/>
  <c r="V2747" i="1"/>
  <c r="V2748" i="1"/>
  <c r="V2639" i="1"/>
  <c r="V2638" i="1"/>
  <c r="V2721" i="1"/>
  <c r="V2722" i="1"/>
  <c r="V2636" i="1"/>
  <c r="V2772" i="1"/>
  <c r="W2772" i="1"/>
  <c r="V2773" i="1"/>
  <c r="W2773" i="1"/>
  <c r="V2774" i="1"/>
  <c r="W2774" i="1"/>
  <c r="V2775" i="1"/>
  <c r="W2775" i="1"/>
  <c r="V2776" i="1"/>
  <c r="W2776" i="1"/>
  <c r="V2777" i="1"/>
  <c r="W2777" i="1"/>
  <c r="V2778" i="1"/>
  <c r="W2778" i="1"/>
  <c r="V2779" i="1"/>
  <c r="W2779" i="1"/>
  <c r="V2780" i="1"/>
  <c r="W2780" i="1"/>
  <c r="W2781" i="1"/>
  <c r="V2782" i="1"/>
  <c r="V2784" i="1"/>
  <c r="W2784" i="1"/>
  <c r="V2771" i="1"/>
  <c r="V2765" i="1"/>
  <c r="W2765" i="1"/>
  <c r="V2734" i="1"/>
  <c r="V2713" i="1"/>
  <c r="V2729" i="1"/>
  <c r="W2729" i="1"/>
  <c r="V2742" i="1"/>
  <c r="W2742" i="1"/>
  <c r="V2743" i="1"/>
  <c r="W2743" i="1"/>
  <c r="V2740" i="1"/>
  <c r="W2740" i="1"/>
  <c r="V2741" i="1"/>
  <c r="W2741" i="1"/>
  <c r="V2617" i="1"/>
  <c r="V2618" i="1"/>
  <c r="V2619" i="1"/>
  <c r="V2620" i="1"/>
  <c r="V2671" i="1"/>
  <c r="V2672" i="1"/>
  <c r="V2673" i="1"/>
  <c r="V2679" i="1"/>
  <c r="V2680" i="1"/>
  <c r="V2681" i="1"/>
  <c r="V2682" i="1"/>
  <c r="V2693" i="1"/>
  <c r="W2693" i="1"/>
  <c r="V2608" i="1"/>
  <c r="W2608" i="1"/>
  <c r="V2710" i="1"/>
  <c r="V2711" i="1"/>
  <c r="V2712" i="1"/>
  <c r="V2614" i="1"/>
  <c r="V2615" i="1"/>
  <c r="V2616" i="1"/>
  <c r="V2755" i="1"/>
  <c r="V2756" i="1"/>
  <c r="V2757" i="1"/>
  <c r="V2758" i="1"/>
  <c r="V2759" i="1"/>
  <c r="V2760" i="1"/>
  <c r="V2761" i="1"/>
  <c r="V2762" i="1"/>
  <c r="V2763" i="1"/>
  <c r="V2766" i="1"/>
  <c r="W2766" i="1"/>
  <c r="V2767" i="1"/>
  <c r="W2767" i="1"/>
  <c r="V2719" i="1"/>
  <c r="W2719" i="1"/>
  <c r="V2611" i="1"/>
  <c r="V2612" i="1"/>
  <c r="W2612" i="1"/>
  <c r="V2884" i="1"/>
  <c r="W2884" i="1"/>
  <c r="V2885" i="1"/>
  <c r="W2885" i="1"/>
  <c r="V2886" i="1"/>
  <c r="W2886" i="1"/>
  <c r="V2892" i="1"/>
  <c r="V2893" i="1"/>
  <c r="V2894" i="1"/>
  <c r="V2895" i="1"/>
  <c r="W2895" i="1"/>
  <c r="V2794" i="1"/>
  <c r="W2794" i="1"/>
  <c r="V2795" i="1"/>
  <c r="W2795" i="1"/>
  <c r="V2813" i="1"/>
  <c r="W2813" i="1"/>
  <c r="V2814" i="1"/>
  <c r="W2814" i="1"/>
  <c r="V2806" i="1"/>
  <c r="W2806" i="1"/>
  <c r="V2807" i="1"/>
  <c r="W2807" i="1"/>
  <c r="V2808" i="1"/>
  <c r="W2808" i="1"/>
  <c r="V2809" i="1"/>
  <c r="W2809" i="1"/>
  <c r="V2810" i="1"/>
  <c r="W2810" i="1"/>
  <c r="V2811" i="1"/>
  <c r="W2811" i="1"/>
  <c r="V2812" i="1"/>
  <c r="W2812" i="1"/>
  <c r="V2804" i="1"/>
  <c r="V3115" i="1"/>
  <c r="V3116" i="1"/>
  <c r="V3113" i="1"/>
  <c r="W3113" i="1"/>
  <c r="V2989" i="1"/>
  <c r="V2990" i="1"/>
  <c r="V2991" i="1"/>
  <c r="V2992" i="1"/>
  <c r="V2987" i="1"/>
  <c r="V2988" i="1"/>
  <c r="V2934" i="1"/>
  <c r="V2935" i="1"/>
  <c r="V2936" i="1"/>
  <c r="V2937" i="1"/>
  <c r="V2938" i="1"/>
  <c r="V2939" i="1"/>
  <c r="V2915" i="1"/>
  <c r="W2915" i="1"/>
  <c r="V3070" i="1"/>
  <c r="V3071" i="1"/>
  <c r="V3072" i="1"/>
  <c r="V3067" i="1"/>
  <c r="V3068" i="1"/>
  <c r="V3046" i="1"/>
  <c r="V3047" i="1"/>
  <c r="V3048" i="1"/>
  <c r="V3049" i="1"/>
  <c r="V3050" i="1"/>
  <c r="V3051" i="1"/>
  <c r="V3052" i="1"/>
  <c r="V3069" i="1"/>
  <c r="W3069" i="1"/>
  <c r="V3073" i="1"/>
  <c r="V3074" i="1"/>
  <c r="V3045" i="1"/>
  <c r="W3045" i="1"/>
  <c r="V3075" i="1"/>
  <c r="W3075" i="1"/>
  <c r="V2971" i="1"/>
  <c r="W2971" i="1"/>
  <c r="V3104" i="1"/>
  <c r="V3103" i="1"/>
  <c r="V3108" i="1"/>
  <c r="V3109" i="1"/>
  <c r="V3111" i="1"/>
  <c r="V2950" i="1"/>
  <c r="V2951" i="1"/>
  <c r="V2952" i="1"/>
  <c r="V2944" i="1"/>
  <c r="V2945" i="1"/>
  <c r="V2946" i="1"/>
  <c r="V2947" i="1"/>
  <c r="V2948" i="1"/>
  <c r="V2949" i="1"/>
  <c r="V3105" i="1"/>
  <c r="V3037" i="1"/>
  <c r="V2922" i="1"/>
  <c r="V3152" i="1"/>
  <c r="V3153" i="1"/>
  <c r="V3151" i="1"/>
  <c r="V3033" i="1"/>
  <c r="V3150" i="1"/>
  <c r="V3147" i="1"/>
  <c r="V3148" i="1"/>
  <c r="V3149" i="1"/>
  <c r="V3146" i="1"/>
  <c r="V3145" i="1"/>
  <c r="V3130" i="1"/>
  <c r="V3132" i="1"/>
  <c r="V3131" i="1"/>
  <c r="V3144" i="1"/>
  <c r="V2920" i="1"/>
  <c r="W2920" i="1"/>
  <c r="V2923" i="1"/>
  <c r="V2924" i="1"/>
  <c r="V2916" i="1"/>
  <c r="V2940" i="1"/>
  <c r="V2941" i="1"/>
  <c r="V2942" i="1"/>
  <c r="V2943" i="1"/>
  <c r="V3095" i="1"/>
  <c r="V3096" i="1"/>
  <c r="V3099" i="1"/>
  <c r="V3100" i="1"/>
  <c r="V3101" i="1"/>
  <c r="V3102" i="1"/>
  <c r="V3097" i="1"/>
  <c r="V3098" i="1"/>
  <c r="V2917" i="1"/>
  <c r="V2918" i="1"/>
  <c r="V2919" i="1"/>
  <c r="V3034" i="1"/>
  <c r="V3035" i="1"/>
  <c r="V3036" i="1"/>
  <c r="V3094" i="1"/>
  <c r="V3184" i="1"/>
  <c r="V3204" i="1"/>
  <c r="V3205" i="1"/>
  <c r="V3225" i="1"/>
  <c r="V3235" i="1"/>
  <c r="W3235" i="1"/>
  <c r="V3245" i="1"/>
  <c r="W3245" i="1"/>
  <c r="V3248" i="1"/>
  <c r="V3250" i="1"/>
  <c r="V3251" i="1"/>
  <c r="V3252" i="1"/>
  <c r="V3253" i="1"/>
  <c r="V3255" i="1"/>
  <c r="V3256" i="1"/>
  <c r="W3284" i="1"/>
  <c r="V3269" i="1"/>
  <c r="W3269" i="1"/>
  <c r="V3270" i="1"/>
  <c r="W3270" i="1"/>
  <c r="V3288" i="1"/>
  <c r="W3288" i="1"/>
  <c r="V3289" i="1"/>
  <c r="W3289" i="1"/>
  <c r="V3323" i="1"/>
  <c r="W3323" i="1"/>
  <c r="V3324" i="1"/>
  <c r="W3324" i="1"/>
  <c r="V3325" i="1"/>
  <c r="W3325" i="1"/>
  <c r="W3326" i="1"/>
  <c r="V3327" i="1"/>
  <c r="W3327" i="1"/>
  <c r="V3329" i="1"/>
  <c r="W3329" i="1"/>
  <c r="V3290" i="1"/>
  <c r="W3290" i="1"/>
  <c r="V3337" i="1"/>
  <c r="W3337" i="1"/>
  <c r="V3338" i="1"/>
  <c r="W3338" i="1"/>
  <c r="V3339" i="1"/>
  <c r="W3339" i="1"/>
  <c r="V3340" i="1"/>
  <c r="W3340" i="1"/>
  <c r="V3341" i="1"/>
  <c r="W3341" i="1"/>
  <c r="V3342" i="1"/>
  <c r="W3342" i="1"/>
  <c r="V3343" i="1"/>
  <c r="W3343" i="1"/>
  <c r="V3345" i="1"/>
  <c r="W3345" i="1"/>
  <c r="V3346" i="1"/>
  <c r="W3346" i="1"/>
  <c r="V3347" i="1"/>
  <c r="W3347" i="1"/>
  <c r="V3348" i="1"/>
  <c r="W3348" i="1"/>
  <c r="V3363" i="1"/>
  <c r="W3363" i="1"/>
  <c r="W3378" i="1"/>
  <c r="W3379" i="1"/>
  <c r="W3380" i="1"/>
  <c r="W3381" i="1"/>
  <c r="W3382" i="1"/>
  <c r="W3383" i="1"/>
  <c r="V3384" i="1"/>
  <c r="W3384" i="1"/>
  <c r="V3397" i="1"/>
  <c r="W3397" i="1"/>
  <c r="V3398" i="1"/>
  <c r="W3398" i="1"/>
  <c r="V3399" i="1"/>
  <c r="W3399" i="1"/>
  <c r="V3414" i="1"/>
  <c r="W3414" i="1"/>
  <c r="V3430" i="1"/>
</calcChain>
</file>

<file path=xl/sharedStrings.xml><?xml version="1.0" encoding="utf-8"?>
<sst xmlns="http://schemas.openxmlformats.org/spreadsheetml/2006/main" count="30323" uniqueCount="10352">
  <si>
    <t>Illustration</t>
    <rPh sb="0" eb="12">
      <t>イラスト</t>
    </rPh>
    <phoneticPr fontId="1"/>
  </si>
  <si>
    <t>Foucault,Michel</t>
    <rPh sb="0" eb="8">
      <t>フーコー</t>
    </rPh>
    <rPh sb="9" eb="15">
      <t>ミシェル</t>
    </rPh>
    <phoneticPr fontId="1"/>
  </si>
  <si>
    <t>Diamond,Jared</t>
    <rPh sb="0" eb="7">
      <t>ダイアモンド</t>
    </rPh>
    <rPh sb="8" eb="13">
      <t>ジャレド</t>
    </rPh>
    <phoneticPr fontId="1"/>
  </si>
  <si>
    <t>Verlaine,Paul</t>
    <rPh sb="0" eb="8">
      <t>ヴェルレーヌ</t>
    </rPh>
    <rPh sb="9" eb="13">
      <t>ポール</t>
    </rPh>
    <phoneticPr fontId="1"/>
  </si>
  <si>
    <t>Hesse,Hermann</t>
    <rPh sb="0" eb="5">
      <t>ヘッセ</t>
    </rPh>
    <rPh sb="6" eb="13">
      <t>ヘルマン</t>
    </rPh>
    <phoneticPr fontId="1"/>
  </si>
  <si>
    <t>Poe,Edgar Allan</t>
    <rPh sb="0" eb="3">
      <t>ポー</t>
    </rPh>
    <rPh sb="4" eb="9">
      <t>エドガー</t>
    </rPh>
    <rPh sb="10" eb="15">
      <t>アラン</t>
    </rPh>
    <phoneticPr fontId="1"/>
  </si>
  <si>
    <t>Baudelaire,Charles</t>
    <rPh sb="0" eb="10">
      <t>ボードレール</t>
    </rPh>
    <phoneticPr fontId="1"/>
  </si>
  <si>
    <t>Rimbaud,Arthur</t>
    <rPh sb="0" eb="7">
      <t>ランボー</t>
    </rPh>
    <rPh sb="8" eb="14">
      <t>アルチュール</t>
    </rPh>
    <phoneticPr fontId="1"/>
  </si>
  <si>
    <t>Gorey,Edward</t>
    <rPh sb="0" eb="5">
      <t>ゴーリー</t>
    </rPh>
    <rPh sb="6" eb="12">
      <t>エドワード</t>
    </rPh>
    <phoneticPr fontId="1"/>
  </si>
  <si>
    <t>Soft Bank</t>
    <rPh sb="0" eb="4">
      <t>ソフト</t>
    </rPh>
    <rPh sb="5" eb="9">
      <t>バンク</t>
    </rPh>
    <phoneticPr fontId="1"/>
  </si>
  <si>
    <t>Drabble,Margaret</t>
    <rPh sb="0" eb="7">
      <t>ドラブル</t>
    </rPh>
    <rPh sb="8" eb="16">
      <t>マーガレット</t>
    </rPh>
    <phoneticPr fontId="1"/>
  </si>
  <si>
    <t>Lumley,Brian</t>
    <rPh sb="0" eb="6">
      <t>ラムリイ</t>
    </rPh>
    <rPh sb="7" eb="12">
      <t>ブライアン</t>
    </rPh>
    <phoneticPr fontId="1"/>
  </si>
  <si>
    <t>Gaiman,Neil</t>
    <rPh sb="0" eb="6">
      <t>ゲイマン</t>
    </rPh>
    <rPh sb="7" eb="11">
      <t>ニール</t>
    </rPh>
    <phoneticPr fontId="1"/>
  </si>
  <si>
    <t>Leopold,Svend</t>
    <rPh sb="0" eb="7">
      <t>レオポルト</t>
    </rPh>
    <rPh sb="8" eb="13">
      <t>スヴェント</t>
    </rPh>
    <phoneticPr fontId="1"/>
  </si>
  <si>
    <t>Post,Laurens van der</t>
    <rPh sb="0" eb="4">
      <t>ポスト</t>
    </rPh>
    <rPh sb="13" eb="16">
      <t>ヴァン</t>
    </rPh>
    <rPh sb="17" eb="20">
      <t>デル</t>
    </rPh>
    <phoneticPr fontId="1"/>
  </si>
  <si>
    <t>Masoch,Leopold von Sacher-</t>
    <rPh sb="0" eb="6">
      <t>マゾッホ</t>
    </rPh>
    <rPh sb="7" eb="14">
      <t>レオポルト</t>
    </rPh>
    <rPh sb="15" eb="18">
      <t>フォン</t>
    </rPh>
    <rPh sb="19" eb="25">
      <t>ザッヘル</t>
    </rPh>
    <phoneticPr fontId="1"/>
  </si>
  <si>
    <t>Calvino,Italo</t>
    <rPh sb="0" eb="7">
      <t>カルヴィーノ</t>
    </rPh>
    <rPh sb="8" eb="13">
      <t>イタロ</t>
    </rPh>
    <phoneticPr fontId="1"/>
  </si>
  <si>
    <t>Beksinski</t>
    <rPh sb="0" eb="9">
      <t>ベクシンスキー</t>
    </rPh>
    <phoneticPr fontId="1"/>
  </si>
  <si>
    <t>Carroll,Jonathan</t>
    <rPh sb="0" eb="7">
      <t>キャロル</t>
    </rPh>
    <rPh sb="8" eb="16">
      <t>ジョナサン</t>
    </rPh>
    <phoneticPr fontId="1"/>
  </si>
  <si>
    <t>Carroll,Lewis</t>
    <rPh sb="0" eb="7">
      <t>キャロル</t>
    </rPh>
    <rPh sb="8" eb="13">
      <t>ルーイス</t>
    </rPh>
    <phoneticPr fontId="1"/>
  </si>
  <si>
    <t>Vian,Boris</t>
    <rPh sb="0" eb="4">
      <t>ヴィアン</t>
    </rPh>
    <rPh sb="5" eb="10">
      <t>ボリス</t>
    </rPh>
    <phoneticPr fontId="1"/>
  </si>
  <si>
    <t>Smith,Guy N</t>
    <rPh sb="0" eb="5">
      <t>スミス</t>
    </rPh>
    <rPh sb="6" eb="9">
      <t>ガイ</t>
    </rPh>
    <phoneticPr fontId="1"/>
  </si>
  <si>
    <t>Niven,Larry &amp; Pournelle,Jerry</t>
    <rPh sb="0" eb="5">
      <t>ニーヴン</t>
    </rPh>
    <rPh sb="6" eb="11">
      <t>ラリー</t>
    </rPh>
    <rPh sb="14" eb="23">
      <t>パーネル</t>
    </rPh>
    <rPh sb="24" eb="29">
      <t>ジェリー</t>
    </rPh>
    <phoneticPr fontId="1"/>
  </si>
  <si>
    <t>Burgess,Anthony</t>
    <rPh sb="0" eb="7">
      <t>バージェス</t>
    </rPh>
    <rPh sb="8" eb="15">
      <t>アントニイ</t>
    </rPh>
    <phoneticPr fontId="1"/>
  </si>
  <si>
    <t>Hardy,Thomas</t>
    <rPh sb="0" eb="5">
      <t>ハーディ</t>
    </rPh>
    <rPh sb="6" eb="12">
      <t>トーマス</t>
    </rPh>
    <phoneticPr fontId="1"/>
  </si>
  <si>
    <t>book</t>
    <phoneticPr fontId="1"/>
  </si>
  <si>
    <t>sold to Book Off in 2003/05</t>
    <phoneticPr fontId="1"/>
  </si>
  <si>
    <t>Newman,Kim</t>
    <rPh sb="0" eb="6">
      <t>ニューマン</t>
    </rPh>
    <rPh sb="7" eb="10">
      <t>キム</t>
    </rPh>
    <phoneticPr fontId="1"/>
  </si>
  <si>
    <t>Ashworth, Georgina</t>
    <rPh sb="0" eb="8">
      <t>アシュワース</t>
    </rPh>
    <rPh sb="10" eb="18">
      <t>ジョージナ</t>
    </rPh>
    <phoneticPr fontId="1"/>
  </si>
  <si>
    <t>Janssen,Horst</t>
    <rPh sb="0" eb="7">
      <t>ヤンセン</t>
    </rPh>
    <rPh sb="8" eb="13">
      <t>ホルスト</t>
    </rPh>
    <phoneticPr fontId="1"/>
  </si>
  <si>
    <t>Duchamp,Marcel/Man Ray</t>
    <rPh sb="0" eb="7">
      <t>デュシャン</t>
    </rPh>
    <rPh sb="8" eb="14">
      <t>マルセル</t>
    </rPh>
    <rPh sb="15" eb="22">
      <t>マン　レイ</t>
    </rPh>
    <phoneticPr fontId="1"/>
  </si>
  <si>
    <t>France</t>
    <rPh sb="0" eb="6">
      <t>フランス</t>
    </rPh>
    <phoneticPr fontId="1"/>
  </si>
  <si>
    <t>foreign/Arabia</t>
    <rPh sb="8" eb="14">
      <t>アラビア</t>
    </rPh>
    <phoneticPr fontId="1"/>
  </si>
  <si>
    <t>Riding the Bullet</t>
    <rPh sb="0" eb="6">
      <t>ライディング</t>
    </rPh>
    <rPh sb="7" eb="10">
      <t>ザ</t>
    </rPh>
    <rPh sb="11" eb="17">
      <t>ブレット</t>
    </rPh>
    <phoneticPr fontId="1"/>
  </si>
  <si>
    <t>Artist House</t>
    <rPh sb="0" eb="12">
      <t>アーティスト　ハウス</t>
    </rPh>
    <phoneticPr fontId="1"/>
  </si>
  <si>
    <t>Peters,Heinz Frederick</t>
    <rPh sb="0" eb="6">
      <t>ペータース</t>
    </rPh>
    <phoneticPr fontId="1"/>
  </si>
  <si>
    <t>Gaucho</t>
    <rPh sb="0" eb="6">
      <t>ガウチョ</t>
    </rPh>
    <phoneticPr fontId="1"/>
  </si>
  <si>
    <t>Midnight Crusin'</t>
    <rPh sb="0" eb="16">
      <t>ミッドナイト・クルージン</t>
    </rPh>
    <phoneticPr fontId="1"/>
  </si>
  <si>
    <t>Balzac,Honore de</t>
    <rPh sb="0" eb="6">
      <t>バルザック</t>
    </rPh>
    <phoneticPr fontId="1"/>
  </si>
  <si>
    <t>Harbou,Thea von</t>
    <rPh sb="0" eb="6">
      <t>ハルボウ</t>
    </rPh>
    <rPh sb="7" eb="11">
      <t>テア</t>
    </rPh>
    <rPh sb="12" eb="15">
      <t>フォン</t>
    </rPh>
    <phoneticPr fontId="1"/>
  </si>
  <si>
    <t>La Inceible Y Triste Historia de la Candida/Erendira Y de su Abuela Desalmada</t>
    <rPh sb="0" eb="77">
      <t>エレンディラ</t>
    </rPh>
    <phoneticPr fontId="1"/>
  </si>
  <si>
    <t>Atelier OCTA</t>
    <rPh sb="0" eb="7">
      <t>アトリエ</t>
    </rPh>
    <phoneticPr fontId="1"/>
  </si>
  <si>
    <t>The Water-Method Man</t>
    <rPh sb="0" eb="20">
      <t>ウォーターメソッドマン</t>
    </rPh>
    <phoneticPr fontId="1"/>
  </si>
  <si>
    <t>foreign</t>
    <phoneticPr fontId="1"/>
  </si>
  <si>
    <t>Brutus</t>
    <rPh sb="0" eb="6">
      <t>ブルータス</t>
    </rPh>
    <phoneticPr fontId="1"/>
  </si>
  <si>
    <t>Olive</t>
    <rPh sb="0" eb="5">
      <t>オリーブ</t>
    </rPh>
    <phoneticPr fontId="1"/>
  </si>
  <si>
    <t>subculture</t>
    <phoneticPr fontId="1"/>
  </si>
  <si>
    <t>82-02392</t>
    <phoneticPr fontId="1"/>
  </si>
  <si>
    <t>76-06007</t>
    <phoneticPr fontId="1"/>
  </si>
  <si>
    <t>ethnic/subculture</t>
    <phoneticPr fontId="1"/>
  </si>
  <si>
    <t>*</t>
    <phoneticPr fontId="1"/>
  </si>
  <si>
    <t>1997</t>
    <phoneticPr fontId="1"/>
  </si>
  <si>
    <t>Deco_Art</t>
    <rPh sb="0" eb="4">
      <t>デコ</t>
    </rPh>
    <rPh sb="5" eb="8">
      <t>アート</t>
    </rPh>
    <phoneticPr fontId="1"/>
  </si>
  <si>
    <t>Piano Sonata</t>
    <rPh sb="0" eb="12">
      <t>ピアノ　ソナタ</t>
    </rPh>
    <phoneticPr fontId="1"/>
  </si>
  <si>
    <t>Walters,Minette</t>
    <rPh sb="0" eb="7">
      <t>ウォルターズ</t>
    </rPh>
    <rPh sb="8" eb="15">
      <t>ミネット</t>
    </rPh>
    <phoneticPr fontId="1"/>
  </si>
  <si>
    <t>4-903267-07-5</t>
    <phoneticPr fontId="1"/>
  </si>
  <si>
    <t>C2077</t>
    <phoneticPr fontId="1"/>
  </si>
  <si>
    <t>2005/10/23</t>
    <phoneticPr fontId="1"/>
  </si>
  <si>
    <t>Flower Comics Special</t>
    <rPh sb="0" eb="6">
      <t>フラワー</t>
    </rPh>
    <rPh sb="7" eb="12">
      <t>コミック</t>
    </rPh>
    <rPh sb="12" eb="13">
      <t>ス</t>
    </rPh>
    <rPh sb="14" eb="21">
      <t>スペシャル</t>
    </rPh>
    <phoneticPr fontId="1"/>
  </si>
  <si>
    <t>New Music/Electric Organ</t>
    <rPh sb="0" eb="9">
      <t>ニュー　ミュージック</t>
    </rPh>
    <rPh sb="10" eb="24">
      <t>エレクトリック　オルガン</t>
    </rPh>
    <phoneticPr fontId="1"/>
  </si>
  <si>
    <t>Marijuana Now</t>
    <rPh sb="0" eb="9">
      <t>マリファナ</t>
    </rPh>
    <rPh sb="10" eb="13">
      <t>ナウ</t>
    </rPh>
    <phoneticPr fontId="1"/>
  </si>
  <si>
    <t>japan</t>
    <phoneticPr fontId="1"/>
  </si>
  <si>
    <t>Leo Lionni</t>
    <rPh sb="0" eb="3">
      <t>レオ</t>
    </rPh>
    <rPh sb="4" eb="10">
      <t>レオーニ</t>
    </rPh>
    <phoneticPr fontId="1"/>
  </si>
  <si>
    <t>Schliemann,Heinrich</t>
    <rPh sb="0" eb="10">
      <t>シュリーマン</t>
    </rPh>
    <rPh sb="11" eb="19">
      <t>ハインリヒ</t>
    </rPh>
    <phoneticPr fontId="1"/>
  </si>
  <si>
    <t>Burrage,Alfred McLelland</t>
    <rPh sb="0" eb="7">
      <t>バレイジ</t>
    </rPh>
    <rPh sb="8" eb="14">
      <t>アルフレッド</t>
    </rPh>
    <phoneticPr fontId="1"/>
  </si>
  <si>
    <t>series</t>
    <rPh sb="0" eb="6">
      <t>シリーズ</t>
    </rPh>
    <phoneticPr fontId="1"/>
  </si>
  <si>
    <t>Title</t>
    <rPh sb="0" eb="5">
      <t>タイトル</t>
    </rPh>
    <phoneticPr fontId="1"/>
  </si>
  <si>
    <t>Montmartre</t>
    <rPh sb="0" eb="10">
      <t>モンマルトル</t>
    </rPh>
    <phoneticPr fontId="1"/>
  </si>
  <si>
    <t>Ukulele Chord Dictionary</t>
    <rPh sb="0" eb="7">
      <t>ウクレレ</t>
    </rPh>
    <rPh sb="8" eb="13">
      <t>コード</t>
    </rPh>
    <rPh sb="14" eb="24">
      <t>ディクショナリー</t>
    </rPh>
    <phoneticPr fontId="1"/>
  </si>
  <si>
    <t>Top</t>
    <phoneticPr fontId="1"/>
  </si>
  <si>
    <t>Gordiychuk,Valentin</t>
    <rPh sb="0" eb="10">
      <t>ゴルディチューク</t>
    </rPh>
    <rPh sb="11" eb="19">
      <t>ワレンチン</t>
    </rPh>
    <phoneticPr fontId="1"/>
  </si>
  <si>
    <t>Chopin,Fre'de'ric</t>
    <rPh sb="0" eb="6">
      <t>ショパン</t>
    </rPh>
    <rPh sb="7" eb="17">
      <t>フレデリック</t>
    </rPh>
    <phoneticPr fontId="1"/>
  </si>
  <si>
    <t>Corps Style Snare Drum Dictionary</t>
    <rPh sb="6" eb="11">
      <t>スタイル</t>
    </rPh>
    <rPh sb="12" eb="17">
      <t>スネア</t>
    </rPh>
    <rPh sb="18" eb="22">
      <t>ドラム</t>
    </rPh>
    <rPh sb="23" eb="33">
      <t>ディクショナリー</t>
    </rPh>
    <phoneticPr fontId="1"/>
  </si>
  <si>
    <t>Niagara Triangle</t>
    <rPh sb="0" eb="7">
      <t>ナイアガラ</t>
    </rPh>
    <rPh sb="8" eb="16">
      <t>トライアングル</t>
    </rPh>
    <phoneticPr fontId="1"/>
  </si>
  <si>
    <t>Weill,Kurt</t>
    <rPh sb="0" eb="5">
      <t>ワイル</t>
    </rPh>
    <rPh sb="6" eb="10">
      <t>クルト</t>
    </rPh>
    <phoneticPr fontId="1"/>
  </si>
  <si>
    <t>Brecht</t>
    <rPh sb="0" eb="6">
      <t>ブレヒト</t>
    </rPh>
    <phoneticPr fontId="1"/>
  </si>
  <si>
    <t>Book Off</t>
    <rPh sb="0" eb="8">
      <t>ブック　オフ</t>
    </rPh>
    <phoneticPr fontId="1"/>
  </si>
  <si>
    <t>John Lennon</t>
    <rPh sb="0" eb="4">
      <t>ジョン</t>
    </rPh>
    <rPh sb="5" eb="11">
      <t>レノン</t>
    </rPh>
    <phoneticPr fontId="1"/>
  </si>
  <si>
    <t>The Beatles</t>
    <rPh sb="0" eb="3">
      <t>ザ</t>
    </rPh>
    <rPh sb="4" eb="11">
      <t>ビートルズ</t>
    </rPh>
    <phoneticPr fontId="1"/>
  </si>
  <si>
    <t>Morton Manus</t>
    <rPh sb="0" eb="6">
      <t>モートン</t>
    </rPh>
    <phoneticPr fontId="1"/>
  </si>
  <si>
    <t>Heathrow</t>
    <rPh sb="0" eb="8">
      <t>ヒースロー</t>
    </rPh>
    <phoneticPr fontId="1"/>
  </si>
  <si>
    <t>Larousse</t>
    <rPh sb="0" eb="8">
      <t>ラルース</t>
    </rPh>
    <phoneticPr fontId="1"/>
  </si>
  <si>
    <t>4-87893-689-4</t>
    <phoneticPr fontId="1"/>
  </si>
  <si>
    <t>C0022</t>
    <phoneticPr fontId="1"/>
  </si>
  <si>
    <t>Drenth,Jelto</t>
    <rPh sb="0" eb="6">
      <t>ドレント</t>
    </rPh>
    <rPh sb="7" eb="12">
      <t>イェルト</t>
    </rPh>
    <phoneticPr fontId="1"/>
  </si>
  <si>
    <t>Lerouge,Luc/Voguet,Jean</t>
    <rPh sb="0" eb="2">
      <t>ル</t>
    </rPh>
    <rPh sb="2" eb="7">
      <t>ルージュ</t>
    </rPh>
    <rPh sb="8" eb="11">
      <t>リュク</t>
    </rPh>
    <rPh sb="12" eb="18">
      <t>ヴォゲ</t>
    </rPh>
    <rPh sb="19" eb="23">
      <t>ジャン</t>
    </rPh>
    <phoneticPr fontId="1"/>
  </si>
  <si>
    <t>Marcus Schubert</t>
    <rPh sb="0" eb="6">
      <t>マーカス</t>
    </rPh>
    <rPh sb="7" eb="15">
      <t>シューベルト</t>
    </rPh>
    <phoneticPr fontId="1"/>
  </si>
  <si>
    <t>Man Ray Photograghs</t>
    <rPh sb="0" eb="7">
      <t>マン　レイ　</t>
    </rPh>
    <phoneticPr fontId="1"/>
  </si>
  <si>
    <t>Newton,Helmut</t>
    <rPh sb="0" eb="6">
      <t>ニュートン</t>
    </rPh>
    <rPh sb="7" eb="13">
      <t>ヘルムート</t>
    </rPh>
    <phoneticPr fontId="1"/>
  </si>
  <si>
    <t>Williams, Tennessee</t>
    <rPh sb="0" eb="8">
      <t>ウィリアムズ</t>
    </rPh>
    <rPh sb="10" eb="19">
      <t>テネシー</t>
    </rPh>
    <phoneticPr fontId="1"/>
  </si>
  <si>
    <t>King,Stephen</t>
    <rPh sb="0" eb="4">
      <t>キング</t>
    </rPh>
    <rPh sb="5" eb="12">
      <t>スティーヴン</t>
    </rPh>
    <phoneticPr fontId="1"/>
  </si>
  <si>
    <t>Klossowski,Pierre</t>
    <rPh sb="0" eb="10">
      <t>クロソウスキー</t>
    </rPh>
    <rPh sb="11" eb="17">
      <t>ピエール</t>
    </rPh>
    <phoneticPr fontId="1"/>
  </si>
  <si>
    <t>Smith,Michael Marshall</t>
    <rPh sb="0" eb="5">
      <t>スミス</t>
    </rPh>
    <rPh sb="6" eb="13">
      <t>マイカル</t>
    </rPh>
    <rPh sb="14" eb="22">
      <t>マーシャル</t>
    </rPh>
    <phoneticPr fontId="1"/>
  </si>
  <si>
    <t>Kraus,/Friedrich S.</t>
    <rPh sb="0" eb="5">
      <t>クラウス</t>
    </rPh>
    <rPh sb="7" eb="16">
      <t>フリードリヒ</t>
    </rPh>
    <rPh sb="17" eb="19">
      <t>サロモ</t>
    </rPh>
    <phoneticPr fontId="1"/>
  </si>
  <si>
    <t>Hooper,Anne</t>
    <rPh sb="0" eb="6">
      <t>フーパー</t>
    </rPh>
    <rPh sb="7" eb="11">
      <t>アン</t>
    </rPh>
    <phoneticPr fontId="1"/>
  </si>
  <si>
    <t>Lilanga</t>
    <rPh sb="0" eb="7">
      <t>リランガ</t>
    </rPh>
    <phoneticPr fontId="1"/>
  </si>
  <si>
    <t>Rawson,Philip</t>
    <rPh sb="0" eb="6">
      <t>ローソン</t>
    </rPh>
    <rPh sb="7" eb="13">
      <t>フィリップ</t>
    </rPh>
    <phoneticPr fontId="1"/>
  </si>
  <si>
    <t>Pre'vert,Jacques</t>
    <rPh sb="0" eb="8">
      <t>プレヴェール</t>
    </rPh>
    <rPh sb="9" eb="16">
      <t>ジャック</t>
    </rPh>
    <phoneticPr fontId="1"/>
  </si>
  <si>
    <t>Tchaiikovsky</t>
    <rPh sb="0" eb="12">
      <t>チャイコフスキー</t>
    </rPh>
    <phoneticPr fontId="1"/>
  </si>
  <si>
    <t>Magritte,Rene'/Ensor,James Sidney</t>
    <rPh sb="0" eb="8">
      <t>マグリット</t>
    </rPh>
    <rPh sb="9" eb="14">
      <t>ルネ</t>
    </rPh>
    <rPh sb="15" eb="20">
      <t>アンソール</t>
    </rPh>
    <rPh sb="21" eb="33">
      <t>ジェイムズ　シドニー</t>
    </rPh>
    <phoneticPr fontId="1"/>
  </si>
  <si>
    <t>foreign/Belgie</t>
    <rPh sb="8" eb="14">
      <t>ベルギー</t>
    </rPh>
    <phoneticPr fontId="1"/>
  </si>
  <si>
    <t>ur</t>
    <rPh sb="0" eb="2">
      <t>ウル</t>
    </rPh>
    <phoneticPr fontId="1"/>
  </si>
  <si>
    <t>Heine,Heinrich</t>
    <rPh sb="0" eb="5">
      <t>ハイネ</t>
    </rPh>
    <rPh sb="6" eb="14">
      <t>ハインリヒ</t>
    </rPh>
    <phoneticPr fontId="1"/>
  </si>
  <si>
    <t>Byron,George Gordon</t>
    <rPh sb="0" eb="5">
      <t>バイロン</t>
    </rPh>
    <phoneticPr fontId="1"/>
  </si>
  <si>
    <t>Lytton,Bulwer</t>
    <rPh sb="0" eb="6">
      <t>リットン</t>
    </rPh>
    <rPh sb="7" eb="13">
      <t>ブルワー</t>
    </rPh>
    <phoneticPr fontId="1"/>
  </si>
  <si>
    <t>James,M.R.</t>
    <rPh sb="0" eb="5">
      <t>ジェイムズ</t>
    </rPh>
    <phoneticPr fontId="1"/>
  </si>
  <si>
    <t>Machen,Arthur</t>
    <rPh sb="0" eb="6">
      <t>マッケン</t>
    </rPh>
    <rPh sb="7" eb="13">
      <t>アーサー</t>
    </rPh>
    <phoneticPr fontId="1"/>
  </si>
  <si>
    <t>Benson,E.F.</t>
    <rPh sb="0" eb="6">
      <t>ベンスン</t>
    </rPh>
    <phoneticPr fontId="1"/>
  </si>
  <si>
    <t>Blackwood,Algernon</t>
    <rPh sb="0" eb="9">
      <t>ブラックウッド</t>
    </rPh>
    <rPh sb="10" eb="18">
      <t>アルジャーノン</t>
    </rPh>
    <phoneticPr fontId="1"/>
  </si>
  <si>
    <t>TV Director</t>
    <rPh sb="3" eb="11">
      <t>ディレクター</t>
    </rPh>
    <phoneticPr fontId="1"/>
  </si>
  <si>
    <t>Mindell,Earl</t>
    <rPh sb="0" eb="7">
      <t>ミンデル</t>
    </rPh>
    <rPh sb="8" eb="12">
      <t>アール</t>
    </rPh>
    <phoneticPr fontId="1"/>
  </si>
  <si>
    <t>Columbia Pictures</t>
    <rPh sb="0" eb="8">
      <t>コロムビア</t>
    </rPh>
    <phoneticPr fontId="1"/>
  </si>
  <si>
    <t>psychology</t>
    <phoneticPr fontId="1"/>
  </si>
  <si>
    <t>Borges,Jorge Luis</t>
    <rPh sb="0" eb="6">
      <t>ボルヘス</t>
    </rPh>
    <rPh sb="7" eb="12">
      <t>ホルヘ</t>
    </rPh>
    <rPh sb="13" eb="17">
      <t>ルイス</t>
    </rPh>
    <phoneticPr fontId="1"/>
  </si>
  <si>
    <t>Keyes,Daniel</t>
    <rPh sb="0" eb="5">
      <t>キイス</t>
    </rPh>
    <rPh sb="6" eb="12">
      <t>ダニエル</t>
    </rPh>
    <phoneticPr fontId="1"/>
  </si>
  <si>
    <t>model</t>
    <phoneticPr fontId="1"/>
  </si>
  <si>
    <r>
      <t>Genet,Jean</t>
    </r>
    <r>
      <rPr>
        <sz val="11"/>
        <rFont val="ＭＳ Ｐゴシック"/>
        <family val="3"/>
        <charset val="128"/>
      </rPr>
      <t/>
    </r>
    <rPh sb="0" eb="5">
      <t>ジュネ</t>
    </rPh>
    <rPh sb="6" eb="10">
      <t>ジャン</t>
    </rPh>
    <phoneticPr fontId="1"/>
  </si>
  <si>
    <t>Co^te-d'Or en Bourgogne/le gou^t de la vie</t>
    <rPh sb="14" eb="23">
      <t>ブルゴーニュ</t>
    </rPh>
    <phoneticPr fontId="1"/>
  </si>
  <si>
    <t>Korner,Wolfram</t>
    <rPh sb="0" eb="6">
      <t>ケルナー</t>
    </rPh>
    <rPh sb="7" eb="14">
      <t>ヴォルフラム</t>
    </rPh>
    <phoneticPr fontId="1"/>
  </si>
  <si>
    <t>Bauhaus</t>
    <rPh sb="0" eb="7">
      <t>バウハウス</t>
    </rPh>
    <phoneticPr fontId="1"/>
  </si>
  <si>
    <t>Steely Dan</t>
    <rPh sb="0" eb="10">
      <t>スティーリー ダン</t>
    </rPh>
    <phoneticPr fontId="1"/>
  </si>
  <si>
    <t>Espace Montmartre</t>
    <rPh sb="0" eb="6">
      <t>エスパス</t>
    </rPh>
    <rPh sb="7" eb="17">
      <t>モンマルトル</t>
    </rPh>
    <phoneticPr fontId="1"/>
  </si>
  <si>
    <t>Burroughs,William S.</t>
    <rPh sb="0" eb="9">
      <t>バロウズ</t>
    </rPh>
    <rPh sb="10" eb="17">
      <t>ウィリアム</t>
    </rPh>
    <phoneticPr fontId="1"/>
  </si>
  <si>
    <t>Keith Haring</t>
    <rPh sb="0" eb="12">
      <t>キース　ヘリング</t>
    </rPh>
    <phoneticPr fontId="1"/>
  </si>
  <si>
    <t>Klee,Paul</t>
    <rPh sb="0" eb="4">
      <t>クレー</t>
    </rPh>
    <rPh sb="5" eb="9">
      <t>パウル</t>
    </rPh>
    <phoneticPr fontId="1"/>
  </si>
  <si>
    <t>Chirico,Giorgio de</t>
    <rPh sb="0" eb="7">
      <t>キリコ</t>
    </rPh>
    <rPh sb="8" eb="15">
      <t>ジョルジョ</t>
    </rPh>
    <rPh sb="16" eb="18">
      <t>デ</t>
    </rPh>
    <phoneticPr fontId="1"/>
  </si>
  <si>
    <t>Carrie</t>
    <rPh sb="0" eb="6">
      <t>キャリー</t>
    </rPh>
    <phoneticPr fontId="1"/>
  </si>
  <si>
    <t>Dostoevski</t>
    <rPh sb="0" eb="10">
      <t>ドストエフスキー</t>
    </rPh>
    <phoneticPr fontId="1"/>
  </si>
  <si>
    <t>Tolstoy</t>
    <rPh sb="0" eb="7">
      <t>トルストイ</t>
    </rPh>
    <phoneticPr fontId="1"/>
  </si>
  <si>
    <t>Nabokov,Vladimir</t>
    <rPh sb="0" eb="7">
      <t>ナボコフ</t>
    </rPh>
    <rPh sb="8" eb="16">
      <t>ウラジーミル</t>
    </rPh>
    <phoneticPr fontId="1"/>
  </si>
  <si>
    <t>ethnic</t>
    <phoneticPr fontId="1"/>
  </si>
  <si>
    <t>CD Book</t>
    <phoneticPr fontId="1"/>
  </si>
  <si>
    <t>Manon Lescaut/L'Histoire du Chevalier Des Grieux et de Manon Lescaut</t>
    <rPh sb="0" eb="5">
      <t>マノン</t>
    </rPh>
    <rPh sb="6" eb="13">
      <t>レスコー</t>
    </rPh>
    <rPh sb="55" eb="60">
      <t>マノン</t>
    </rPh>
    <rPh sb="61" eb="68">
      <t>レスコー</t>
    </rPh>
    <phoneticPr fontId="1"/>
  </si>
  <si>
    <t>Man Ray</t>
    <rPh sb="0" eb="7">
      <t>マン レイ</t>
    </rPh>
    <phoneticPr fontId="1"/>
  </si>
  <si>
    <t>High-Rise</t>
    <rPh sb="0" eb="9">
      <t>ハイ-ライズ</t>
    </rPh>
    <phoneticPr fontId="1"/>
  </si>
  <si>
    <t>The Killing Fields</t>
    <rPh sb="0" eb="18">
      <t>キリング・フィールド</t>
    </rPh>
    <phoneticPr fontId="1"/>
  </si>
  <si>
    <t>Bach,Johann Sebastian</t>
    <rPh sb="0" eb="4">
      <t>バッハ</t>
    </rPh>
    <rPh sb="5" eb="21">
      <t>ヨハン　セバスチャン</t>
    </rPh>
    <phoneticPr fontId="1"/>
  </si>
  <si>
    <t>1981</t>
    <phoneticPr fontId="1"/>
  </si>
  <si>
    <t>Delacorta</t>
    <rPh sb="0" eb="9">
      <t>デラコルタ</t>
    </rPh>
    <phoneticPr fontId="1"/>
  </si>
  <si>
    <t>Drum-Set Club Date Dictionary</t>
    <rPh sb="0" eb="8">
      <t>ドラム－セット</t>
    </rPh>
    <rPh sb="9" eb="13">
      <t>クラブ</t>
    </rPh>
    <rPh sb="14" eb="18">
      <t>デイト</t>
    </rPh>
    <rPh sb="19" eb="29">
      <t>ディクショナリー</t>
    </rPh>
    <phoneticPr fontId="1"/>
  </si>
  <si>
    <t>Fiddle Case Tunebook: British Isles</t>
    <rPh sb="0" eb="6">
      <t>フィドル</t>
    </rPh>
    <rPh sb="7" eb="11">
      <t>ケース</t>
    </rPh>
    <rPh sb="12" eb="16">
      <t>チューン</t>
    </rPh>
    <rPh sb="16" eb="20">
      <t>ブック</t>
    </rPh>
    <rPh sb="22" eb="29">
      <t>ブリティッシュ</t>
    </rPh>
    <phoneticPr fontId="1"/>
  </si>
  <si>
    <t>4-7503-0772-6</t>
    <phoneticPr fontId="1"/>
  </si>
  <si>
    <t>C0021</t>
    <phoneticPr fontId="1"/>
  </si>
  <si>
    <t>1990/1996</t>
    <phoneticPr fontId="1"/>
  </si>
  <si>
    <t>The West Wing</t>
    <rPh sb="4" eb="13">
      <t>ウエスト ・ウイング</t>
    </rPh>
    <phoneticPr fontId="1"/>
  </si>
  <si>
    <t>YOKOHAMA 2001/Handy Guide/International Triennale of Contemporary Art/Mega-Wave/Towards a New Synthesis</t>
    <rPh sb="0" eb="8">
      <t>ヨコハマ</t>
    </rPh>
    <rPh sb="14" eb="25">
      <t>ハンディ　ガイド</t>
    </rPh>
    <rPh sb="26" eb="39">
      <t>インターナショナル</t>
    </rPh>
    <rPh sb="40" eb="49">
      <t>トリエンナーレ</t>
    </rPh>
    <rPh sb="50" eb="52">
      <t>オブ</t>
    </rPh>
    <rPh sb="53" eb="65">
      <t>コンテンポラリー</t>
    </rPh>
    <rPh sb="66" eb="69">
      <t>アート</t>
    </rPh>
    <rPh sb="70" eb="74">
      <t>メガ</t>
    </rPh>
    <rPh sb="75" eb="79">
      <t>ウェイヴ</t>
    </rPh>
    <phoneticPr fontId="1"/>
  </si>
  <si>
    <t>Hudson,Christopher</t>
    <rPh sb="0" eb="6">
      <t>ハドソン</t>
    </rPh>
    <rPh sb="7" eb="18">
      <t>クリストファー</t>
    </rPh>
    <phoneticPr fontId="1"/>
  </si>
  <si>
    <t>Lilith</t>
    <rPh sb="0" eb="6">
      <t>リリス</t>
    </rPh>
    <phoneticPr fontId="1"/>
  </si>
  <si>
    <t>Burton,Richard Francis</t>
    <rPh sb="0" eb="6">
      <t>バートン</t>
    </rPh>
    <rPh sb="7" eb="14">
      <t>リチャード</t>
    </rPh>
    <phoneticPr fontId="1"/>
  </si>
  <si>
    <t>d'Aurevilly,J.Barbey</t>
    <rPh sb="0" eb="11">
      <t>ドルヴィリ</t>
    </rPh>
    <rPh sb="14" eb="20">
      <t>バルベー</t>
    </rPh>
    <phoneticPr fontId="1"/>
  </si>
  <si>
    <t>Karr,Alphonse</t>
    <rPh sb="0" eb="4">
      <t>カル</t>
    </rPh>
    <rPh sb="5" eb="13">
      <t>アルフォンス</t>
    </rPh>
    <phoneticPr fontId="1"/>
  </si>
  <si>
    <t>Hello,Ernest</t>
    <rPh sb="0" eb="5">
      <t>エロ</t>
    </rPh>
    <rPh sb="6" eb="12">
      <t>エルネスト</t>
    </rPh>
    <phoneticPr fontId="1"/>
  </si>
  <si>
    <t>Cros,Charles</t>
    <rPh sb="0" eb="4">
      <t>クロス</t>
    </rPh>
    <rPh sb="5" eb="12">
      <t>シャルル</t>
    </rPh>
    <phoneticPr fontId="1"/>
  </si>
  <si>
    <t>Bellmer,Hans</t>
    <rPh sb="0" eb="7">
      <t>ベルメール</t>
    </rPh>
    <rPh sb="8" eb="12">
      <t>ハンス</t>
    </rPh>
    <phoneticPr fontId="1"/>
  </si>
  <si>
    <t>1998</t>
    <phoneticPr fontId="1"/>
  </si>
  <si>
    <t>John Cage 1912-1992</t>
    <rPh sb="0" eb="9">
      <t>ジョン　ケージ</t>
    </rPh>
    <phoneticPr fontId="1"/>
  </si>
  <si>
    <t>John Cage</t>
    <rPh sb="0" eb="9">
      <t>ジョン　ケージ</t>
    </rPh>
    <phoneticPr fontId="1"/>
  </si>
  <si>
    <t>The Hotel New Hampshire</t>
    <rPh sb="0" eb="23">
      <t>ホテル・ニューハンプシャー</t>
    </rPh>
    <phoneticPr fontId="1"/>
  </si>
  <si>
    <t>Chanson Album</t>
    <rPh sb="0" eb="13">
      <t>シャンソン　アルバム</t>
    </rPh>
    <phoneticPr fontId="1"/>
  </si>
  <si>
    <t>Kandinsky,Wassily &amp; Munter,Gabriele</t>
    <rPh sb="0" eb="9">
      <t>カンディンスキー</t>
    </rPh>
    <rPh sb="10" eb="17">
      <t>ヴァシリー</t>
    </rPh>
    <rPh sb="20" eb="26">
      <t>ミュンター</t>
    </rPh>
    <rPh sb="27" eb="35">
      <t>ガブリエーレ</t>
    </rPh>
    <phoneticPr fontId="1"/>
  </si>
  <si>
    <t>Jane &amp; Michael Stern</t>
    <rPh sb="0" eb="4">
      <t>ジェーン</t>
    </rPh>
    <rPh sb="7" eb="14">
      <t>マイケル</t>
    </rPh>
    <rPh sb="15" eb="20">
      <t>スターン</t>
    </rPh>
    <phoneticPr fontId="1"/>
  </si>
  <si>
    <t>2002/06,07</t>
  </si>
  <si>
    <t>Picture Puzzle</t>
    <rPh sb="0" eb="7">
      <t>ピクチュア</t>
    </rPh>
    <rPh sb="8" eb="14">
      <t>パズル</t>
    </rPh>
    <phoneticPr fontId="1"/>
  </si>
  <si>
    <t>Rittoh Music</t>
    <rPh sb="0" eb="12">
      <t>リットー　ミュージック</t>
    </rPh>
    <phoneticPr fontId="1"/>
  </si>
  <si>
    <t>Chagall,Marc</t>
    <rPh sb="0" eb="7">
      <t>シャガール</t>
    </rPh>
    <rPh sb="8" eb="12">
      <t>マルク</t>
    </rPh>
    <phoneticPr fontId="1"/>
  </si>
  <si>
    <t>Barthes,Roland</t>
    <rPh sb="0" eb="7">
      <t>バルト</t>
    </rPh>
    <rPh sb="8" eb="14">
      <t>ロラン</t>
    </rPh>
    <phoneticPr fontId="1"/>
  </si>
  <si>
    <t>Money,John+Tucker,Patricia</t>
    <rPh sb="0" eb="5">
      <t>マネー</t>
    </rPh>
    <rPh sb="6" eb="10">
      <t>ジョン</t>
    </rPh>
    <rPh sb="11" eb="17">
      <t>タッカー</t>
    </rPh>
    <rPh sb="18" eb="26">
      <t>パトリシア</t>
    </rPh>
    <phoneticPr fontId="1"/>
  </si>
  <si>
    <t>Delvaux</t>
    <rPh sb="0" eb="7">
      <t>デルヴォー</t>
    </rPh>
    <phoneticPr fontId="1"/>
  </si>
  <si>
    <t>McClusky,Thorp</t>
    <rPh sb="0" eb="8">
      <t>マックラスキー</t>
    </rPh>
    <rPh sb="9" eb="14">
      <t>ソープ</t>
    </rPh>
    <phoneticPr fontId="1"/>
  </si>
  <si>
    <t>Onions,Oliver</t>
    <rPh sb="0" eb="6">
      <t>オニオンズ</t>
    </rPh>
    <rPh sb="7" eb="13">
      <t>オリヴァー</t>
    </rPh>
    <phoneticPr fontId="1"/>
  </si>
  <si>
    <t>Palomar</t>
    <rPh sb="0" eb="7">
      <t>パロマー</t>
    </rPh>
    <phoneticPr fontId="1"/>
  </si>
  <si>
    <t>Le Cosmicomiche</t>
    <rPh sb="0" eb="2">
      <t>レ</t>
    </rPh>
    <rPh sb="3" eb="15">
      <t>コスモコミケ</t>
    </rPh>
    <phoneticPr fontId="1"/>
  </si>
  <si>
    <t>SPA!Comics</t>
    <rPh sb="4" eb="9">
      <t>コミック</t>
    </rPh>
    <rPh sb="9" eb="10">
      <t>ス</t>
    </rPh>
    <phoneticPr fontId="1"/>
  </si>
  <si>
    <t>my alphabet</t>
    <rPh sb="0" eb="11">
      <t>マイ　アルファベット</t>
    </rPh>
    <phoneticPr fontId="1"/>
  </si>
  <si>
    <t>Trevor Brown</t>
    <rPh sb="0" eb="12">
      <t>トレヴァー　ブラウン</t>
    </rPh>
    <phoneticPr fontId="1"/>
  </si>
  <si>
    <t>Obsession</t>
    <rPh sb="0" eb="9">
      <t>オブセッション</t>
    </rPh>
    <phoneticPr fontId="1"/>
  </si>
  <si>
    <t>Warner Bros.</t>
    <rPh sb="0" eb="6">
      <t>ワーナー</t>
    </rPh>
    <phoneticPr fontId="1"/>
  </si>
  <si>
    <t>Grapefruit Juice</t>
    <rPh sb="0" eb="10">
      <t>グループフルーツ</t>
    </rPh>
    <rPh sb="11" eb="16">
      <t>ジュース</t>
    </rPh>
    <phoneticPr fontId="1"/>
  </si>
  <si>
    <t>Jung,Emma</t>
    <rPh sb="0" eb="4">
      <t>ユング</t>
    </rPh>
    <rPh sb="5" eb="9">
      <t>エンマ</t>
    </rPh>
    <phoneticPr fontId="1"/>
  </si>
  <si>
    <t>Charles,Daniel</t>
    <rPh sb="0" eb="7">
      <t>シャルル</t>
    </rPh>
    <rPh sb="8" eb="14">
      <t>ダニエル</t>
    </rPh>
    <phoneticPr fontId="1"/>
  </si>
  <si>
    <t>Irving,John</t>
    <rPh sb="0" eb="6">
      <t>アーヴィング</t>
    </rPh>
    <rPh sb="7" eb="11">
      <t>ジョン</t>
    </rPh>
    <phoneticPr fontId="1"/>
  </si>
  <si>
    <t>Irish,William</t>
    <rPh sb="0" eb="5">
      <t>アイリッシュ</t>
    </rPh>
    <rPh sb="6" eb="13">
      <t>ウィリアム</t>
    </rPh>
    <phoneticPr fontId="1"/>
  </si>
  <si>
    <t>Salome'</t>
    <rPh sb="0" eb="7">
      <t>サロメ</t>
    </rPh>
    <phoneticPr fontId="1"/>
  </si>
  <si>
    <t>Freud</t>
    <rPh sb="0" eb="5">
      <t>フロイト</t>
    </rPh>
    <phoneticPr fontId="1"/>
  </si>
  <si>
    <t>Le Fanu,Joseph Sheridan</t>
    <rPh sb="0" eb="7">
      <t>レ・ファニュ</t>
    </rPh>
    <rPh sb="8" eb="14">
      <t>ジョゼフ</t>
    </rPh>
    <rPh sb="15" eb="23">
      <t>シェリダン</t>
    </rPh>
    <phoneticPr fontId="1"/>
  </si>
  <si>
    <t>728*1.05</t>
  </si>
  <si>
    <t>Imago</t>
    <rPh sb="0" eb="5">
      <t>イマーゴ</t>
    </rPh>
    <phoneticPr fontId="1"/>
  </si>
  <si>
    <t>Cytowic,Richard E.</t>
    <rPh sb="0" eb="7">
      <t>シトーウィック</t>
    </rPh>
    <rPh sb="8" eb="15">
      <t>リチャード</t>
    </rPh>
    <phoneticPr fontId="1"/>
  </si>
  <si>
    <t>Group Minerva</t>
    <rPh sb="0" eb="5">
      <t>グループ</t>
    </rPh>
    <rPh sb="6" eb="13">
      <t>ミネルヴァ</t>
    </rPh>
    <phoneticPr fontId="1"/>
  </si>
  <si>
    <t>Lieber,Arnold L,M.D.</t>
    <rPh sb="0" eb="6">
      <t>リーバー</t>
    </rPh>
    <rPh sb="7" eb="13">
      <t>アーノルド</t>
    </rPh>
    <phoneticPr fontId="1"/>
  </si>
  <si>
    <t>1910/Leipzig</t>
    <rPh sb="5" eb="12">
      <t>ライプツィヒ</t>
    </rPh>
    <phoneticPr fontId="1"/>
  </si>
  <si>
    <t>Venus Club</t>
    <rPh sb="0" eb="10">
      <t>ヴィーナス　クラブ</t>
    </rPh>
    <phoneticPr fontId="1"/>
  </si>
  <si>
    <t>Lion Books</t>
    <rPh sb="0" eb="4">
      <t>ライオン</t>
    </rPh>
    <rPh sb="5" eb="10">
      <t>ブックス</t>
    </rPh>
    <phoneticPr fontId="1"/>
  </si>
  <si>
    <t>Gershwin,George</t>
    <rPh sb="0" eb="8">
      <t>ガーシュウィン</t>
    </rPh>
    <rPh sb="9" eb="15">
      <t>ジョージ</t>
    </rPh>
    <phoneticPr fontId="1"/>
  </si>
  <si>
    <t>Duras,Marguerite</t>
    <rPh sb="0" eb="5">
      <t>デュラス</t>
    </rPh>
    <rPh sb="6" eb="16">
      <t>マルグリット</t>
    </rPh>
    <phoneticPr fontId="1"/>
  </si>
  <si>
    <t>Ono Yoko</t>
    <rPh sb="0" eb="3">
      <t>オノ</t>
    </rPh>
    <rPh sb="4" eb="8">
      <t>ヨーコ</t>
    </rPh>
    <phoneticPr fontId="1"/>
  </si>
  <si>
    <t>Ross,Anna</t>
    <rPh sb="0" eb="4">
      <t>ロス</t>
    </rPh>
    <rPh sb="5" eb="9">
      <t>アンナ</t>
    </rPh>
    <phoneticPr fontId="1"/>
  </si>
  <si>
    <t>The Cider House Rules</t>
    <rPh sb="0" eb="21">
      <t>サイダーハウス・ルール</t>
    </rPh>
    <phoneticPr fontId="1"/>
  </si>
  <si>
    <t>Orlando</t>
    <rPh sb="0" eb="7">
      <t>オーランドー</t>
    </rPh>
    <phoneticPr fontId="1"/>
  </si>
  <si>
    <t>Woolf,Virginia</t>
    <rPh sb="0" eb="5">
      <t>ウルフ</t>
    </rPh>
    <rPh sb="6" eb="14">
      <t>ヴァージニア</t>
    </rPh>
    <phoneticPr fontId="1"/>
  </si>
  <si>
    <t>Holyday</t>
    <phoneticPr fontId="1"/>
  </si>
  <si>
    <t>Trotsky</t>
    <rPh sb="0" eb="7">
      <t>トロツキー</t>
    </rPh>
    <phoneticPr fontId="1"/>
  </si>
  <si>
    <t>McNeil,Elizabeth</t>
    <rPh sb="0" eb="6">
      <t>マクニール</t>
    </rPh>
    <rPh sb="7" eb="16">
      <t>エリザベス</t>
    </rPh>
    <phoneticPr fontId="1"/>
  </si>
  <si>
    <t>Sale2/No.28/Fetishism</t>
    <rPh sb="12" eb="21">
      <t>フェティシズム</t>
    </rPh>
    <phoneticPr fontId="1"/>
  </si>
  <si>
    <t>RittohMusic</t>
    <rPh sb="0" eb="6">
      <t>リットー</t>
    </rPh>
    <rPh sb="6" eb="11">
      <t>ミュージック</t>
    </rPh>
    <phoneticPr fontId="1"/>
  </si>
  <si>
    <t>1/Piano solo Collection</t>
    <rPh sb="2" eb="23">
      <t>ピアノ　ソロ　コレクション</t>
    </rPh>
    <phoneticPr fontId="1"/>
  </si>
  <si>
    <t>Piano solo Collection</t>
    <rPh sb="0" eb="21">
      <t>ピアノ　ソロ　コレクション</t>
    </rPh>
    <phoneticPr fontId="1"/>
  </si>
  <si>
    <t>Tributsch,Helmut</t>
    <rPh sb="0" eb="9">
      <t>トリブッチ</t>
    </rPh>
    <rPh sb="10" eb="16">
      <t>ヘルムート</t>
    </rPh>
    <phoneticPr fontId="1"/>
  </si>
  <si>
    <t>Baldwin,James</t>
    <rPh sb="0" eb="7">
      <t>ボールドウィン</t>
    </rPh>
    <rPh sb="8" eb="13">
      <t>ジェイムズ</t>
    </rPh>
    <phoneticPr fontId="1"/>
  </si>
  <si>
    <t>Kahlo,Frida</t>
    <rPh sb="0" eb="5">
      <t>カーロ</t>
    </rPh>
    <rPh sb="6" eb="11">
      <t>フリーダ</t>
    </rPh>
    <phoneticPr fontId="1"/>
  </si>
  <si>
    <t>Kettenmann,Andrea</t>
    <rPh sb="0" eb="10">
      <t>ケッテンマン</t>
    </rPh>
    <rPh sb="11" eb="17">
      <t>アンドレア</t>
    </rPh>
    <phoneticPr fontId="1"/>
  </si>
  <si>
    <t>4-562-03667-2</t>
    <phoneticPr fontId="1"/>
  </si>
  <si>
    <t>1995/09/30</t>
    <phoneticPr fontId="1"/>
  </si>
  <si>
    <t>1994/04/20</t>
    <phoneticPr fontId="1"/>
  </si>
  <si>
    <t>1996/01/31</t>
    <phoneticPr fontId="1"/>
  </si>
  <si>
    <t>C0098</t>
    <phoneticPr fontId="1"/>
  </si>
  <si>
    <t>4-89694-478-X</t>
    <phoneticPr fontId="1"/>
  </si>
  <si>
    <t>Male Nude Collection</t>
    <rPh sb="0" eb="20">
      <t>メール・ヌード・コレクション</t>
    </rPh>
    <phoneticPr fontId="1"/>
  </si>
  <si>
    <t>Mandiargues,Andre' Pieyre de</t>
    <rPh sb="0" eb="11">
      <t>マンデアルグ</t>
    </rPh>
    <rPh sb="19" eb="25">
      <t>ピエール</t>
    </rPh>
    <rPh sb="26" eb="28">
      <t>ド</t>
    </rPh>
    <phoneticPr fontId="1"/>
  </si>
  <si>
    <t>Puig,Manuel</t>
    <rPh sb="0" eb="4">
      <t>プイグ</t>
    </rPh>
    <rPh sb="5" eb="11">
      <t>マヌエル</t>
    </rPh>
    <phoneticPr fontId="1"/>
  </si>
  <si>
    <t>official score &amp; photo</t>
    <rPh sb="0" eb="14">
      <t>オフィシャル　スコア</t>
    </rPh>
    <rPh sb="17" eb="22">
      <t>フォト</t>
    </rPh>
    <phoneticPr fontId="1"/>
  </si>
  <si>
    <t>Monochrome Story</t>
    <rPh sb="0" eb="16">
      <t>モノクローム　ストーリー</t>
    </rPh>
    <phoneticPr fontId="1"/>
  </si>
  <si>
    <t>1986</t>
    <phoneticPr fontId="1"/>
  </si>
  <si>
    <t>Go</t>
    <phoneticPr fontId="1"/>
  </si>
  <si>
    <t>Guptill,Arthur L.</t>
    <rPh sb="0" eb="7">
      <t>グプティル</t>
    </rPh>
    <phoneticPr fontId="1"/>
  </si>
  <si>
    <t>Benson,Edward Frederic</t>
    <rPh sb="0" eb="6">
      <t>ベンスン</t>
    </rPh>
    <rPh sb="7" eb="13">
      <t>エドワード</t>
    </rPh>
    <rPh sb="14" eb="22">
      <t>フレデリック</t>
    </rPh>
    <phoneticPr fontId="1"/>
  </si>
  <si>
    <t>Hits!</t>
    <rPh sb="0" eb="5">
      <t>ヒッツ！</t>
    </rPh>
    <phoneticPr fontId="1"/>
  </si>
  <si>
    <t>Langland,William</t>
    <rPh sb="0" eb="8">
      <t>ラングランド</t>
    </rPh>
    <rPh sb="9" eb="16">
      <t>ウィリアム</t>
    </rPh>
    <phoneticPr fontId="1"/>
  </si>
  <si>
    <t>Twomey,Chris</t>
    <rPh sb="0" eb="6">
      <t>トゥーミィ</t>
    </rPh>
    <rPh sb="7" eb="12">
      <t>クリス</t>
    </rPh>
    <phoneticPr fontId="1"/>
  </si>
  <si>
    <t>Heinrich,Clark</t>
    <rPh sb="0" eb="8">
      <t>ハインリヒ</t>
    </rPh>
    <rPh sb="9" eb="14">
      <t>クラーク</t>
    </rPh>
    <phoneticPr fontId="1"/>
  </si>
  <si>
    <t>Kierkegaard</t>
    <rPh sb="0" eb="11">
      <t>キェルケゴール</t>
    </rPh>
    <phoneticPr fontId="1"/>
  </si>
  <si>
    <t>Ronner,John E.</t>
    <rPh sb="0" eb="6">
      <t>ロナー</t>
    </rPh>
    <rPh sb="7" eb="11">
      <t>ジョン</t>
    </rPh>
    <phoneticPr fontId="1"/>
  </si>
  <si>
    <t>Plancy,J.Collin de</t>
    <rPh sb="0" eb="6">
      <t>プランシー</t>
    </rPh>
    <rPh sb="9" eb="15">
      <t>コラン</t>
    </rPh>
    <rPh sb="16" eb="18">
      <t>ド</t>
    </rPh>
    <phoneticPr fontId="1"/>
  </si>
  <si>
    <t>Cavendish,Richard</t>
    <rPh sb="0" eb="9">
      <t>キャヴェンディッシュ</t>
    </rPh>
    <rPh sb="10" eb="17">
      <t>リチャード</t>
    </rPh>
    <phoneticPr fontId="1"/>
  </si>
  <si>
    <t>Michell,John+Rickard,Robert J.M.</t>
    <rPh sb="0" eb="7">
      <t>ミッチェル</t>
    </rPh>
    <rPh sb="8" eb="12">
      <t>ジョン</t>
    </rPh>
    <rPh sb="13" eb="20">
      <t>リカード</t>
    </rPh>
    <rPh sb="21" eb="27">
      <t>ロバート</t>
    </rPh>
    <phoneticPr fontId="1"/>
  </si>
  <si>
    <t>TOY</t>
    <rPh sb="0" eb="3">
      <t>トーイ</t>
    </rPh>
    <phoneticPr fontId="1"/>
  </si>
  <si>
    <t>Color Books 198</t>
    <rPh sb="0" eb="11">
      <t>カラー　ブックス</t>
    </rPh>
    <phoneticPr fontId="1"/>
  </si>
  <si>
    <t>Color Books 474</t>
    <rPh sb="0" eb="11">
      <t>カラー　ブックス</t>
    </rPh>
    <phoneticPr fontId="1"/>
  </si>
  <si>
    <t>ISBN</t>
    <phoneticPr fontId="1"/>
  </si>
  <si>
    <t>category</t>
    <phoneticPr fontId="1"/>
  </si>
  <si>
    <r>
      <t>Genet,Jean</t>
    </r>
    <r>
      <rPr>
        <sz val="11"/>
        <rFont val="ＭＳ Ｐゴシック"/>
        <family val="3"/>
        <charset val="128"/>
      </rPr>
      <t/>
    </r>
    <rPh sb="0" eb="5">
      <t>ジュネ</t>
    </rPh>
    <rPh sb="6" eb="10">
      <t>ジャン</t>
    </rPh>
    <phoneticPr fontId="1"/>
  </si>
  <si>
    <t>Genet,Jean</t>
    <rPh sb="0" eb="5">
      <t>ジュネ</t>
    </rPh>
    <rPh sb="6" eb="10">
      <t>ジャン</t>
    </rPh>
    <phoneticPr fontId="1"/>
  </si>
  <si>
    <t>Ballard,J.G.</t>
    <rPh sb="0" eb="7">
      <t>バラード</t>
    </rPh>
    <phoneticPr fontId="1"/>
  </si>
  <si>
    <t>Salinger,Jerome David</t>
    <rPh sb="0" eb="8">
      <t>サリンジャー</t>
    </rPh>
    <rPh sb="9" eb="15">
      <t>ジェローム</t>
    </rPh>
    <rPh sb="16" eb="21">
      <t>デヴィッド</t>
    </rPh>
    <phoneticPr fontId="1"/>
  </si>
  <si>
    <t>Barthelme,Donald</t>
    <rPh sb="0" eb="9">
      <t>バーセルミ</t>
    </rPh>
    <rPh sb="10" eb="16">
      <t>ドナルド</t>
    </rPh>
    <phoneticPr fontId="1"/>
  </si>
  <si>
    <t>Blanchot,Maurice</t>
    <rPh sb="0" eb="8">
      <t>ブランショ</t>
    </rPh>
    <rPh sb="9" eb="16">
      <t>モーリス</t>
    </rPh>
    <phoneticPr fontId="1"/>
  </si>
  <si>
    <t>Kafka,Franz</t>
    <rPh sb="0" eb="5">
      <t>カフカ</t>
    </rPh>
    <rPh sb="6" eb="11">
      <t>フランツ</t>
    </rPh>
    <phoneticPr fontId="1"/>
  </si>
  <si>
    <t>Heathrow express</t>
    <rPh sb="0" eb="8">
      <t>ヒースロー</t>
    </rPh>
    <rPh sb="9" eb="16">
      <t>エクスプレス</t>
    </rPh>
    <phoneticPr fontId="1"/>
  </si>
  <si>
    <t>volponi,Paolo</t>
    <rPh sb="0" eb="7">
      <t>ヴォルポーニ</t>
    </rPh>
    <rPh sb="8" eb="13">
      <t>パオロ</t>
    </rPh>
    <phoneticPr fontId="1"/>
  </si>
  <si>
    <t>Re'age,Pauline</t>
    <rPh sb="0" eb="6">
      <t>レアージュ</t>
    </rPh>
    <rPh sb="7" eb="14">
      <t>ポーリーヌ</t>
    </rPh>
    <phoneticPr fontId="1"/>
  </si>
  <si>
    <t>Fool's Mate</t>
    <rPh sb="0" eb="11">
      <t>フールズメイト</t>
    </rPh>
    <phoneticPr fontId="1"/>
  </si>
  <si>
    <t>Ind's</t>
    <rPh sb="0" eb="5">
      <t>インズ</t>
    </rPh>
    <phoneticPr fontId="1"/>
  </si>
  <si>
    <t>Celan,Paul</t>
    <rPh sb="0" eb="5">
      <t>ツェラン</t>
    </rPh>
    <rPh sb="6" eb="10">
      <t>パウル</t>
    </rPh>
    <phoneticPr fontId="1"/>
  </si>
  <si>
    <t>Elliott,Thomas Stearns</t>
    <rPh sb="0" eb="7">
      <t>エリオット</t>
    </rPh>
    <rPh sb="8" eb="14">
      <t>トーマス</t>
    </rPh>
    <phoneticPr fontId="1"/>
  </si>
  <si>
    <t>Supervielle,Jules</t>
    <rPh sb="0" eb="11">
      <t>シュペルヴィエル</t>
    </rPh>
    <rPh sb="12" eb="17">
      <t>ジュール</t>
    </rPh>
    <phoneticPr fontId="1"/>
  </si>
  <si>
    <t>Tagore</t>
    <rPh sb="0" eb="6">
      <t>タゴール</t>
    </rPh>
    <phoneticPr fontId="1"/>
  </si>
  <si>
    <t>Prevert,Jacques</t>
    <rPh sb="0" eb="7">
      <t>プレヴェール</t>
    </rPh>
    <rPh sb="8" eb="15">
      <t>ジャック</t>
    </rPh>
    <phoneticPr fontId="1"/>
  </si>
  <si>
    <t>Heine,Heinrich</t>
    <rPh sb="0" eb="5">
      <t>ハイネ</t>
    </rPh>
    <phoneticPr fontId="1"/>
  </si>
  <si>
    <t>Rilke,Rainer Maria</t>
    <rPh sb="0" eb="5">
      <t>リルケ</t>
    </rPh>
    <phoneticPr fontId="1"/>
  </si>
  <si>
    <t>Big Comics</t>
    <rPh sb="0" eb="10">
      <t>ビッグ　コミックス</t>
    </rPh>
    <phoneticPr fontId="1"/>
  </si>
  <si>
    <t>Music People / The Photographic Works by Betty Freeman</t>
    <rPh sb="0" eb="5">
      <t>ミュージック</t>
    </rPh>
    <rPh sb="6" eb="12">
      <t>ピープル</t>
    </rPh>
    <phoneticPr fontId="1"/>
  </si>
  <si>
    <t>Betty Freeman</t>
    <rPh sb="0" eb="5">
      <t>ベティ</t>
    </rPh>
    <rPh sb="6" eb="13">
      <t>フリーマン</t>
    </rPh>
    <phoneticPr fontId="1"/>
  </si>
  <si>
    <t>Franz,Marie-Louise von</t>
    <rPh sb="0" eb="5">
      <t>フランツ</t>
    </rPh>
    <rPh sb="6" eb="11">
      <t>マリー</t>
    </rPh>
    <rPh sb="12" eb="18">
      <t>ルイーズ</t>
    </rPh>
    <rPh sb="19" eb="22">
      <t>フォン</t>
    </rPh>
    <phoneticPr fontId="1"/>
  </si>
  <si>
    <t>Books Treasure vol.1</t>
    <rPh sb="0" eb="4">
      <t>ブック</t>
    </rPh>
    <rPh sb="4" eb="5">
      <t>ス</t>
    </rPh>
    <rPh sb="6" eb="14">
      <t>トレジャー</t>
    </rPh>
    <phoneticPr fontId="1"/>
  </si>
  <si>
    <t>ait.books/009</t>
    <rPh sb="0" eb="9">
      <t>オルタブックス</t>
    </rPh>
    <phoneticPr fontId="1"/>
  </si>
  <si>
    <t>ait.books/016</t>
    <rPh sb="0" eb="9">
      <t>オルタブックス</t>
    </rPh>
    <phoneticPr fontId="1"/>
  </si>
  <si>
    <t>SID nets</t>
    <rPh sb="0" eb="8">
      <t>エス･アイ･ディー･ネッツ</t>
    </rPh>
    <phoneticPr fontId="1"/>
  </si>
  <si>
    <t>Joy series</t>
    <rPh sb="0" eb="10">
      <t>ジョイ　シリーズ</t>
    </rPh>
    <phoneticPr fontId="1"/>
  </si>
  <si>
    <t>Marquez,Gabriel Garcia</t>
    <rPh sb="0" eb="7">
      <t>マルケス</t>
    </rPh>
    <rPh sb="8" eb="15">
      <t>ガブリエル</t>
    </rPh>
    <rPh sb="16" eb="22">
      <t>ガルシア＝</t>
    </rPh>
    <phoneticPr fontId="1"/>
  </si>
  <si>
    <t>Omar Khayyam/FitzGerald,Edward</t>
    <rPh sb="0" eb="12">
      <t>オウマ・カイヤム</t>
    </rPh>
    <rPh sb="13" eb="23">
      <t>フィッツジェラルド</t>
    </rPh>
    <rPh sb="24" eb="30">
      <t>エドワード</t>
    </rPh>
    <phoneticPr fontId="1"/>
  </si>
  <si>
    <t>Omar Khayyam</t>
    <rPh sb="0" eb="12">
      <t>オマル・ハイヤーム</t>
    </rPh>
    <phoneticPr fontId="1"/>
  </si>
  <si>
    <t>Rubaiyat</t>
    <rPh sb="0" eb="8">
      <t>ルバイヤート</t>
    </rPh>
    <phoneticPr fontId="1"/>
  </si>
  <si>
    <t>Zola,Emile</t>
    <rPh sb="0" eb="4">
      <t>ゾラ</t>
    </rPh>
    <rPh sb="5" eb="10">
      <t>エミール</t>
    </rPh>
    <phoneticPr fontId="1"/>
  </si>
  <si>
    <t>French Pops</t>
    <rPh sb="0" eb="11">
      <t>フレンチ　ポップス</t>
    </rPh>
    <phoneticPr fontId="1"/>
  </si>
  <si>
    <t>Sign Fytte</t>
    <rPh sb="0" eb="10">
      <t>サイン・フィッテ</t>
    </rPh>
    <phoneticPr fontId="1"/>
  </si>
  <si>
    <t>Madame Edwarda</t>
    <rPh sb="0" eb="5">
      <t>マダム</t>
    </rPh>
    <rPh sb="7" eb="14">
      <t>エドワルダ</t>
    </rPh>
    <phoneticPr fontId="1"/>
  </si>
  <si>
    <t>Bataille,George</t>
    <rPh sb="0" eb="8">
      <t>バタイユ</t>
    </rPh>
    <rPh sb="9" eb="15">
      <t>ジョルジュ</t>
    </rPh>
    <phoneticPr fontId="1"/>
  </si>
  <si>
    <t>Gooch,Stan</t>
    <rPh sb="0" eb="5">
      <t>グーチ</t>
    </rPh>
    <rPh sb="6" eb="10">
      <t>スタン</t>
    </rPh>
    <phoneticPr fontId="1"/>
  </si>
  <si>
    <t>1946:Tel Aviv, 1980</t>
    <rPh sb="5" eb="13">
      <t>テルアヴィヴ</t>
    </rPh>
    <phoneticPr fontId="1"/>
  </si>
  <si>
    <t>1989</t>
    <phoneticPr fontId="1"/>
  </si>
  <si>
    <t>eros et l'imagimaire/Treville</t>
    <rPh sb="21" eb="29">
      <t>トレヴィル</t>
    </rPh>
    <phoneticPr fontId="1"/>
  </si>
  <si>
    <t>Catalogue/Heyward Gallery</t>
    <rPh sb="0" eb="9">
      <t>カタログ</t>
    </rPh>
    <phoneticPr fontId="1"/>
  </si>
  <si>
    <t>Pamphlet</t>
    <rPh sb="0" eb="8">
      <t>パンフレット</t>
    </rPh>
    <phoneticPr fontId="1"/>
  </si>
  <si>
    <t>Sutton,David</t>
    <rPh sb="0" eb="6">
      <t>サットン</t>
    </rPh>
    <rPh sb="7" eb="12">
      <t>デイヴィッド</t>
    </rPh>
    <phoneticPr fontId="1"/>
  </si>
  <si>
    <t>Tremayne,Peter</t>
    <rPh sb="0" eb="8">
      <t>トレマイン</t>
    </rPh>
    <rPh sb="9" eb="14">
      <t>ピーター</t>
    </rPh>
    <phoneticPr fontId="1"/>
  </si>
  <si>
    <t>Garton,Ray</t>
    <rPh sb="0" eb="6">
      <t>ガートン</t>
    </rPh>
    <rPh sb="7" eb="10">
      <t>レイ</t>
    </rPh>
    <phoneticPr fontId="1"/>
  </si>
  <si>
    <t>Camus,Albert</t>
    <rPh sb="0" eb="5">
      <t>カミュ</t>
    </rPh>
    <phoneticPr fontId="1"/>
  </si>
  <si>
    <t>Gallico,Paul</t>
    <rPh sb="0" eb="7">
      <t>ギャリコ</t>
    </rPh>
    <rPh sb="8" eb="12">
      <t>ポール</t>
    </rPh>
    <phoneticPr fontId="1"/>
  </si>
  <si>
    <t>Flight Recorder</t>
    <rPh sb="0" eb="6">
      <t>フライト</t>
    </rPh>
    <rPh sb="7" eb="15">
      <t>レコーダー</t>
    </rPh>
    <phoneticPr fontId="1"/>
  </si>
  <si>
    <t>Burroughs,Edgar Rice</t>
    <rPh sb="0" eb="9">
      <t>バローズ</t>
    </rPh>
    <rPh sb="10" eb="15">
      <t>エドガー</t>
    </rPh>
    <rPh sb="16" eb="20">
      <t>ライス</t>
    </rPh>
    <phoneticPr fontId="1"/>
  </si>
  <si>
    <t>Foster,Alan Dean</t>
    <rPh sb="0" eb="6">
      <t>フォスター</t>
    </rPh>
    <rPh sb="7" eb="11">
      <t>アラン</t>
    </rPh>
    <phoneticPr fontId="1"/>
  </si>
  <si>
    <t>Deschamps,Hubert</t>
    <rPh sb="0" eb="9">
      <t>デシャン</t>
    </rPh>
    <rPh sb="10" eb="16">
      <t>ユベール</t>
    </rPh>
    <phoneticPr fontId="1"/>
  </si>
  <si>
    <t>Mandiargues,Andre' Pieyre de</t>
    <rPh sb="0" eb="11">
      <t>マンデアルグ</t>
    </rPh>
    <rPh sb="12" eb="18">
      <t>アンドレ</t>
    </rPh>
    <rPh sb="19" eb="25">
      <t>ピエール</t>
    </rPh>
    <rPh sb="26" eb="28">
      <t>ド</t>
    </rPh>
    <phoneticPr fontId="1"/>
  </si>
  <si>
    <t>1990</t>
    <phoneticPr fontId="1"/>
  </si>
  <si>
    <t>Italo Calvino</t>
    <rPh sb="0" eb="5">
      <t>イタロ</t>
    </rPh>
    <rPh sb="6" eb="13">
      <t>カルヴィーノ</t>
    </rPh>
    <phoneticPr fontId="1"/>
  </si>
  <si>
    <t>Wittgenstein</t>
    <rPh sb="0" eb="12">
      <t>ウィトゲンシュタイン</t>
    </rPh>
    <phoneticPr fontId="1"/>
  </si>
  <si>
    <t>Ernst</t>
    <rPh sb="0" eb="5">
      <t>エルンスト</t>
    </rPh>
    <phoneticPr fontId="1"/>
  </si>
  <si>
    <t>Verne,Joule</t>
    <rPh sb="0" eb="5">
      <t>ヴェルヌ</t>
    </rPh>
    <rPh sb="6" eb="11">
      <t>ジュール</t>
    </rPh>
    <phoneticPr fontId="1"/>
  </si>
  <si>
    <t>Stephenson</t>
    <rPh sb="0" eb="10">
      <t>スチーブンソン</t>
    </rPh>
    <phoneticPr fontId="1"/>
  </si>
  <si>
    <t>Return</t>
    <phoneticPr fontId="1"/>
  </si>
  <si>
    <t>Library</t>
    <phoneticPr fontId="1"/>
  </si>
  <si>
    <t>Top page</t>
    <phoneticPr fontId="1"/>
  </si>
  <si>
    <t>Ma_ho_Ma_ho_Family</t>
    <phoneticPr fontId="1"/>
  </si>
  <si>
    <t>Refer</t>
    <phoneticPr fontId="1"/>
  </si>
  <si>
    <t>Live Information</t>
    <phoneticPr fontId="1"/>
  </si>
  <si>
    <t>[ZubiZuva]</t>
    <phoneticPr fontId="1"/>
  </si>
  <si>
    <t>Laufer,Berthord</t>
    <rPh sb="0" eb="6">
      <t>ラウファー</t>
    </rPh>
    <rPh sb="7" eb="15">
      <t>ベルトルド</t>
    </rPh>
    <phoneticPr fontId="1"/>
  </si>
  <si>
    <t>Davis,Wade</t>
    <rPh sb="0" eb="5">
      <t>デイヴィス</t>
    </rPh>
    <rPh sb="6" eb="10">
      <t>ウェイド</t>
    </rPh>
    <phoneticPr fontId="1"/>
  </si>
  <si>
    <t>Japanese series vol.4</t>
    <rPh sb="0" eb="8">
      <t>ジャパニーズ</t>
    </rPh>
    <rPh sb="9" eb="15">
      <t>シリーズ</t>
    </rPh>
    <phoneticPr fontId="1"/>
  </si>
  <si>
    <t>London</t>
    <rPh sb="0" eb="6">
      <t>ロンドン</t>
    </rPh>
    <phoneticPr fontId="1"/>
  </si>
  <si>
    <t>1900*1.05</t>
  </si>
  <si>
    <t>Love Guide Book/A Dorling Kindersley Book</t>
    <rPh sb="0" eb="4">
      <t>ラブ</t>
    </rPh>
    <rPh sb="5" eb="15">
      <t>ガイド　ブック</t>
    </rPh>
    <phoneticPr fontId="1"/>
  </si>
  <si>
    <t>Lennon the solo Years</t>
    <rPh sb="0" eb="6">
      <t>レノン</t>
    </rPh>
    <rPh sb="7" eb="21">
      <t>ザ　ソロ　イヤーズ</t>
    </rPh>
    <phoneticPr fontId="1"/>
  </si>
  <si>
    <t>Label</t>
    <rPh sb="0" eb="5">
      <t>レーベル</t>
    </rPh>
    <phoneticPr fontId="1"/>
  </si>
  <si>
    <t>Malcolm X</t>
    <rPh sb="0" eb="7">
      <t>マルコム</t>
    </rPh>
    <phoneticPr fontId="1"/>
  </si>
  <si>
    <t>Juliet</t>
    <rPh sb="0" eb="6">
      <t>ジュリエット</t>
    </rPh>
    <phoneticPr fontId="1"/>
  </si>
  <si>
    <t>Celephais</t>
    <rPh sb="0" eb="9">
      <t>セレファイス</t>
    </rPh>
    <phoneticPr fontId="1"/>
  </si>
  <si>
    <t>Edwards,Amelia B.</t>
    <rPh sb="0" eb="7">
      <t>エドワーズ</t>
    </rPh>
    <rPh sb="8" eb="14">
      <t>アメリア</t>
    </rPh>
    <phoneticPr fontId="1"/>
  </si>
  <si>
    <t>Wilkins-Freeman,Mary E.</t>
    <rPh sb="0" eb="7">
      <t>ウィルキンズ</t>
    </rPh>
    <rPh sb="7" eb="8">
      <t>=</t>
    </rPh>
    <rPh sb="8" eb="12">
      <t>フリー</t>
    </rPh>
    <rPh sb="12" eb="15">
      <t>マン</t>
    </rPh>
    <rPh sb="16" eb="20">
      <t>メアリ</t>
    </rPh>
    <phoneticPr fontId="1"/>
  </si>
  <si>
    <t>Marx,Karl/Engels,Friedrich</t>
    <rPh sb="0" eb="4">
      <t>マルクス</t>
    </rPh>
    <rPh sb="5" eb="9">
      <t>カール</t>
    </rPh>
    <rPh sb="10" eb="16">
      <t>エンゲルス</t>
    </rPh>
    <rPh sb="17" eb="26">
      <t>フリードリヒ</t>
    </rPh>
    <phoneticPr fontId="1"/>
  </si>
  <si>
    <t>Wilson,Colin</t>
    <rPh sb="0" eb="6">
      <t>ウィルソン</t>
    </rPh>
    <rPh sb="7" eb="12">
      <t>コリン</t>
    </rPh>
    <phoneticPr fontId="1"/>
  </si>
  <si>
    <t>Training Paper</t>
    <rPh sb="0" eb="8">
      <t>トレーニング</t>
    </rPh>
    <rPh sb="9" eb="14">
      <t>ペーパー</t>
    </rPh>
    <phoneticPr fontId="1"/>
  </si>
  <si>
    <t>Enrico Macias</t>
    <rPh sb="0" eb="6">
      <t>エンリコ</t>
    </rPh>
    <rPh sb="7" eb="13">
      <t>マシアス</t>
    </rPh>
    <phoneticPr fontId="1"/>
  </si>
  <si>
    <t>time</t>
    <phoneticPr fontId="1"/>
  </si>
  <si>
    <t>track</t>
    <phoneticPr fontId="1"/>
  </si>
  <si>
    <t>counter</t>
    <phoneticPr fontId="1"/>
  </si>
  <si>
    <t>18.Music Today</t>
    <rPh sb="3" eb="8">
      <t>ミュージック</t>
    </rPh>
    <phoneticPr fontId="1"/>
  </si>
  <si>
    <t>Foster,Janet</t>
    <rPh sb="0" eb="6">
      <t>フォスター</t>
    </rPh>
    <rPh sb="7" eb="12">
      <t>ジャネット</t>
    </rPh>
    <phoneticPr fontId="1"/>
  </si>
  <si>
    <t>Pop-Up Animal Alphabet Book</t>
    <rPh sb="0" eb="6">
      <t>ポップ-アップ</t>
    </rPh>
    <rPh sb="7" eb="13">
      <t>アニマル</t>
    </rPh>
    <rPh sb="14" eb="22">
      <t>アルファベット</t>
    </rPh>
    <rPh sb="23" eb="27">
      <t>ブック</t>
    </rPh>
    <phoneticPr fontId="1"/>
  </si>
  <si>
    <t>Vatsyayana</t>
    <rPh sb="0" eb="10">
      <t>ヴァーツヤーヤナ</t>
    </rPh>
    <phoneticPr fontId="1"/>
  </si>
  <si>
    <t>Ehrenreich,Barbara+English,Deirdre</t>
    <rPh sb="0" eb="10">
      <t>エーレンライク</t>
    </rPh>
    <rPh sb="11" eb="18">
      <t>バーバラ</t>
    </rPh>
    <rPh sb="19" eb="26">
      <t>イングリッシュ</t>
    </rPh>
    <rPh sb="27" eb="34">
      <t>ディアドリー</t>
    </rPh>
    <phoneticPr fontId="1"/>
  </si>
  <si>
    <t>Blacker,Carmen</t>
    <rPh sb="0" eb="7">
      <t>ブラッカー</t>
    </rPh>
    <phoneticPr fontId="1"/>
  </si>
  <si>
    <t>Wilson,Colin+Seaman,Donald</t>
    <rPh sb="0" eb="6">
      <t>ウィルソン</t>
    </rPh>
    <rPh sb="7" eb="12">
      <t>コリン</t>
    </rPh>
    <rPh sb="13" eb="19">
      <t>シーマン</t>
    </rPh>
    <rPh sb="20" eb="26">
      <t>ドナルド</t>
    </rPh>
    <phoneticPr fontId="1"/>
  </si>
  <si>
    <t>Adrion,Alexander</t>
    <rPh sb="0" eb="6">
      <t>アドリオン</t>
    </rPh>
    <rPh sb="7" eb="16">
      <t>アレクサンダー</t>
    </rPh>
    <phoneticPr fontId="1"/>
  </si>
  <si>
    <t>Jazz Piano Collection</t>
    <rPh sb="0" eb="21">
      <t>ジャズ　ピアノ　コレクション</t>
    </rPh>
    <phoneticPr fontId="1"/>
  </si>
  <si>
    <t>Bradbury,Ray</t>
    <rPh sb="0" eb="8">
      <t>ブラッドベリ</t>
    </rPh>
    <rPh sb="9" eb="12">
      <t>レイ</t>
    </rPh>
    <phoneticPr fontId="1"/>
  </si>
  <si>
    <t>Lieberman,Herbert</t>
    <rPh sb="0" eb="9">
      <t>リーバーマン</t>
    </rPh>
    <rPh sb="10" eb="17">
      <t>ハーバード</t>
    </rPh>
    <phoneticPr fontId="1"/>
  </si>
  <si>
    <t>Leibe,Fritz</t>
    <rPh sb="0" eb="5">
      <t>ライバー</t>
    </rPh>
    <rPh sb="6" eb="11">
      <t>フリッツ</t>
    </rPh>
    <phoneticPr fontId="1"/>
  </si>
  <si>
    <t>Huysmans,Joris-Karl</t>
    <rPh sb="0" eb="8">
      <t>ユイスマンス</t>
    </rPh>
    <rPh sb="15" eb="19">
      <t>カール</t>
    </rPh>
    <phoneticPr fontId="1"/>
  </si>
  <si>
    <t>Lovecraft,Howard Philips</t>
    <rPh sb="0" eb="9">
      <t>ラヴクラフト</t>
    </rPh>
    <rPh sb="10" eb="24">
      <t>ハワード　フィリップス</t>
    </rPh>
    <phoneticPr fontId="1"/>
  </si>
  <si>
    <t>Rolland,Romain</t>
    <rPh sb="0" eb="7">
      <t>ロラン</t>
    </rPh>
    <rPh sb="8" eb="14">
      <t>ロマン</t>
    </rPh>
    <phoneticPr fontId="1"/>
  </si>
  <si>
    <t>Finnegans Wake II</t>
    <rPh sb="0" eb="14">
      <t>フィネガンズ・ウェイク</t>
    </rPh>
    <phoneticPr fontId="1"/>
  </si>
  <si>
    <t>Finnegans Wake I</t>
    <rPh sb="0" eb="14">
      <t>フィネガンズ・ウェイク</t>
    </rPh>
    <phoneticPr fontId="1"/>
  </si>
  <si>
    <t>Finnegans Wake III/IV</t>
    <rPh sb="0" eb="14">
      <t>フィネガンズ・ウェイク</t>
    </rPh>
    <phoneticPr fontId="1"/>
  </si>
  <si>
    <t>Harrison,Kathryn</t>
    <rPh sb="0" eb="8">
      <t>ハリソン</t>
    </rPh>
    <rPh sb="9" eb="16">
      <t>キャスリン</t>
    </rPh>
    <phoneticPr fontId="1"/>
  </si>
  <si>
    <t>Collodi,Carlo Lorenzini</t>
    <rPh sb="0" eb="7">
      <t>コッローディ</t>
    </rPh>
    <rPh sb="8" eb="13">
      <t>カルロ</t>
    </rPh>
    <rPh sb="14" eb="23">
      <t>ロレンツィーニ</t>
    </rPh>
    <phoneticPr fontId="1"/>
  </si>
  <si>
    <t>Kangaroo Note</t>
    <rPh sb="0" eb="13">
      <t>カンガルー・ノート</t>
    </rPh>
    <phoneticPr fontId="1"/>
  </si>
  <si>
    <t>Still Life</t>
    <rPh sb="0" eb="10">
      <t>スティル・ライフ</t>
    </rPh>
    <phoneticPr fontId="1"/>
  </si>
  <si>
    <t>McClosky,Deirdre N.</t>
    <rPh sb="0" eb="8">
      <t>マクロスキー</t>
    </rPh>
    <rPh sb="9" eb="16">
      <t>ディアドラ</t>
    </rPh>
    <phoneticPr fontId="1"/>
  </si>
  <si>
    <t>1999</t>
    <phoneticPr fontId="1"/>
  </si>
  <si>
    <t>Trevor Brown/Forbitten Fruits</t>
    <rPh sb="0" eb="12">
      <t>トレヴァー　ブラウン</t>
    </rPh>
    <phoneticPr fontId="1"/>
  </si>
  <si>
    <t>::</t>
    <phoneticPr fontId="1"/>
  </si>
  <si>
    <t>Watson,Lyall</t>
    <rPh sb="0" eb="6">
      <t>ワトソン</t>
    </rPh>
    <rPh sb="7" eb="12">
      <t>ライアル</t>
    </rPh>
    <phoneticPr fontId="1"/>
  </si>
  <si>
    <t>Moderato Cantabile</t>
    <rPh sb="0" eb="18">
      <t>モデラート ・カンタービレ</t>
    </rPh>
    <phoneticPr fontId="1"/>
  </si>
  <si>
    <t>Tornado Alley</t>
    <rPh sb="0" eb="7">
      <t>トルネイド</t>
    </rPh>
    <rPh sb="8" eb="13">
      <t>アレイ</t>
    </rPh>
    <phoneticPr fontId="1"/>
  </si>
  <si>
    <t>2005/12/</t>
    <phoneticPr fontId="1"/>
  </si>
  <si>
    <t>Bird,Malcolm</t>
    <rPh sb="0" eb="4">
      <t>バード</t>
    </rPh>
    <rPh sb="5" eb="12">
      <t>マルカム</t>
    </rPh>
    <phoneticPr fontId="1"/>
  </si>
  <si>
    <t>Lobel,Arnold</t>
    <rPh sb="0" eb="5">
      <t>ローベル</t>
    </rPh>
    <rPh sb="6" eb="12">
      <t>アーノルド</t>
    </rPh>
    <phoneticPr fontId="1"/>
  </si>
  <si>
    <t>4-620-31776-4</t>
    <phoneticPr fontId="1"/>
  </si>
  <si>
    <t>2006/08</t>
    <phoneticPr fontId="1"/>
  </si>
  <si>
    <t>Aquarium series</t>
    <rPh sb="0" eb="8">
      <t>アクアリウム</t>
    </rPh>
    <rPh sb="9" eb="15">
      <t>シリーズ</t>
    </rPh>
    <phoneticPr fontId="1"/>
  </si>
  <si>
    <t>Picture Lions</t>
    <rPh sb="0" eb="7">
      <t>ピクチュア</t>
    </rPh>
    <rPh sb="8" eb="13">
      <t>ライオンズ</t>
    </rPh>
    <phoneticPr fontId="1"/>
  </si>
  <si>
    <t>Fontana</t>
    <rPh sb="0" eb="7">
      <t>フォンタナ</t>
    </rPh>
    <phoneticPr fontId="1"/>
  </si>
  <si>
    <t>Laclos,Pierre-Ambroire-Francois Choderlos de</t>
    <rPh sb="0" eb="6">
      <t>ラクロ</t>
    </rPh>
    <rPh sb="7" eb="13">
      <t>ピエール</t>
    </rPh>
    <rPh sb="32" eb="41">
      <t>ショデルロ</t>
    </rPh>
    <rPh sb="42" eb="44">
      <t>ド</t>
    </rPh>
    <phoneticPr fontId="1"/>
  </si>
  <si>
    <t>ASCII Learning System</t>
    <rPh sb="0" eb="21">
      <t>アスキー　ラーニング　システム</t>
    </rPh>
    <phoneticPr fontId="1"/>
  </si>
  <si>
    <t>7th Avenue South</t>
    <rPh sb="0" eb="16">
      <t>セヴンス　アヴェニュー　サウス</t>
    </rPh>
    <phoneticPr fontId="1"/>
  </si>
  <si>
    <t>Sugar Boy Blues</t>
    <rPh sb="0" eb="15">
      <t>シュガー　ボーイ　ブルース</t>
    </rPh>
    <phoneticPr fontId="1"/>
  </si>
  <si>
    <t>Etude</t>
    <rPh sb="0" eb="5">
      <t>エチュード</t>
    </rPh>
    <phoneticPr fontId="1"/>
  </si>
  <si>
    <t>Waltz</t>
    <rPh sb="0" eb="5">
      <t>ワルツ</t>
    </rPh>
    <phoneticPr fontId="1"/>
  </si>
  <si>
    <t>Invention</t>
    <rPh sb="0" eb="9">
      <t>インヴェンション</t>
    </rPh>
    <phoneticPr fontId="1"/>
  </si>
  <si>
    <t>Emmanuelle,Bodin</t>
    <rPh sb="0" eb="10">
      <t>エマニュエル</t>
    </rPh>
    <rPh sb="11" eb="16">
      <t>ボダン</t>
    </rPh>
    <phoneticPr fontId="1"/>
  </si>
  <si>
    <t>Paris</t>
    <rPh sb="0" eb="5">
      <t>パリ</t>
    </rPh>
    <phoneticPr fontId="1"/>
  </si>
  <si>
    <t>Melodies</t>
    <rPh sb="0" eb="8">
      <t>メロディーズ</t>
    </rPh>
    <phoneticPr fontId="1"/>
  </si>
  <si>
    <t>ANGKOR</t>
    <rPh sb="0" eb="6">
      <t>アンコール</t>
    </rPh>
    <phoneticPr fontId="1"/>
  </si>
  <si>
    <t>Brahms</t>
    <rPh sb="0" eb="6">
      <t>ブラームス</t>
    </rPh>
    <phoneticPr fontId="1"/>
  </si>
  <si>
    <t>Erckmann,Emile=Chatrian,Alexandre</t>
    <rPh sb="0" eb="8">
      <t>エルクマン</t>
    </rPh>
    <rPh sb="9" eb="14">
      <t>エミール</t>
    </rPh>
    <rPh sb="15" eb="23">
      <t>シャトリアン</t>
    </rPh>
    <rPh sb="24" eb="33">
      <t>アレクサンドル</t>
    </rPh>
    <phoneticPr fontId="1"/>
  </si>
  <si>
    <t>Gide,Andre'</t>
    <rPh sb="0" eb="4">
      <t>ジッド</t>
    </rPh>
    <rPh sb="5" eb="11">
      <t>アンドレ</t>
    </rPh>
    <phoneticPr fontId="1"/>
  </si>
  <si>
    <t>Schreiber,Flora Rheta</t>
    <rPh sb="0" eb="9">
      <t>シュライバー</t>
    </rPh>
    <rPh sb="10" eb="15">
      <t>フローラ</t>
    </rPh>
    <phoneticPr fontId="1"/>
  </si>
  <si>
    <t>Beginning Fiddle</t>
    <rPh sb="0" eb="9">
      <t>ビギニング</t>
    </rPh>
    <rPh sb="10" eb="16">
      <t>フィドル</t>
    </rPh>
    <phoneticPr fontId="1"/>
  </si>
  <si>
    <t>Disco Drums Dictionary</t>
    <rPh sb="0" eb="5">
      <t>ディスコ</t>
    </rPh>
    <rPh sb="6" eb="11">
      <t>ドラムス</t>
    </rPh>
    <rPh sb="12" eb="22">
      <t>ディクショナリー</t>
    </rPh>
    <phoneticPr fontId="1"/>
  </si>
  <si>
    <t>Doll Reader</t>
    <rPh sb="0" eb="4">
      <t>ドール</t>
    </rPh>
    <rPh sb="5" eb="11">
      <t>リーダー</t>
    </rPh>
    <phoneticPr fontId="1"/>
  </si>
  <si>
    <t>Katan Doll</t>
    <rPh sb="0" eb="5">
      <t>カタン</t>
    </rPh>
    <rPh sb="6" eb="10">
      <t>ドール</t>
    </rPh>
    <phoneticPr fontId="1"/>
  </si>
  <si>
    <t>Yeovil,Jack</t>
    <rPh sb="0" eb="6">
      <t>ヨウヴィル</t>
    </rPh>
    <rPh sb="7" eb="11">
      <t>ジャック</t>
    </rPh>
    <phoneticPr fontId="1"/>
  </si>
  <si>
    <t>Malamud/Bernard</t>
    <rPh sb="0" eb="7">
      <t>マラマッド</t>
    </rPh>
    <phoneticPr fontId="1"/>
  </si>
  <si>
    <t>Music Magazine</t>
    <rPh sb="0" eb="14">
      <t>ミュージック　マガジン</t>
    </rPh>
    <phoneticPr fontId="1"/>
  </si>
  <si>
    <t>KK Best Sellers</t>
    <rPh sb="3" eb="15">
      <t>ベストセラーズ</t>
    </rPh>
    <phoneticPr fontId="1"/>
  </si>
  <si>
    <t>Cartrige Music</t>
    <rPh sb="0" eb="8">
      <t>カートリッヂ</t>
    </rPh>
    <rPh sb="9" eb="14">
      <t>ミュージック</t>
    </rPh>
    <phoneticPr fontId="1"/>
  </si>
  <si>
    <t>4:32</t>
    <rPh sb="0" eb="4">
      <t>４フン３２ビョウ</t>
    </rPh>
    <phoneticPr fontId="1"/>
  </si>
  <si>
    <t>Junnkie</t>
    <rPh sb="0" eb="7">
      <t>ジャンキー</t>
    </rPh>
    <phoneticPr fontId="1"/>
  </si>
  <si>
    <t>format</t>
    <phoneticPr fontId="1"/>
  </si>
  <si>
    <t>Lawrence,David Herbert</t>
    <rPh sb="0" eb="8">
      <t>ロレンス</t>
    </rPh>
    <rPh sb="9" eb="14">
      <t>デヴィッド</t>
    </rPh>
    <phoneticPr fontId="1"/>
  </si>
  <si>
    <t>pamphlet</t>
    <phoneticPr fontId="1"/>
  </si>
  <si>
    <t>Duras,Marguerite/Jarlot,Ge'rard</t>
    <rPh sb="0" eb="5">
      <t>デュラス</t>
    </rPh>
    <rPh sb="6" eb="16">
      <t>マルグリット</t>
    </rPh>
    <rPh sb="17" eb="23">
      <t>ジャルロ</t>
    </rPh>
    <rPh sb="24" eb="31">
      <t>ジェラール</t>
    </rPh>
    <phoneticPr fontId="1"/>
  </si>
  <si>
    <t>De La Mare,Walter John</t>
    <rPh sb="0" eb="10">
      <t>デ・ラ・メア</t>
    </rPh>
    <rPh sb="11" eb="17">
      <t>ウォルター</t>
    </rPh>
    <rPh sb="18" eb="22">
      <t>ジョン</t>
    </rPh>
    <phoneticPr fontId="1"/>
  </si>
  <si>
    <t>Bowen,Marjorie</t>
    <rPh sb="0" eb="5">
      <t>ボーエン</t>
    </rPh>
    <rPh sb="6" eb="14">
      <t>マージョリ</t>
    </rPh>
    <phoneticPr fontId="1"/>
  </si>
  <si>
    <t>Holst,Gustav Theodore</t>
    <rPh sb="0" eb="5">
      <t>ホルスト</t>
    </rPh>
    <rPh sb="6" eb="12">
      <t>グスタフ</t>
    </rPh>
    <rPh sb="13" eb="21">
      <t>セオドア</t>
    </rPh>
    <phoneticPr fontId="1"/>
  </si>
  <si>
    <t>Baum,Lyman Frank</t>
    <rPh sb="0" eb="4">
      <t>バウム</t>
    </rPh>
    <rPh sb="5" eb="16">
      <t>ライマン・フランク</t>
    </rPh>
    <phoneticPr fontId="1"/>
  </si>
  <si>
    <t>Replay</t>
    <rPh sb="0" eb="6">
      <t>リプレイ</t>
    </rPh>
    <phoneticPr fontId="1"/>
  </si>
  <si>
    <t>Faust</t>
    <rPh sb="0" eb="5">
      <t>ファウスト</t>
    </rPh>
    <phoneticPr fontId="1"/>
  </si>
  <si>
    <t>:</t>
    <phoneticPr fontId="1"/>
  </si>
  <si>
    <t>Joyce,James</t>
    <rPh sb="0" eb="5">
      <t>ジョイス</t>
    </rPh>
    <rPh sb="6" eb="11">
      <t>ジェイムズ</t>
    </rPh>
    <phoneticPr fontId="1"/>
  </si>
  <si>
    <t>Mooney,Brian</t>
    <rPh sb="0" eb="6">
      <t>ムーニイ</t>
    </rPh>
    <rPh sb="7" eb="12">
      <t>ブライアン</t>
    </rPh>
    <phoneticPr fontId="1"/>
  </si>
  <si>
    <t>Stableford,Brian</t>
    <rPh sb="0" eb="10">
      <t>ステイブルフォード</t>
    </rPh>
    <rPh sb="11" eb="16">
      <t>ブライアン</t>
    </rPh>
    <phoneticPr fontId="1"/>
  </si>
  <si>
    <t>Royle,Nicholas</t>
    <rPh sb="0" eb="5">
      <t>ロイル</t>
    </rPh>
    <rPh sb="6" eb="14">
      <t>ニコラス</t>
    </rPh>
    <phoneticPr fontId="1"/>
  </si>
  <si>
    <t>Deepnet</t>
    <rPh sb="0" eb="4">
      <t>ディープ</t>
    </rPh>
    <rPh sb="4" eb="7">
      <t>ネット</t>
    </rPh>
    <phoneticPr fontId="1"/>
  </si>
  <si>
    <t>Langford,David</t>
    <rPh sb="0" eb="8">
      <t>ラングフォード</t>
    </rPh>
    <rPh sb="9" eb="14">
      <t>デイヴィッド</t>
    </rPh>
    <phoneticPr fontId="1"/>
  </si>
  <si>
    <t>Donald Fagen</t>
    <rPh sb="0" eb="12">
      <t>ドナルド　フェイゲン</t>
    </rPh>
    <phoneticPr fontId="1"/>
  </si>
  <si>
    <t>Ninguru/Photo Story</t>
    <rPh sb="0" eb="7">
      <t>ニングル</t>
    </rPh>
    <rPh sb="8" eb="19">
      <t>フォト　ストーリー</t>
    </rPh>
    <phoneticPr fontId="1"/>
  </si>
  <si>
    <t>Farre're,Claude</t>
    <rPh sb="0" eb="8">
      <t>ファレール</t>
    </rPh>
    <rPh sb="9" eb="15">
      <t>クロード</t>
    </rPh>
    <phoneticPr fontId="1"/>
  </si>
  <si>
    <t>Morand,Paul</t>
    <rPh sb="0" eb="6">
      <t>モーラン</t>
    </rPh>
    <rPh sb="7" eb="11">
      <t>ポール</t>
    </rPh>
    <phoneticPr fontId="1"/>
  </si>
  <si>
    <t>Troyat,Henri</t>
    <rPh sb="0" eb="6">
      <t>トロワイヤ</t>
    </rPh>
    <rPh sb="7" eb="12">
      <t>アンリ</t>
    </rPh>
    <phoneticPr fontId="1"/>
  </si>
  <si>
    <t>Carrington,Leonora</t>
    <rPh sb="0" eb="10">
      <t>カリントン</t>
    </rPh>
    <rPh sb="11" eb="18">
      <t>レオノラ</t>
    </rPh>
    <phoneticPr fontId="1"/>
  </si>
  <si>
    <t>Blanc,Henri-Frederic</t>
    <rPh sb="0" eb="5">
      <t>ブラン</t>
    </rPh>
    <phoneticPr fontId="1"/>
  </si>
  <si>
    <t>Suskind,Patrick</t>
    <rPh sb="0" eb="7">
      <t>ジュースキント</t>
    </rPh>
    <rPh sb="8" eb="15">
      <t>パトリック</t>
    </rPh>
    <phoneticPr fontId="1"/>
  </si>
  <si>
    <t>Grass,Gunter</t>
    <rPh sb="0" eb="5">
      <t>グラス</t>
    </rPh>
    <rPh sb="6" eb="12">
      <t>ギュンター</t>
    </rPh>
    <phoneticPr fontId="1"/>
  </si>
  <si>
    <t>Mag Comics</t>
    <rPh sb="4" eb="9">
      <t>コミック</t>
    </rPh>
    <rPh sb="9" eb="10">
      <t>ス</t>
    </rPh>
    <phoneticPr fontId="1"/>
  </si>
  <si>
    <t>Bunkasha Comics</t>
    <rPh sb="0" eb="8">
      <t>ブンカシャ</t>
    </rPh>
    <rPh sb="9" eb="14">
      <t>コミック</t>
    </rPh>
    <rPh sb="14" eb="15">
      <t>ス</t>
    </rPh>
    <phoneticPr fontId="1"/>
  </si>
  <si>
    <t>Young Sunday Comics</t>
    <rPh sb="0" eb="5">
      <t>ヤング</t>
    </rPh>
    <rPh sb="6" eb="12">
      <t>サンデー</t>
    </rPh>
    <rPh sb="13" eb="18">
      <t>コミック</t>
    </rPh>
    <rPh sb="18" eb="19">
      <t>ス</t>
    </rPh>
    <phoneticPr fontId="1"/>
  </si>
  <si>
    <t>Bamboo Comics</t>
    <rPh sb="0" eb="6">
      <t>バンブー</t>
    </rPh>
    <rPh sb="7" eb="12">
      <t>コミック</t>
    </rPh>
    <rPh sb="12" eb="13">
      <t>ス</t>
    </rPh>
    <phoneticPr fontId="1"/>
  </si>
  <si>
    <t>studio Ship</t>
    <rPh sb="0" eb="6">
      <t>スタジオ</t>
    </rPh>
    <phoneticPr fontId="1"/>
  </si>
  <si>
    <t>W3</t>
    <rPh sb="0" eb="1">
      <t>ワンダー</t>
    </rPh>
    <rPh sb="1" eb="2">
      <t>スリー</t>
    </rPh>
    <phoneticPr fontId="1"/>
  </si>
  <si>
    <t>Bill Evans</t>
    <rPh sb="0" eb="10">
      <t>ビル　エヴァンス</t>
    </rPh>
    <phoneticPr fontId="1"/>
  </si>
  <si>
    <t>The Exorcist</t>
    <rPh sb="4" eb="12">
      <t>エクソシスト</t>
    </rPh>
    <phoneticPr fontId="1"/>
  </si>
  <si>
    <t>The Deep</t>
    <rPh sb="0" eb="8">
      <t>ザ・ディープ</t>
    </rPh>
    <phoneticPr fontId="1"/>
  </si>
  <si>
    <t>Cheistie,Agatha</t>
    <rPh sb="0" eb="8">
      <t>クリスティ</t>
    </rPh>
    <rPh sb="9" eb="15">
      <t>アガサ</t>
    </rPh>
    <phoneticPr fontId="1"/>
  </si>
  <si>
    <t>Saturday Night Fever</t>
    <rPh sb="0" eb="20">
      <t>サタデー・ナイト・フィーバー</t>
    </rPh>
    <phoneticPr fontId="1"/>
  </si>
  <si>
    <t>Jaws</t>
    <rPh sb="0" eb="4">
      <t>ジョーズ</t>
    </rPh>
    <phoneticPr fontId="1"/>
  </si>
  <si>
    <t>Spielberg,Stephen</t>
    <rPh sb="0" eb="9">
      <t>スピルバーグ</t>
    </rPh>
    <rPh sb="10" eb="17">
      <t>スティーブン</t>
    </rPh>
    <phoneticPr fontId="1"/>
  </si>
  <si>
    <t>Yeats,Peter</t>
    <rPh sb="0" eb="5">
      <t>イェーツ</t>
    </rPh>
    <rPh sb="6" eb="11">
      <t>ピーター</t>
    </rPh>
    <phoneticPr fontId="1"/>
  </si>
  <si>
    <t>Badham,John</t>
    <rPh sb="0" eb="6">
      <t>バダム</t>
    </rPh>
    <rPh sb="7" eb="11">
      <t>ジョン</t>
    </rPh>
    <phoneticPr fontId="1"/>
  </si>
  <si>
    <t>Cohn,Nik</t>
    <rPh sb="0" eb="4">
      <t>コーン</t>
    </rPh>
    <rPh sb="5" eb="8">
      <t>ニック</t>
    </rPh>
    <phoneticPr fontId="1"/>
  </si>
  <si>
    <t>Pinocchio</t>
    <rPh sb="0" eb="9">
      <t>ピノキオ</t>
    </rPh>
    <phoneticPr fontId="1"/>
  </si>
  <si>
    <t>Giovanni's Room</t>
    <rPh sb="0" eb="8">
      <t>ジョバンニ</t>
    </rPh>
    <rPh sb="8" eb="10">
      <t>ノ</t>
    </rPh>
    <rPh sb="11" eb="15">
      <t>ヘヤ</t>
    </rPh>
    <phoneticPr fontId="1"/>
  </si>
  <si>
    <t>Nam June Paik</t>
    <rPh sb="0" eb="13">
      <t>ナム・ジュン・パイク</t>
    </rPh>
    <phoneticPr fontId="1"/>
  </si>
  <si>
    <t>Schumann</t>
    <rPh sb="0" eb="8">
      <t>シューマン</t>
    </rPh>
    <phoneticPr fontId="1"/>
  </si>
  <si>
    <t>Fetscher,Iring</t>
    <rPh sb="0" eb="8">
      <t>フェッチャー</t>
    </rPh>
    <rPh sb="9" eb="14">
      <t>イーリング</t>
    </rPh>
    <phoneticPr fontId="1"/>
  </si>
  <si>
    <t>McDonald,George</t>
    <rPh sb="0" eb="8">
      <t>マクドナルド</t>
    </rPh>
    <rPh sb="9" eb="15">
      <t>ジョージ</t>
    </rPh>
    <phoneticPr fontId="1"/>
  </si>
  <si>
    <t>Drysdale,John</t>
    <rPh sb="0" eb="8">
      <t>ドライスデイル</t>
    </rPh>
    <rPh sb="9" eb="13">
      <t>ジョン</t>
    </rPh>
    <phoneticPr fontId="1"/>
  </si>
  <si>
    <t>Walpole,Sir Hugh</t>
    <rPh sb="0" eb="7">
      <t>ウォルポール</t>
    </rPh>
    <rPh sb="8" eb="11">
      <t>サー</t>
    </rPh>
    <rPh sb="12" eb="16">
      <t>ヒュー</t>
    </rPh>
    <phoneticPr fontId="1"/>
  </si>
  <si>
    <t>Chirico,Giorgio de</t>
    <rPh sb="0" eb="7">
      <t>キリコ</t>
    </rPh>
    <rPh sb="8" eb="15">
      <t>ジョルジュ</t>
    </rPh>
    <rPh sb="16" eb="18">
      <t>デ</t>
    </rPh>
    <phoneticPr fontId="1"/>
  </si>
  <si>
    <t>Bukowski,Charles</t>
    <rPh sb="0" eb="8">
      <t>ブコウスキー</t>
    </rPh>
    <rPh sb="9" eb="16">
      <t>チャールズ</t>
    </rPh>
    <phoneticPr fontId="1"/>
  </si>
  <si>
    <t>1978</t>
    <phoneticPr fontId="1"/>
  </si>
  <si>
    <t>The Last Starfighter</t>
    <rPh sb="0" eb="20">
      <t>スター・ファイター</t>
    </rPh>
    <phoneticPr fontId="1"/>
  </si>
  <si>
    <t>Tess of the D'Urbervilles</t>
    <rPh sb="0" eb="25">
      <t>テス</t>
    </rPh>
    <phoneticPr fontId="1"/>
  </si>
  <si>
    <t>La Peste</t>
    <rPh sb="0" eb="8">
      <t>ペスト</t>
    </rPh>
    <phoneticPr fontId="1"/>
  </si>
  <si>
    <t>Thomasina</t>
    <rPh sb="0" eb="9">
      <t>トマシーナ</t>
    </rPh>
    <phoneticPr fontId="1"/>
  </si>
  <si>
    <t>Asia &amp; World DataBook/1996</t>
    <rPh sb="0" eb="4">
      <t>アジア</t>
    </rPh>
    <rPh sb="7" eb="12">
      <t>ワールド</t>
    </rPh>
    <rPh sb="13" eb="17">
      <t>データ</t>
    </rPh>
    <rPh sb="17" eb="21">
      <t>ブック</t>
    </rPh>
    <phoneticPr fontId="1"/>
  </si>
  <si>
    <t>Diva</t>
    <rPh sb="0" eb="4">
      <t>ディーバ</t>
    </rPh>
    <phoneticPr fontId="1"/>
  </si>
  <si>
    <t>Signifie</t>
    <rPh sb="0" eb="8">
      <t>シニフィエ</t>
    </rPh>
    <phoneticPr fontId="1"/>
  </si>
  <si>
    <t>Vermilion Sands</t>
    <rPh sb="0" eb="9">
      <t>ヴァーミリオン</t>
    </rPh>
    <rPh sb="10" eb="15">
      <t>サンズ</t>
    </rPh>
    <phoneticPr fontId="1"/>
  </si>
  <si>
    <t>Maupassant,Guy de</t>
    <rPh sb="0" eb="10">
      <t>モーパッサン</t>
    </rPh>
    <rPh sb="11" eb="14">
      <t>ギー</t>
    </rPh>
    <rPh sb="15" eb="17">
      <t>ドゥ</t>
    </rPh>
    <phoneticPr fontId="1"/>
  </si>
  <si>
    <t>Allais,Alphonse</t>
    <rPh sb="0" eb="6">
      <t>アレ</t>
    </rPh>
    <rPh sb="7" eb="15">
      <t>アルフォンス</t>
    </rPh>
    <phoneticPr fontId="1"/>
  </si>
  <si>
    <t>Lorrain,Jean</t>
    <rPh sb="0" eb="7">
      <t>ロラン</t>
    </rPh>
    <rPh sb="8" eb="12">
      <t>ジャン</t>
    </rPh>
    <phoneticPr fontId="1"/>
  </si>
  <si>
    <t>Regnier,Henri de</t>
    <rPh sb="0" eb="7">
      <t>レニエ</t>
    </rPh>
    <rPh sb="8" eb="13">
      <t>アンリ　</t>
    </rPh>
    <rPh sb="14" eb="16">
      <t>ドゥ</t>
    </rPh>
    <phoneticPr fontId="1"/>
  </si>
  <si>
    <t>Schwob,Marcel</t>
    <rPh sb="0" eb="6">
      <t>シュオッブ</t>
    </rPh>
    <rPh sb="7" eb="13">
      <t>マルセル</t>
    </rPh>
    <phoneticPr fontId="1"/>
  </si>
  <si>
    <t>Escher</t>
    <rPh sb="0" eb="6">
      <t>エッシャー</t>
    </rPh>
    <phoneticPr fontId="1"/>
  </si>
  <si>
    <t>52, Passage des Panoramas - 75002 Paris</t>
    <rPh sb="34" eb="39">
      <t>パリ</t>
    </rPh>
    <phoneticPr fontId="1"/>
  </si>
  <si>
    <t>Photo Poche</t>
    <rPh sb="0" eb="5">
      <t>フォト</t>
    </rPh>
    <rPh sb="6" eb="11">
      <t>ポッシュ</t>
    </rPh>
    <phoneticPr fontId="1"/>
  </si>
  <si>
    <t>Media Factory</t>
    <rPh sb="0" eb="13">
      <t>メディア　ファクトリー</t>
    </rPh>
    <phoneticPr fontId="1"/>
  </si>
  <si>
    <t>Treville</t>
    <rPh sb="0" eb="8">
      <t>トレヴィル</t>
    </rPh>
    <phoneticPr fontId="1"/>
  </si>
  <si>
    <t>VOW 5</t>
    <rPh sb="0" eb="3">
      <t>バウ</t>
    </rPh>
    <phoneticPr fontId="1"/>
  </si>
  <si>
    <t>Helmut Newton</t>
    <rPh sb="0" eb="6">
      <t>ヘルムート</t>
    </rPh>
    <rPh sb="7" eb="13">
      <t>ニュートン</t>
    </rPh>
    <phoneticPr fontId="1"/>
  </si>
  <si>
    <t>Parco Book Center</t>
    <rPh sb="0" eb="5">
      <t>パルコ</t>
    </rPh>
    <rPh sb="6" eb="10">
      <t>ブック</t>
    </rPh>
    <rPh sb="11" eb="17">
      <t>センター</t>
    </rPh>
    <phoneticPr fontId="1"/>
  </si>
  <si>
    <t>Sesami Street</t>
    <rPh sb="0" eb="13">
      <t>セサミ ストリート</t>
    </rPh>
    <phoneticPr fontId="1"/>
  </si>
  <si>
    <t>Wood,Bari &amp; Geasland,Jack</t>
    <rPh sb="0" eb="4">
      <t>ウッド</t>
    </rPh>
    <rPh sb="5" eb="9">
      <t>バリ</t>
    </rPh>
    <rPh sb="12" eb="20">
      <t>ギースランド</t>
    </rPh>
    <rPh sb="21" eb="25">
      <t>ジャック</t>
    </rPh>
    <phoneticPr fontId="1"/>
  </si>
  <si>
    <t>Busoni,Ferruccio</t>
    <rPh sb="0" eb="6">
      <t>ブゾーニ</t>
    </rPh>
    <rPh sb="7" eb="16">
      <t>フェルッチョ</t>
    </rPh>
    <phoneticPr fontId="1"/>
  </si>
  <si>
    <t>Kempff,Wilhelm</t>
    <rPh sb="0" eb="6">
      <t>ケンプ</t>
    </rPh>
    <rPh sb="7" eb="14">
      <t>ヴィルヘルム</t>
    </rPh>
    <phoneticPr fontId="1"/>
  </si>
  <si>
    <t>Nyarlathotep</t>
    <rPh sb="0" eb="12">
      <t>ナイアルラトホテップ</t>
    </rPh>
    <phoneticPr fontId="1"/>
  </si>
  <si>
    <t>PIXER</t>
    <rPh sb="0" eb="5">
      <t>ピクサー</t>
    </rPh>
    <phoneticPr fontId="1"/>
  </si>
  <si>
    <t>subculture/ethnic</t>
    <phoneticPr fontId="1"/>
  </si>
  <si>
    <t>Douglas,Mary</t>
    <rPh sb="0" eb="7">
      <t>ダグラス</t>
    </rPh>
    <rPh sb="8" eb="12">
      <t>メアリ</t>
    </rPh>
    <phoneticPr fontId="1"/>
  </si>
  <si>
    <t>1972</t>
  </si>
  <si>
    <t>10792512</t>
    <rPh sb="0" eb="8">
      <t>コウソク</t>
    </rPh>
    <phoneticPr fontId="1"/>
  </si>
  <si>
    <t>Le Deco</t>
    <rPh sb="0" eb="7">
      <t>ル・デコ</t>
    </rPh>
    <phoneticPr fontId="1"/>
  </si>
  <si>
    <t>Parco</t>
    <rPh sb="0" eb="5">
      <t>パルコ</t>
    </rPh>
    <phoneticPr fontId="1"/>
  </si>
  <si>
    <t>Nodier,Charles</t>
    <rPh sb="0" eb="6">
      <t>ノディエ</t>
    </rPh>
    <rPh sb="7" eb="14">
      <t>シャルル</t>
    </rPh>
    <phoneticPr fontId="1"/>
  </si>
  <si>
    <t>Me'rime'e,Prosper</t>
    <rPh sb="0" eb="9">
      <t>メリメ</t>
    </rPh>
    <rPh sb="10" eb="17">
      <t>プロスペル</t>
    </rPh>
    <phoneticPr fontId="1"/>
  </si>
  <si>
    <t>Borel,Petrus</t>
    <rPh sb="0" eb="5">
      <t>ボレル</t>
    </rPh>
    <rPh sb="6" eb="12">
      <t>ペトリュス</t>
    </rPh>
    <phoneticPr fontId="1"/>
  </si>
  <si>
    <t>Forneret,Xavier</t>
    <rPh sb="0" eb="8">
      <t>フォルヌレ</t>
    </rPh>
    <rPh sb="9" eb="15">
      <t>グザヴィエ</t>
    </rPh>
    <phoneticPr fontId="1"/>
  </si>
  <si>
    <t>Gautier,The'ophile</t>
    <rPh sb="0" eb="7">
      <t>ゴーティエ</t>
    </rPh>
    <rPh sb="8" eb="18">
      <t>テオフィル</t>
    </rPh>
    <phoneticPr fontId="1"/>
  </si>
  <si>
    <t>Parco 7F</t>
    <rPh sb="0" eb="5">
      <t>パルコ</t>
    </rPh>
    <phoneticPr fontId="1"/>
  </si>
  <si>
    <t>1983</t>
    <phoneticPr fontId="1"/>
  </si>
  <si>
    <t>McBain,Ed</t>
    <rPh sb="0" eb="6">
      <t>マクベイン</t>
    </rPh>
    <rPh sb="7" eb="9">
      <t>エド</t>
    </rPh>
    <phoneticPr fontId="1"/>
  </si>
  <si>
    <t>Motel Chronicles</t>
    <rPh sb="0" eb="5">
      <t>モーテル</t>
    </rPh>
    <rPh sb="6" eb="16">
      <t>クロニクルズ</t>
    </rPh>
    <phoneticPr fontId="1"/>
  </si>
  <si>
    <t>Jennie</t>
    <rPh sb="0" eb="6">
      <t>ジェニィ</t>
    </rPh>
    <phoneticPr fontId="1"/>
  </si>
  <si>
    <t>Iwanami Graphics 8</t>
    <rPh sb="0" eb="7">
      <t>イワナミ</t>
    </rPh>
    <rPh sb="8" eb="16">
      <t>グラフィックス</t>
    </rPh>
    <phoneticPr fontId="1"/>
  </si>
  <si>
    <t>Gare de Lyon</t>
    <rPh sb="8" eb="12">
      <t>リヨン</t>
    </rPh>
    <phoneticPr fontId="1"/>
  </si>
  <si>
    <t>Beauvoir,S.D.</t>
    <rPh sb="0" eb="8">
      <t>ボーヴォワール</t>
    </rPh>
    <phoneticPr fontId="1"/>
  </si>
  <si>
    <t>Kressing,Harry</t>
    <rPh sb="0" eb="8">
      <t>クレッシング</t>
    </rPh>
    <rPh sb="9" eb="14">
      <t>ハリー</t>
    </rPh>
    <phoneticPr fontId="1"/>
  </si>
  <si>
    <t>Asquith,Cynthia</t>
    <rPh sb="0" eb="7">
      <t>アスキス</t>
    </rPh>
    <rPh sb="8" eb="15">
      <t>シンシア</t>
    </rPh>
    <phoneticPr fontId="1"/>
  </si>
  <si>
    <t>Laver,James</t>
    <rPh sb="0" eb="5">
      <t>レイヴァー</t>
    </rPh>
    <rPh sb="6" eb="11">
      <t>ジェイムズ</t>
    </rPh>
    <phoneticPr fontId="1"/>
  </si>
  <si>
    <t>Metcalfe,John</t>
    <rPh sb="0" eb="8">
      <t>メトカーフ</t>
    </rPh>
    <rPh sb="9" eb="13">
      <t>ジョン</t>
    </rPh>
    <phoneticPr fontId="1"/>
  </si>
  <si>
    <t>Benson,Robert Hugh</t>
    <rPh sb="0" eb="6">
      <t>ベンスン</t>
    </rPh>
    <rPh sb="7" eb="13">
      <t>ロバート</t>
    </rPh>
    <rPh sb="14" eb="18">
      <t>ヒュー</t>
    </rPh>
    <phoneticPr fontId="1"/>
  </si>
  <si>
    <t>Alan,A.J.</t>
    <rPh sb="0" eb="4">
      <t>アラン</t>
    </rPh>
    <phoneticPr fontId="1"/>
  </si>
  <si>
    <t>4-572-00353-X</t>
    <phoneticPr fontId="1"/>
  </si>
  <si>
    <t>4-378-00108-X</t>
    <phoneticPr fontId="1"/>
  </si>
  <si>
    <t>4-938595-26-5</t>
    <phoneticPr fontId="1"/>
  </si>
  <si>
    <t>4-09-290181-X</t>
    <phoneticPr fontId="1"/>
  </si>
  <si>
    <t>4-560-04091-5</t>
    <phoneticPr fontId="1"/>
  </si>
  <si>
    <t>4-8340-0373-6</t>
    <phoneticPr fontId="1"/>
  </si>
  <si>
    <t>4-09-727284-5</t>
    <phoneticPr fontId="1"/>
  </si>
  <si>
    <t>4-03-327890-7</t>
    <phoneticPr fontId="1"/>
  </si>
  <si>
    <t>E</t>
    <phoneticPr fontId="1"/>
  </si>
  <si>
    <t>Saul,John</t>
    <rPh sb="0" eb="4">
      <t>ソール</t>
    </rPh>
    <rPh sb="5" eb="9">
      <t>ジョン</t>
    </rPh>
    <phoneticPr fontId="1"/>
  </si>
  <si>
    <t>Djian,Philippe</t>
    <rPh sb="0" eb="5">
      <t>ディジャン</t>
    </rPh>
    <rPh sb="6" eb="14">
      <t>フィリップ</t>
    </rPh>
    <phoneticPr fontId="1"/>
  </si>
  <si>
    <t>Dick,Philip K.</t>
    <rPh sb="0" eb="4">
      <t>ディック</t>
    </rPh>
    <rPh sb="5" eb="11">
      <t>フィリップ</t>
    </rPh>
    <phoneticPr fontId="1"/>
  </si>
  <si>
    <t>producted date</t>
    <phoneticPr fontId="1"/>
  </si>
  <si>
    <t>1969/07/01</t>
    <phoneticPr fontId="1"/>
  </si>
  <si>
    <t>1694</t>
    <phoneticPr fontId="1"/>
  </si>
  <si>
    <t>Club King</t>
    <rPh sb="0" eb="4">
      <t>クラブ</t>
    </rPh>
    <rPh sb="5" eb="9">
      <t>キング</t>
    </rPh>
    <phoneticPr fontId="1"/>
  </si>
  <si>
    <t>Monaco,James</t>
    <rPh sb="0" eb="6">
      <t>モナコ</t>
    </rPh>
    <rPh sb="7" eb="12">
      <t>ジェイムズ</t>
    </rPh>
    <phoneticPr fontId="1"/>
  </si>
  <si>
    <t>Mendelsohn,Robert S.</t>
    <rPh sb="0" eb="10">
      <t>メンデルソン</t>
    </rPh>
    <rPh sb="11" eb="17">
      <t>ロバート</t>
    </rPh>
    <phoneticPr fontId="1"/>
  </si>
  <si>
    <t>Satie,Erik</t>
    <rPh sb="0" eb="5">
      <t>サティ</t>
    </rPh>
    <rPh sb="6" eb="10">
      <t>エリック</t>
    </rPh>
    <phoneticPr fontId="1"/>
  </si>
  <si>
    <t>Schubert</t>
    <rPh sb="0" eb="8">
      <t>シューベルト</t>
    </rPh>
    <phoneticPr fontId="1"/>
  </si>
  <si>
    <t>Kandinsky,Wassily &amp; Munter,Gabriele 1901-1917</t>
    <rPh sb="0" eb="9">
      <t>カンディンスキー</t>
    </rPh>
    <rPh sb="10" eb="17">
      <t>ヴァシリー</t>
    </rPh>
    <rPh sb="20" eb="26">
      <t>ミュンター</t>
    </rPh>
    <rPh sb="27" eb="35">
      <t>ガブリエーレ</t>
    </rPh>
    <phoneticPr fontId="1"/>
  </si>
  <si>
    <t>Jones,Stephen</t>
    <rPh sb="0" eb="5">
      <t>ジョーンズ</t>
    </rPh>
    <rPh sb="6" eb="13">
      <t>スティーヴァン</t>
    </rPh>
    <phoneticPr fontId="1"/>
  </si>
  <si>
    <t>Richard Barham Middleton</t>
    <rPh sb="0" eb="7">
      <t>リチャード</t>
    </rPh>
    <rPh sb="15" eb="24">
      <t>ミドルトン</t>
    </rPh>
    <phoneticPr fontId="1"/>
  </si>
  <si>
    <t>The Kiss</t>
    <rPh sb="4" eb="8">
      <t>キス</t>
    </rPh>
    <phoneticPr fontId="1"/>
  </si>
  <si>
    <t>Eliade,Mircea</t>
    <rPh sb="0" eb="6">
      <t>エリアーデ</t>
    </rPh>
    <rPh sb="7" eb="13">
      <t>ミルチア</t>
    </rPh>
    <phoneticPr fontId="1"/>
  </si>
  <si>
    <r>
      <t>Ginsberg,Allen</t>
    </r>
    <r>
      <rPr>
        <sz val="11"/>
        <rFont val="ＭＳ Ｐゴシック"/>
        <family val="3"/>
        <charset val="128"/>
      </rPr>
      <t/>
    </r>
    <rPh sb="0" eb="8">
      <t>ギンズバーグ</t>
    </rPh>
    <rPh sb="9" eb="14">
      <t>アレン</t>
    </rPh>
    <phoneticPr fontId="1"/>
  </si>
  <si>
    <t>DeAGOSTINI</t>
    <rPh sb="0" eb="10">
      <t>デアゴスティーニ</t>
    </rPh>
    <phoneticPr fontId="1"/>
  </si>
  <si>
    <t>Hebdomeros</t>
    <rPh sb="0" eb="10">
      <t>エブドメロス</t>
    </rPh>
    <phoneticPr fontId="1"/>
  </si>
  <si>
    <t>Wilde,Oscar</t>
    <rPh sb="0" eb="5">
      <t>ワイルド</t>
    </rPh>
    <rPh sb="6" eb="11">
      <t>オスカー</t>
    </rPh>
    <phoneticPr fontId="1"/>
  </si>
  <si>
    <t>1967</t>
    <phoneticPr fontId="1"/>
  </si>
  <si>
    <t>Campbell,Ramsey</t>
    <rPh sb="0" eb="8">
      <t>キャンブル</t>
    </rPh>
    <rPh sb="9" eb="15">
      <t>ラムジイ</t>
    </rPh>
    <phoneticPr fontId="1"/>
  </si>
  <si>
    <t>Travel Journal</t>
    <rPh sb="0" eb="14">
      <t>トラベルジャーナル</t>
    </rPh>
    <phoneticPr fontId="1"/>
  </si>
  <si>
    <t>Cage,John</t>
    <rPh sb="0" eb="4">
      <t>ケージ</t>
    </rPh>
    <rPh sb="5" eb="9">
      <t>ジョン</t>
    </rPh>
    <phoneticPr fontId="1"/>
  </si>
  <si>
    <t>Doll</t>
    <rPh sb="0" eb="4">
      <t>ドール</t>
    </rPh>
    <phoneticPr fontId="1"/>
  </si>
  <si>
    <t>Hoffmann,Ernst Theodor Amadeaus</t>
    <rPh sb="0" eb="8">
      <t>ホフマン</t>
    </rPh>
    <rPh sb="9" eb="14">
      <t>エルンスト</t>
    </rPh>
    <rPh sb="15" eb="22">
      <t>テオドール</t>
    </rPh>
    <rPh sb="23" eb="31">
      <t>アマデゥス</t>
    </rPh>
    <phoneticPr fontId="1"/>
  </si>
  <si>
    <t>sold to Book Off in 2003/05</t>
    <rPh sb="8" eb="16">
      <t>ブックオフ</t>
    </rPh>
    <phoneticPr fontId="1"/>
  </si>
  <si>
    <t>Record Collectors</t>
    <rPh sb="0" eb="17">
      <t>レコード　コレクターズ</t>
    </rPh>
    <phoneticPr fontId="1"/>
  </si>
  <si>
    <t>Gothic</t>
    <rPh sb="0" eb="6">
      <t>ゴシック</t>
    </rPh>
    <phoneticPr fontId="1"/>
  </si>
  <si>
    <t>Ken Russell</t>
    <rPh sb="0" eb="3">
      <t>ケン</t>
    </rPh>
    <rPh sb="4" eb="11">
      <t>ラッセル</t>
    </rPh>
    <phoneticPr fontId="1"/>
  </si>
  <si>
    <t>Harvey,W.F.</t>
    <rPh sb="0" eb="6">
      <t>ハーヴィー</t>
    </rPh>
    <phoneticPr fontId="1"/>
  </si>
  <si>
    <t>Action Comics</t>
    <rPh sb="0" eb="13">
      <t>アクション　コミックス</t>
    </rPh>
    <phoneticPr fontId="1"/>
  </si>
  <si>
    <t>zyappu</t>
    <rPh sb="0" eb="6">
      <t>ジャップ</t>
    </rPh>
    <phoneticPr fontId="1"/>
  </si>
  <si>
    <t>Bach,Johann Sebastian/Mozart/Beethoven/Schubert</t>
    <rPh sb="0" eb="4">
      <t>バッハ</t>
    </rPh>
    <rPh sb="5" eb="21">
      <t>ヨハン　セバスチャン</t>
    </rPh>
    <rPh sb="22" eb="28">
      <t>モーツァルト</t>
    </rPh>
    <rPh sb="29" eb="38">
      <t>ベートーヴェン</t>
    </rPh>
    <rPh sb="39" eb="47">
      <t>シューベルト</t>
    </rPh>
    <phoneticPr fontId="1"/>
  </si>
  <si>
    <t>Stevie Wonder</t>
    <rPh sb="0" eb="6">
      <t>スティーヴィー</t>
    </rPh>
    <rPh sb="7" eb="13">
      <t>ワンダー</t>
    </rPh>
    <phoneticPr fontId="1"/>
  </si>
  <si>
    <t>Moonriders</t>
    <rPh sb="0" eb="10">
      <t>ムーンライダーズ</t>
    </rPh>
    <phoneticPr fontId="1"/>
  </si>
  <si>
    <t>Japan Flute Club</t>
    <rPh sb="0" eb="16">
      <t>ジャパン　フルート　クラブ</t>
    </rPh>
    <phoneticPr fontId="1"/>
  </si>
  <si>
    <t>Bach,Johann Sebastian/varioue</t>
    <rPh sb="0" eb="4">
      <t>バッハ</t>
    </rPh>
    <rPh sb="5" eb="21">
      <t>ヨハン　セバスチャン</t>
    </rPh>
    <phoneticPr fontId="1"/>
  </si>
  <si>
    <t>Greatest Hits/Band Score</t>
    <rPh sb="0" eb="13">
      <t>グレイテスト　ヒッツ</t>
    </rPh>
    <rPh sb="14" eb="24">
      <t>バンド スコア</t>
    </rPh>
    <phoneticPr fontId="1"/>
  </si>
  <si>
    <t>Medical Fun</t>
    <rPh sb="0" eb="7">
      <t>メディカル</t>
    </rPh>
    <rPh sb="8" eb="11">
      <t>ファン</t>
    </rPh>
    <phoneticPr fontId="1"/>
  </si>
  <si>
    <t>Prokofiev,Sergei</t>
    <rPh sb="0" eb="9">
      <t>プロコフィエフ</t>
    </rPh>
    <rPh sb="10" eb="16">
      <t>セルゲイ</t>
    </rPh>
    <phoneticPr fontId="1"/>
  </si>
  <si>
    <t>Japan Mix</t>
    <rPh sb="0" eb="5">
      <t>ジャパン</t>
    </rPh>
    <rPh sb="6" eb="9">
      <t>ミックス</t>
    </rPh>
    <phoneticPr fontId="1"/>
  </si>
  <si>
    <t>Sri Mariamman Temple Pamphlet</t>
    <rPh sb="21" eb="29">
      <t>パンフレット</t>
    </rPh>
    <phoneticPr fontId="1"/>
  </si>
  <si>
    <t>Defoe,Daniel</t>
    <rPh sb="0" eb="5">
      <t>デフォー</t>
    </rPh>
    <rPh sb="6" eb="12">
      <t>ダニエル</t>
    </rPh>
    <phoneticPr fontId="1"/>
  </si>
  <si>
    <t>Coppard,Alfred Edgar</t>
    <rPh sb="0" eb="7">
      <t>コッパード</t>
    </rPh>
    <rPh sb="8" eb="14">
      <t>アルフレッド　</t>
    </rPh>
    <rPh sb="15" eb="20">
      <t>エドガー</t>
    </rPh>
    <phoneticPr fontId="1"/>
  </si>
  <si>
    <t>Sinclair,May</t>
    <rPh sb="0" eb="8">
      <t>シンクレア</t>
    </rPh>
    <rPh sb="9" eb="12">
      <t>メイ</t>
    </rPh>
    <phoneticPr fontId="1"/>
  </si>
  <si>
    <t>Wakefield,Herbert Russell</t>
    <rPh sb="0" eb="4">
      <t>ウエイク</t>
    </rPh>
    <rPh sb="4" eb="9">
      <t>フィールド</t>
    </rPh>
    <rPh sb="10" eb="17">
      <t>ハーバート</t>
    </rPh>
    <rPh sb="18" eb="25">
      <t>ラッセル</t>
    </rPh>
    <phoneticPr fontId="1"/>
  </si>
  <si>
    <t>la nina</t>
    <rPh sb="0" eb="7">
      <t>ラ・ニーニャ</t>
    </rPh>
    <phoneticPr fontId="1"/>
  </si>
  <si>
    <t>Levin,Ira</t>
    <rPh sb="0" eb="5">
      <t>レヴィン</t>
    </rPh>
    <rPh sb="6" eb="9">
      <t>アイラ</t>
    </rPh>
    <phoneticPr fontId="1"/>
  </si>
  <si>
    <t>Sizemore,Chris Costner &amp; Pittilo,Elen Sain</t>
    <rPh sb="0" eb="8">
      <t>サイズモア</t>
    </rPh>
    <rPh sb="9" eb="14">
      <t>クリス</t>
    </rPh>
    <rPh sb="15" eb="22">
      <t>コスナー</t>
    </rPh>
    <rPh sb="25" eb="32">
      <t>ピティロ</t>
    </rPh>
    <rPh sb="33" eb="37">
      <t>エレン</t>
    </rPh>
    <phoneticPr fontId="1"/>
  </si>
  <si>
    <t>Auden,W.H.</t>
    <rPh sb="0" eb="5">
      <t>オーデン</t>
    </rPh>
    <phoneticPr fontId="1"/>
  </si>
  <si>
    <t>Live Girls</t>
    <rPh sb="0" eb="10">
      <t>ライヴ　ガールズ</t>
    </rPh>
    <phoneticPr fontId="1"/>
  </si>
  <si>
    <t>Mon mec a moi</t>
    <rPh sb="0" eb="13">
      <t>モン・メック・ア・モア</t>
    </rPh>
    <phoneticPr fontId="1"/>
  </si>
  <si>
    <t>Copper,Basil</t>
    <rPh sb="0" eb="6">
      <t>カパー</t>
    </rPh>
    <rPh sb="7" eb="12">
      <t>ベイザル</t>
    </rPh>
    <phoneticPr fontId="1"/>
  </si>
  <si>
    <t>Saint-Exupery,Antoine de</t>
    <rPh sb="0" eb="5">
      <t>サン</t>
    </rPh>
    <rPh sb="5" eb="6">
      <t>=</t>
    </rPh>
    <rPh sb="6" eb="13">
      <t>ティグジュペリ</t>
    </rPh>
    <rPh sb="14" eb="21">
      <t>アントワーヌ</t>
    </rPh>
    <rPh sb="22" eb="24">
      <t>ド</t>
    </rPh>
    <phoneticPr fontId="1"/>
  </si>
  <si>
    <t>Art Vivan/Libroport</t>
    <rPh sb="0" eb="9">
      <t>アール･ヴィヴァン</t>
    </rPh>
    <rPh sb="10" eb="15">
      <t>リブロ</t>
    </rPh>
    <rPh sb="15" eb="19">
      <t>ポート</t>
    </rPh>
    <phoneticPr fontId="1"/>
  </si>
  <si>
    <t>Chekhov</t>
    <rPh sb="0" eb="7">
      <t>チェーホフ</t>
    </rPh>
    <phoneticPr fontId="1"/>
  </si>
  <si>
    <t>Tolstoy,Alexei</t>
    <rPh sb="0" eb="7">
      <t>トルストイ</t>
    </rPh>
    <rPh sb="8" eb="14">
      <t>アレクセイ</t>
    </rPh>
    <phoneticPr fontId="1"/>
  </si>
  <si>
    <t>Jacques Brel</t>
    <rPh sb="0" eb="7">
      <t>ジャック</t>
    </rPh>
    <rPh sb="8" eb="12">
      <t>ブレル</t>
    </rPh>
    <phoneticPr fontId="1"/>
  </si>
  <si>
    <t>Proust,Marcel</t>
    <rPh sb="0" eb="6">
      <t>プルースト</t>
    </rPh>
    <rPh sb="7" eb="13">
      <t>マルセル</t>
    </rPh>
    <phoneticPr fontId="1"/>
  </si>
  <si>
    <t>Bretonne,Retif de la</t>
    <rPh sb="0" eb="8">
      <t>ブルトンヌ</t>
    </rPh>
    <rPh sb="9" eb="14">
      <t>レチフ</t>
    </rPh>
    <rPh sb="15" eb="17">
      <t>ド</t>
    </rPh>
    <rPh sb="18" eb="20">
      <t>ラ</t>
    </rPh>
    <phoneticPr fontId="1"/>
  </si>
  <si>
    <t>Verne,Jules</t>
    <rPh sb="0" eb="5">
      <t>ヴェルヌ</t>
    </rPh>
    <rPh sb="6" eb="11">
      <t>ジュール</t>
    </rPh>
    <phoneticPr fontId="1"/>
  </si>
  <si>
    <t>Poe,Edgar Allan</t>
    <rPh sb="0" eb="3">
      <t>ポオ</t>
    </rPh>
    <rPh sb="4" eb="15">
      <t>エドガー　アラン</t>
    </rPh>
    <phoneticPr fontId="1"/>
  </si>
  <si>
    <t>Dagon</t>
    <rPh sb="0" eb="5">
      <t>ダゴン</t>
    </rPh>
    <phoneticPr fontId="1"/>
  </si>
  <si>
    <t>Ibn al-Muquaffa‘</t>
    <rPh sb="0" eb="3">
      <t>イブヌ</t>
    </rPh>
    <rPh sb="4" eb="6">
      <t>ル</t>
    </rPh>
    <rPh sb="7" eb="16">
      <t>ムカッファイ</t>
    </rPh>
    <phoneticPr fontId="1"/>
  </si>
  <si>
    <t>Saint-Exupery,Antoine de</t>
    <rPh sb="0" eb="5">
      <t>サン</t>
    </rPh>
    <rPh sb="5" eb="6">
      <t>=</t>
    </rPh>
    <rPh sb="6" eb="13">
      <t>ティグジュペリ</t>
    </rPh>
    <phoneticPr fontId="1"/>
  </si>
  <si>
    <t>Aesop</t>
    <rPh sb="0" eb="5">
      <t>イソップ</t>
    </rPh>
    <phoneticPr fontId="1"/>
  </si>
  <si>
    <t>Storm,Theodor</t>
    <rPh sb="0" eb="5">
      <t>シュトルム</t>
    </rPh>
    <rPh sb="6" eb="13">
      <t>テオドール</t>
    </rPh>
    <phoneticPr fontId="1"/>
  </si>
  <si>
    <t>C0095</t>
    <phoneticPr fontId="1"/>
  </si>
  <si>
    <t>Moussorgsky</t>
    <rPh sb="0" eb="11">
      <t>ムソルグスキー</t>
    </rPh>
    <phoneticPr fontId="1"/>
  </si>
  <si>
    <t>Polonaise</t>
    <rPh sb="0" eb="9">
      <t>ポロネーズ</t>
    </rPh>
    <phoneticPr fontId="1"/>
  </si>
  <si>
    <t>Aja</t>
    <rPh sb="0" eb="3">
      <t>アヤ</t>
    </rPh>
    <phoneticPr fontId="1"/>
  </si>
  <si>
    <t>Savage,Elayne,Ph.D.</t>
    <rPh sb="0" eb="6">
      <t>サベージ</t>
    </rPh>
    <rPh sb="7" eb="13">
      <t>イレーン</t>
    </rPh>
    <phoneticPr fontId="1"/>
  </si>
  <si>
    <t>Seraphita</t>
    <rPh sb="0" eb="9">
      <t>セラフィタ</t>
    </rPh>
    <phoneticPr fontId="1"/>
  </si>
  <si>
    <t>Metropolis</t>
    <rPh sb="0" eb="10">
      <t>メトロポリス</t>
    </rPh>
    <phoneticPr fontId="1"/>
  </si>
  <si>
    <t>Apollinaire,Guillaume</t>
    <rPh sb="0" eb="11">
      <t>アポリネール</t>
    </rPh>
    <rPh sb="12" eb="21">
      <t>ギョーム</t>
    </rPh>
    <phoneticPr fontId="1"/>
  </si>
  <si>
    <t>Cocteau,Jean</t>
    <rPh sb="0" eb="7">
      <t>コクトー</t>
    </rPh>
    <rPh sb="8" eb="12">
      <t>ジャン</t>
    </rPh>
    <phoneticPr fontId="1"/>
  </si>
  <si>
    <t>Shelley,Percy Bysshe</t>
    <rPh sb="0" eb="7">
      <t>シェリー</t>
    </rPh>
    <phoneticPr fontId="1"/>
  </si>
  <si>
    <t>Jammes,Francis</t>
    <rPh sb="0" eb="6">
      <t>ジャム</t>
    </rPh>
    <rPh sb="7" eb="14">
      <t>フランシス</t>
    </rPh>
    <phoneticPr fontId="1"/>
  </si>
  <si>
    <t>Erik Satie Piano Album</t>
    <rPh sb="0" eb="22">
      <t>エリック　サティ　ピアノ　アルバム</t>
    </rPh>
    <phoneticPr fontId="1"/>
  </si>
  <si>
    <t>Dali',Salvador</t>
    <rPh sb="0" eb="5">
      <t>ダリ</t>
    </rPh>
    <rPh sb="6" eb="14">
      <t>サルバドール</t>
    </rPh>
    <phoneticPr fontId="1"/>
  </si>
  <si>
    <t>Bob Carlos Clarke</t>
    <rPh sb="0" eb="17">
      <t>ボブ　カルロス　クラーク</t>
    </rPh>
    <phoneticPr fontId="1"/>
  </si>
  <si>
    <t>Catalogue</t>
    <rPh sb="0" eb="9">
      <t>カタログ</t>
    </rPh>
    <phoneticPr fontId="1"/>
  </si>
  <si>
    <t>Harry Thomas Frank</t>
    <rPh sb="0" eb="5">
      <t>ハリー</t>
    </rPh>
    <rPh sb="6" eb="12">
      <t>トーマス</t>
    </rPh>
    <rPh sb="13" eb="18">
      <t>フランク</t>
    </rPh>
    <phoneticPr fontId="1"/>
  </si>
  <si>
    <t>Eroticism</t>
    <rPh sb="0" eb="9">
      <t>エロティシズム</t>
    </rPh>
    <phoneticPr fontId="1"/>
  </si>
  <si>
    <t>4-7872-3128-6</t>
    <phoneticPr fontId="1"/>
  </si>
  <si>
    <t>C0036</t>
    <phoneticPr fontId="1"/>
  </si>
  <si>
    <t>Vissotsky,Vladimir Semyonovich/Vlady,Marina</t>
    <rPh sb="0" eb="9">
      <t>ヴィソツキー</t>
    </rPh>
    <rPh sb="10" eb="18">
      <t>ウラジーミル</t>
    </rPh>
    <rPh sb="31" eb="36">
      <t>ブラディ</t>
    </rPh>
    <rPh sb="37" eb="43">
      <t>マリナ</t>
    </rPh>
    <phoneticPr fontId="1"/>
  </si>
  <si>
    <t>Laing,R.D.</t>
    <rPh sb="0" eb="5">
      <t>レイン</t>
    </rPh>
    <phoneticPr fontId="1"/>
  </si>
  <si>
    <t>Libro</t>
    <rPh sb="0" eb="5">
      <t>リブロ</t>
    </rPh>
    <phoneticPr fontId="1"/>
  </si>
  <si>
    <t>Dark Half</t>
    <rPh sb="0" eb="4">
      <t>ダーク</t>
    </rPh>
    <rPh sb="5" eb="9">
      <t>ハーフ</t>
    </rPh>
    <phoneticPr fontId="1"/>
  </si>
  <si>
    <t>Hill,Susan</t>
    <rPh sb="0" eb="4">
      <t>ヒル</t>
    </rPh>
    <rPh sb="5" eb="10">
      <t>スーザン</t>
    </rPh>
    <phoneticPr fontId="1"/>
  </si>
  <si>
    <t>Modern Method Keyboard Study vol.4</t>
    <rPh sb="0" eb="6">
      <t>モダン</t>
    </rPh>
    <rPh sb="7" eb="13">
      <t>メソッド</t>
    </rPh>
    <rPh sb="14" eb="22">
      <t>キーボード</t>
    </rPh>
    <rPh sb="23" eb="28">
      <t>スタディ</t>
    </rPh>
    <phoneticPr fontId="1"/>
  </si>
  <si>
    <t>Quick Japan vol.32</t>
    <rPh sb="0" eb="5">
      <t>クイック</t>
    </rPh>
    <rPh sb="6" eb="11">
      <t>ジャパン</t>
    </rPh>
    <phoneticPr fontId="1"/>
  </si>
  <si>
    <t>Smith,Arnold</t>
    <rPh sb="0" eb="5">
      <t>スミス</t>
    </rPh>
    <rPh sb="6" eb="12">
      <t>アーノルド</t>
    </rPh>
    <phoneticPr fontId="1"/>
  </si>
  <si>
    <t>Jacobs,William Wymark</t>
    <rPh sb="0" eb="6">
      <t>ジェイコブズ</t>
    </rPh>
    <rPh sb="7" eb="14">
      <t>ウィリアム</t>
    </rPh>
    <phoneticPr fontId="1"/>
  </si>
  <si>
    <t>pamphlet</t>
    <rPh sb="0" eb="8">
      <t>パンフレット</t>
    </rPh>
    <phoneticPr fontId="1"/>
  </si>
  <si>
    <t>Nyman,Michael</t>
    <rPh sb="0" eb="5">
      <t>ナイマン</t>
    </rPh>
    <rPh sb="6" eb="13">
      <t>マイケル</t>
    </rPh>
    <phoneticPr fontId="1"/>
  </si>
  <si>
    <t>Koons,Jeff</t>
    <rPh sb="0" eb="5">
      <t>クーンズ</t>
    </rPh>
    <rPh sb="6" eb="10">
      <t>ジェフ</t>
    </rPh>
    <phoneticPr fontId="1"/>
  </si>
  <si>
    <t>Museum of London</t>
    <rPh sb="10" eb="16">
      <t>ロンドン</t>
    </rPh>
    <phoneticPr fontId="1"/>
  </si>
  <si>
    <t>Mendelssohn</t>
    <rPh sb="0" eb="11">
      <t>メンデルスゾーン</t>
    </rPh>
    <phoneticPr fontId="1"/>
  </si>
  <si>
    <t>Cole,Adrian</t>
    <rPh sb="0" eb="4">
      <t>コール</t>
    </rPh>
    <rPh sb="5" eb="11">
      <t>エイドリアン</t>
    </rPh>
    <phoneticPr fontId="1"/>
  </si>
  <si>
    <t>Lewis,D.F.</t>
    <rPh sb="0" eb="5">
      <t>ルーイス</t>
    </rPh>
    <phoneticPr fontId="1"/>
  </si>
  <si>
    <t>Piano Distance</t>
    <rPh sb="0" eb="5">
      <t>ピアノ</t>
    </rPh>
    <rPh sb="6" eb="14">
      <t>ディスタンス</t>
    </rPh>
    <phoneticPr fontId="1"/>
  </si>
  <si>
    <t>Clezio,Le,J.M.G.</t>
    <rPh sb="0" eb="6">
      <t>クレジオ</t>
    </rPh>
    <rPh sb="7" eb="9">
      <t>ル</t>
    </rPh>
    <phoneticPr fontId="1"/>
  </si>
  <si>
    <t>Grimwood,Ken</t>
    <rPh sb="0" eb="8">
      <t>グリムウッド</t>
    </rPh>
    <rPh sb="9" eb="12">
      <t>ケン</t>
    </rPh>
    <phoneticPr fontId="1"/>
  </si>
  <si>
    <t>Clement,Hal</t>
    <rPh sb="0" eb="7">
      <t>クレメント</t>
    </rPh>
    <rPh sb="8" eb="11">
      <t>ハル</t>
    </rPh>
    <phoneticPr fontId="1"/>
  </si>
  <si>
    <t>Greene,Graham</t>
    <rPh sb="0" eb="6">
      <t>グリーン</t>
    </rPh>
    <rPh sb="7" eb="13">
      <t>グレアム</t>
    </rPh>
    <phoneticPr fontId="1"/>
  </si>
  <si>
    <t>Goethes</t>
    <rPh sb="0" eb="7">
      <t>ゲーテ</t>
    </rPh>
    <phoneticPr fontId="1"/>
  </si>
  <si>
    <t>Kemelman,Harry</t>
    <rPh sb="0" eb="8">
      <t>ケメルマン</t>
    </rPh>
    <rPh sb="9" eb="14">
      <t>ハリイ</t>
    </rPh>
    <phoneticPr fontId="1"/>
  </si>
  <si>
    <t>Gogolj,Nikolai Vasilievitch</t>
    <rPh sb="0" eb="6">
      <t>ゴーゴリ</t>
    </rPh>
    <phoneticPr fontId="1"/>
  </si>
  <si>
    <t>Sarrantonio,Al</t>
    <rPh sb="0" eb="11">
      <t>サラントニオ</t>
    </rPh>
    <rPh sb="12" eb="14">
      <t>アル</t>
    </rPh>
    <phoneticPr fontId="1"/>
  </si>
  <si>
    <t>Sartre,Jean-Paul</t>
    <rPh sb="0" eb="6">
      <t>サルトル</t>
    </rPh>
    <rPh sb="7" eb="16">
      <t>ジャン=ポール</t>
    </rPh>
    <phoneticPr fontId="1"/>
  </si>
  <si>
    <t>Perrault,Charles</t>
    <rPh sb="0" eb="8">
      <t>ペロー</t>
    </rPh>
    <rPh sb="9" eb="16">
      <t>シャルル</t>
    </rPh>
    <phoneticPr fontId="1"/>
  </si>
  <si>
    <t>Arts Collection 065/Design 07</t>
    <rPh sb="0" eb="4">
      <t>アーツ</t>
    </rPh>
    <rPh sb="5" eb="15">
      <t>コレクション</t>
    </rPh>
    <rPh sb="20" eb="26">
      <t>デザイン</t>
    </rPh>
    <phoneticPr fontId="1"/>
  </si>
  <si>
    <t>Arts Collection 213/Design 29</t>
    <rPh sb="0" eb="4">
      <t>アーツ</t>
    </rPh>
    <rPh sb="5" eb="15">
      <t>コレクション</t>
    </rPh>
    <rPh sb="20" eb="26">
      <t>デザイン</t>
    </rPh>
    <phoneticPr fontId="1"/>
  </si>
  <si>
    <t>Claudel,Camille</t>
    <rPh sb="0" eb="7">
      <t>クローデル</t>
    </rPh>
    <rPh sb="8" eb="15">
      <t>カミーユ</t>
    </rPh>
    <phoneticPr fontId="1"/>
  </si>
  <si>
    <t>Silverberg,Robert</t>
    <rPh sb="0" eb="10">
      <t>シルヴァーバーグ</t>
    </rPh>
    <rPh sb="11" eb="17">
      <t>ロバート</t>
    </rPh>
    <phoneticPr fontId="1"/>
  </si>
  <si>
    <t>Swift,Jonathan</t>
    <rPh sb="0" eb="5">
      <t>スウィフト</t>
    </rPh>
    <rPh sb="6" eb="14">
      <t>ジョナサン</t>
    </rPh>
    <phoneticPr fontId="1"/>
  </si>
  <si>
    <t>Lolita</t>
    <rPh sb="0" eb="6">
      <t>ロリータ</t>
    </rPh>
    <phoneticPr fontId="1"/>
  </si>
  <si>
    <t>Gumby's Circus</t>
    <rPh sb="0" eb="5">
      <t>ガンビー</t>
    </rPh>
    <rPh sb="5" eb="7">
      <t>ズ</t>
    </rPh>
    <rPh sb="8" eb="14">
      <t>サーカス</t>
    </rPh>
    <phoneticPr fontId="1"/>
  </si>
  <si>
    <t>Gumby's Colors</t>
    <rPh sb="0" eb="5">
      <t>ガンビー</t>
    </rPh>
    <rPh sb="5" eb="7">
      <t>ズ</t>
    </rPh>
    <rPh sb="8" eb="13">
      <t>カラー</t>
    </rPh>
    <rPh sb="13" eb="14">
      <t>ズ</t>
    </rPh>
    <phoneticPr fontId="1"/>
  </si>
  <si>
    <t>Bamboo Comics</t>
    <rPh sb="0" eb="6">
      <t>バンブー</t>
    </rPh>
    <rPh sb="7" eb="13">
      <t>コミックス</t>
    </rPh>
    <phoneticPr fontId="1"/>
  </si>
  <si>
    <t>XTC/Chalkhills and Children</t>
    <rPh sb="4" eb="9">
      <t>チョーク</t>
    </rPh>
    <rPh sb="9" eb="13">
      <t>ヒル</t>
    </rPh>
    <rPh sb="13" eb="14">
      <t>ズ</t>
    </rPh>
    <rPh sb="15" eb="18">
      <t>アンド</t>
    </rPh>
    <rPh sb="19" eb="27">
      <t>チルドレン</t>
    </rPh>
    <phoneticPr fontId="1"/>
  </si>
  <si>
    <t>Action Comics</t>
    <rPh sb="0" eb="6">
      <t>アクション</t>
    </rPh>
    <rPh sb="7" eb="12">
      <t>コミック</t>
    </rPh>
    <rPh sb="12" eb="13">
      <t>ス</t>
    </rPh>
    <phoneticPr fontId="1"/>
  </si>
  <si>
    <t>Rousseau,Henri/Dufy,Raoul</t>
    <rPh sb="0" eb="8">
      <t>ルソー</t>
    </rPh>
    <rPh sb="9" eb="14">
      <t>アンリ</t>
    </rPh>
    <rPh sb="15" eb="19">
      <t>デュフィ</t>
    </rPh>
    <rPh sb="20" eb="25">
      <t>ラウル</t>
    </rPh>
    <phoneticPr fontId="1"/>
  </si>
  <si>
    <t>Fuchs,Eduard</t>
    <rPh sb="0" eb="5">
      <t>フックス</t>
    </rPh>
    <rPh sb="6" eb="12">
      <t>エードゥアルト</t>
    </rPh>
    <phoneticPr fontId="1"/>
  </si>
  <si>
    <t>CASH BACK</t>
    <rPh sb="0" eb="9">
      <t>キャッシュ・バック</t>
    </rPh>
    <phoneticPr fontId="1"/>
  </si>
  <si>
    <t>Wunderlich,Paul</t>
    <rPh sb="0" eb="10">
      <t>ヴンダーリッヒ</t>
    </rPh>
    <rPh sb="11" eb="15">
      <t>パウル</t>
    </rPh>
    <phoneticPr fontId="1"/>
  </si>
  <si>
    <t>Moravia,Alberto</t>
    <rPh sb="0" eb="7">
      <t>モラヴィア</t>
    </rPh>
    <rPh sb="8" eb="15">
      <t>アルベルト</t>
    </rPh>
    <phoneticPr fontId="1"/>
  </si>
  <si>
    <t>Jean Genet/Essai sur Jean Genet/Poetes d'Aujourd'hui/P.Seghers</t>
    <rPh sb="0" eb="10">
      <t>ジャン　ジュネ</t>
    </rPh>
    <phoneticPr fontId="1"/>
  </si>
  <si>
    <t>Libro 2F</t>
    <rPh sb="0" eb="5">
      <t>リブロ</t>
    </rPh>
    <phoneticPr fontId="1"/>
  </si>
  <si>
    <t>Hitler</t>
    <rPh sb="0" eb="6">
      <t>ヒットラー</t>
    </rPh>
    <phoneticPr fontId="1"/>
  </si>
  <si>
    <t>Benesse</t>
    <rPh sb="0" eb="7">
      <t>ベネッセ</t>
    </rPh>
    <phoneticPr fontId="1"/>
  </si>
  <si>
    <t>Renaissance</t>
    <rPh sb="0" eb="11">
      <t>ルネサンス</t>
    </rPh>
    <phoneticPr fontId="1"/>
  </si>
  <si>
    <t>Gallery Guide Magazine</t>
    <rPh sb="0" eb="22">
      <t>ギャラリー・ガイド・マガジン</t>
    </rPh>
    <phoneticPr fontId="1"/>
  </si>
  <si>
    <t>Monthly Magazine of Art Information</t>
    <rPh sb="0" eb="35">
      <t>マンスリー　マガジン　オブ　アート　インフォメイション</t>
    </rPh>
    <phoneticPr fontId="1"/>
  </si>
  <si>
    <t>LP Book</t>
    <phoneticPr fontId="1"/>
  </si>
  <si>
    <t>Hans Bellmer</t>
    <rPh sb="0" eb="12">
      <t>ハンス・ベルメール</t>
    </rPh>
    <phoneticPr fontId="1"/>
  </si>
  <si>
    <t>Bellmer,Hans/Alexandrian,Sarane</t>
    <rPh sb="0" eb="7">
      <t>ベルメール</t>
    </rPh>
    <rPh sb="8" eb="12">
      <t>ハンス</t>
    </rPh>
    <rPh sb="13" eb="24">
      <t>アレクサンドリアン</t>
    </rPh>
    <rPh sb="25" eb="31">
      <t>サラーヌ</t>
    </rPh>
    <phoneticPr fontId="1"/>
  </si>
  <si>
    <t>BIGBOX 1F concourse</t>
    <phoneticPr fontId="1"/>
  </si>
  <si>
    <t>Kurtag,Gyorgy</t>
    <rPh sb="0" eb="6">
      <t>クルターク</t>
    </rPh>
    <rPh sb="7" eb="13">
      <t>ジョルジ</t>
    </rPh>
    <phoneticPr fontId="1"/>
  </si>
  <si>
    <t>1973/09/10</t>
    <phoneticPr fontId="1"/>
  </si>
  <si>
    <t>1978/02/10</t>
    <phoneticPr fontId="1"/>
  </si>
  <si>
    <t>1996/09/30</t>
    <phoneticPr fontId="1"/>
  </si>
  <si>
    <t>2001/10/20</t>
    <phoneticPr fontId="1"/>
  </si>
  <si>
    <t>1969, 1985/09, 1995/02</t>
    <phoneticPr fontId="1"/>
  </si>
  <si>
    <t>2001, 2005/05/30</t>
    <phoneticPr fontId="1"/>
  </si>
  <si>
    <t>1992/09</t>
    <phoneticPr fontId="1"/>
  </si>
  <si>
    <t>MONO BOOKS</t>
    <phoneticPr fontId="1"/>
  </si>
  <si>
    <t>1993, 2002</t>
    <phoneticPr fontId="1"/>
  </si>
  <si>
    <t>Robinson Crusoe</t>
    <rPh sb="0" eb="15">
      <t>ロビンソン・クルーソー</t>
    </rPh>
    <phoneticPr fontId="1"/>
  </si>
  <si>
    <t>Peck,M.Scott</t>
    <rPh sb="0" eb="4">
      <t>ペック</t>
    </rPh>
    <rPh sb="7" eb="12">
      <t>スコット</t>
    </rPh>
    <phoneticPr fontId="1"/>
  </si>
  <si>
    <t>Beethoven</t>
    <rPh sb="0" eb="9">
      <t>ベートーヴェン</t>
    </rPh>
    <phoneticPr fontId="1"/>
  </si>
  <si>
    <t>Burroughs,William S./Ginsberg,Allen</t>
    <rPh sb="0" eb="9">
      <t>バロウズ</t>
    </rPh>
    <rPh sb="10" eb="17">
      <t>ウィリアム</t>
    </rPh>
    <rPh sb="21" eb="29">
      <t>ギンズバーグ</t>
    </rPh>
    <rPh sb="30" eb="35">
      <t>アレン</t>
    </rPh>
    <phoneticPr fontId="1"/>
  </si>
  <si>
    <t>Nerval,Ge'rard de</t>
    <rPh sb="0" eb="6">
      <t>ネルヴァル</t>
    </rPh>
    <rPh sb="7" eb="14">
      <t>ジェラール</t>
    </rPh>
    <rPh sb="15" eb="17">
      <t>ドゥ</t>
    </rPh>
    <phoneticPr fontId="1"/>
  </si>
  <si>
    <t>studio Voice</t>
    <rPh sb="0" eb="6">
      <t>スタジオ</t>
    </rPh>
    <rPh sb="7" eb="12">
      <t>ヴォイス</t>
    </rPh>
    <phoneticPr fontId="1"/>
  </si>
  <si>
    <t>Quick Japan vol.31</t>
    <rPh sb="0" eb="5">
      <t>クイック</t>
    </rPh>
    <rPh sb="6" eb="11">
      <t>ジャパン</t>
    </rPh>
    <phoneticPr fontId="1"/>
  </si>
  <si>
    <t>James,Henry</t>
    <rPh sb="0" eb="5">
      <t>ジェイムズ</t>
    </rPh>
    <rPh sb="6" eb="11">
      <t>ヘンリー</t>
    </rPh>
    <phoneticPr fontId="1"/>
  </si>
  <si>
    <t>Shepard,Sam</t>
    <rPh sb="0" eb="7">
      <t>シェパード</t>
    </rPh>
    <rPh sb="8" eb="11">
      <t>サム</t>
    </rPh>
    <phoneticPr fontId="1"/>
  </si>
  <si>
    <t>Jung,Carl Gustav</t>
    <rPh sb="0" eb="4">
      <t>ユング</t>
    </rPh>
    <rPh sb="5" eb="9">
      <t>カール</t>
    </rPh>
    <rPh sb="10" eb="16">
      <t>グスタフ</t>
    </rPh>
    <phoneticPr fontId="1"/>
  </si>
  <si>
    <t>Adams,Douglas</t>
    <rPh sb="0" eb="5">
      <t>アダムス</t>
    </rPh>
    <rPh sb="6" eb="13">
      <t>ダグラス</t>
    </rPh>
    <phoneticPr fontId="1"/>
  </si>
  <si>
    <t>Dadaism</t>
    <rPh sb="0" eb="7">
      <t>ダダイズム</t>
    </rPh>
    <phoneticPr fontId="1"/>
  </si>
  <si>
    <t>Jeu de Paume</t>
    <rPh sb="0" eb="12">
      <t>ジュウ・ドゥ・ポゥム</t>
    </rPh>
    <phoneticPr fontId="1"/>
  </si>
  <si>
    <t>memo_date</t>
    <phoneticPr fontId="1"/>
  </si>
  <si>
    <t>* / 2007/10/31</t>
    <phoneticPr fontId="1"/>
  </si>
  <si>
    <t>Catalogue/ 1993/09/30~1993/12/12</t>
    <rPh sb="0" eb="9">
      <t>カタログ</t>
    </rPh>
    <phoneticPr fontId="1"/>
  </si>
  <si>
    <t>Country &amp; Western Best 100</t>
    <rPh sb="0" eb="22">
      <t>カントリー　＆　ウエスタン・ベスト</t>
    </rPh>
    <phoneticPr fontId="1"/>
  </si>
  <si>
    <t>Complete to Aja</t>
    <rPh sb="0" eb="8">
      <t>コンプリート　</t>
    </rPh>
    <rPh sb="9" eb="11">
      <t>トゥ</t>
    </rPh>
    <rPh sb="12" eb="15">
      <t>エイジャ</t>
    </rPh>
    <phoneticPr fontId="1"/>
  </si>
  <si>
    <t>Kaplan,Dr. Eugene H.</t>
    <rPh sb="0" eb="6">
      <t>カプラン</t>
    </rPh>
    <rPh sb="11" eb="17">
      <t>ユージン</t>
    </rPh>
    <phoneticPr fontId="1"/>
  </si>
  <si>
    <t>Hawthorne,Nathaniel</t>
    <rPh sb="0" eb="9">
      <t>ホーソーン</t>
    </rPh>
    <rPh sb="10" eb="19">
      <t>ナサニエル</t>
    </rPh>
    <phoneticPr fontId="1"/>
  </si>
  <si>
    <t>acryl</t>
    <rPh sb="0" eb="5">
      <t>アクリル</t>
    </rPh>
    <phoneticPr fontId="1"/>
  </si>
  <si>
    <t>CORONA BOOKS</t>
    <rPh sb="0" eb="12">
      <t>コロナ・ブックス</t>
    </rPh>
    <phoneticPr fontId="1"/>
  </si>
  <si>
    <t>4-04-651305-5</t>
    <phoneticPr fontId="1"/>
  </si>
  <si>
    <t>4-378-04115-4</t>
    <phoneticPr fontId="1"/>
  </si>
  <si>
    <t>Barto'k,Be'la</t>
    <rPh sb="0" eb="7">
      <t>バルトーク</t>
    </rPh>
    <rPh sb="8" eb="13">
      <t>ベラ</t>
    </rPh>
    <phoneticPr fontId="1"/>
  </si>
  <si>
    <t>Milk Land Story/Japanese &amp; English</t>
    <rPh sb="0" eb="15">
      <t>ミルク　ランド　ストーリー</t>
    </rPh>
    <rPh sb="16" eb="24">
      <t>ジャパニーズ</t>
    </rPh>
    <rPh sb="27" eb="34">
      <t>イングリッシュ</t>
    </rPh>
    <phoneticPr fontId="1"/>
  </si>
  <si>
    <t>Bauhaus Mook</t>
    <rPh sb="0" eb="12">
      <t>バウハウス　ムック</t>
    </rPh>
    <phoneticPr fontId="1"/>
  </si>
  <si>
    <t>Bizarre Magazine</t>
    <rPh sb="0" eb="7">
      <t>ビザール</t>
    </rPh>
    <rPh sb="8" eb="16">
      <t>マガジン</t>
    </rPh>
    <phoneticPr fontId="1"/>
  </si>
  <si>
    <t>George Bataille</t>
    <rPh sb="0" eb="6">
      <t>ジョルジュ</t>
    </rPh>
    <rPh sb="7" eb="15">
      <t>バタイユ</t>
    </rPh>
    <phoneticPr fontId="1"/>
  </si>
  <si>
    <t>Time Out/London/The Arts and Entertainment Weekly</t>
    <rPh sb="9" eb="15">
      <t>ロンドン</t>
    </rPh>
    <phoneticPr fontId="1"/>
  </si>
  <si>
    <t>NAKANIKA</t>
    <rPh sb="0" eb="8">
      <t>ナカニカ</t>
    </rPh>
    <phoneticPr fontId="1"/>
  </si>
  <si>
    <t>EYEMASK N0.29</t>
    <rPh sb="0" eb="7">
      <t>アイマスク</t>
    </rPh>
    <phoneticPr fontId="1"/>
  </si>
  <si>
    <t>Bizet,Georges</t>
    <rPh sb="0" eb="5">
      <t>ビゼー</t>
    </rPh>
    <rPh sb="6" eb="13">
      <t>ジョルジュ</t>
    </rPh>
    <phoneticPr fontId="1"/>
  </si>
  <si>
    <t>ADULT</t>
    <rPh sb="0" eb="5">
      <t>アダルト</t>
    </rPh>
    <phoneticPr fontId="1"/>
  </si>
  <si>
    <t>Cliché</t>
    <rPh sb="0" eb="6">
      <t>クリシェ</t>
    </rPh>
    <phoneticPr fontId="1"/>
  </si>
  <si>
    <r>
      <t>Outsider Art</t>
    </r>
    <r>
      <rPr>
        <b/>
        <sz val="8"/>
        <color indexed="33"/>
        <rFont val="Consolas"/>
        <family val="3"/>
      </rPr>
      <t xml:space="preserve"> from the Outsider Archive,London</t>
    </r>
    <rPh sb="0" eb="12">
      <t>アウトサイダー　アート</t>
    </rPh>
    <phoneticPr fontId="1"/>
  </si>
  <si>
    <r>
      <t>Outsider Art II</t>
    </r>
    <r>
      <rPr>
        <b/>
        <sz val="8"/>
        <color indexed="33"/>
        <rFont val="Consolas"/>
        <family val="3"/>
      </rPr>
      <t xml:space="preserve"> Visionary Environments</t>
    </r>
    <rPh sb="0" eb="12">
      <t>アウトサイダー　アート</t>
    </rPh>
    <phoneticPr fontId="1"/>
  </si>
  <si>
    <r>
      <t>africa remix</t>
    </r>
    <r>
      <rPr>
        <sz val="11"/>
        <rFont val="Consolas"/>
        <family val="3"/>
      </rPr>
      <t>/</t>
    </r>
    <r>
      <rPr>
        <sz val="8"/>
        <rFont val="Consolas"/>
        <family val="3"/>
      </rPr>
      <t>contemporary art of a continent</t>
    </r>
    <rPh sb="0" eb="6">
      <t>アフリカ</t>
    </rPh>
    <rPh sb="7" eb="12">
      <t>リミックス</t>
    </rPh>
    <phoneticPr fontId="1"/>
  </si>
  <si>
    <r>
      <t>Freak Out</t>
    </r>
    <r>
      <rPr>
        <sz val="8"/>
        <rFont val="Consolas"/>
        <family val="3"/>
      </rPr>
      <t>/The Art Magazine for the New Edge/Heavy Crazy Boys and Girls Only</t>
    </r>
    <rPh sb="0" eb="5">
      <t>フリーク</t>
    </rPh>
    <rPh sb="6" eb="9">
      <t>アウト</t>
    </rPh>
    <rPh sb="10" eb="43">
      <t>ジ　アート　マガジン　フォー　ザ　ニュー　エッヂ</t>
    </rPh>
    <rPh sb="44" eb="49">
      <t>ヘヴィ</t>
    </rPh>
    <rPh sb="50" eb="55">
      <t>クレイジー</t>
    </rPh>
    <rPh sb="56" eb="60">
      <t>ボーイズ</t>
    </rPh>
    <rPh sb="61" eb="64">
      <t>アンド</t>
    </rPh>
    <rPh sb="65" eb="70">
      <t>ガールズ</t>
    </rPh>
    <rPh sb="71" eb="75">
      <t>オンリー</t>
    </rPh>
    <phoneticPr fontId="1"/>
  </si>
  <si>
    <r>
      <t>France</t>
    </r>
    <r>
      <rPr>
        <sz val="6"/>
        <rFont val="Consolas"/>
        <family val="3"/>
      </rPr>
      <t xml:space="preserve"> Monaco</t>
    </r>
    <rPh sb="0" eb="6">
      <t>フランス</t>
    </rPh>
    <rPh sb="7" eb="13">
      <t>モナコ</t>
    </rPh>
    <phoneticPr fontId="1"/>
  </si>
  <si>
    <r>
      <t>Genet,Jean</t>
    </r>
    <r>
      <rPr>
        <sz val="11"/>
        <rFont val="Consolas"/>
        <family val="3"/>
      </rPr>
      <t>/Magnan,Jean-Marie</t>
    </r>
    <rPh sb="0" eb="5">
      <t>ジュネ</t>
    </rPh>
    <rPh sb="6" eb="10">
      <t>ジャン</t>
    </rPh>
    <rPh sb="11" eb="17">
      <t>マニヤン</t>
    </rPh>
    <rPh sb="18" eb="22">
      <t>ジャン</t>
    </rPh>
    <rPh sb="22" eb="23">
      <t>=</t>
    </rPh>
    <rPh sb="23" eb="28">
      <t>マリー</t>
    </rPh>
    <phoneticPr fontId="1"/>
  </si>
  <si>
    <r>
      <t xml:space="preserve">How to play the </t>
    </r>
    <r>
      <rPr>
        <sz val="11"/>
        <rFont val="Consolas"/>
        <family val="3"/>
      </rPr>
      <t>Banjo</t>
    </r>
    <rPh sb="0" eb="6">
      <t>ハウツー</t>
    </rPh>
    <rPh sb="7" eb="11">
      <t>プレイ</t>
    </rPh>
    <rPh sb="12" eb="15">
      <t>ザ</t>
    </rPh>
    <rPh sb="16" eb="21">
      <t>バンジョー</t>
    </rPh>
    <phoneticPr fontId="1"/>
  </si>
  <si>
    <r>
      <t xml:space="preserve">How to play the </t>
    </r>
    <r>
      <rPr>
        <sz val="11"/>
        <rFont val="Consolas"/>
        <family val="3"/>
      </rPr>
      <t>Mandolin</t>
    </r>
    <rPh sb="0" eb="6">
      <t>ハウツー</t>
    </rPh>
    <rPh sb="7" eb="11">
      <t>プレイ</t>
    </rPh>
    <rPh sb="12" eb="15">
      <t>ザ</t>
    </rPh>
    <rPh sb="16" eb="24">
      <t>マンドリン</t>
    </rPh>
    <phoneticPr fontId="1"/>
  </si>
  <si>
    <t>book</t>
    <phoneticPr fontId="1"/>
  </si>
  <si>
    <t>japan</t>
    <phoneticPr fontId="1"/>
  </si>
  <si>
    <t>comic</t>
    <phoneticPr fontId="1"/>
  </si>
  <si>
    <t>cook</t>
    <phoneticPr fontId="1"/>
  </si>
  <si>
    <t>computer</t>
    <phoneticPr fontId="1"/>
  </si>
  <si>
    <t>Top</t>
    <phoneticPr fontId="1"/>
  </si>
  <si>
    <t>Bottom</t>
    <phoneticPr fontId="1"/>
  </si>
  <si>
    <t>Italy</t>
    <phoneticPr fontId="1"/>
  </si>
  <si>
    <t>psychology/subculture</t>
  </si>
  <si>
    <t>*</t>
    <phoneticPr fontId="1"/>
  </si>
  <si>
    <t>book</t>
    <phoneticPr fontId="1"/>
  </si>
  <si>
    <t>subculture</t>
    <phoneticPr fontId="1"/>
  </si>
  <si>
    <t>foreign</t>
    <phoneticPr fontId="1"/>
  </si>
  <si>
    <t>1993, 1994</t>
    <phoneticPr fontId="1"/>
  </si>
  <si>
    <t>2001</t>
    <phoneticPr fontId="1"/>
  </si>
  <si>
    <t>a Little Golden Book</t>
    <phoneticPr fontId="1"/>
  </si>
  <si>
    <t>$1.29*3</t>
    <phoneticPr fontId="1"/>
  </si>
  <si>
    <t>4-924710-50-4</t>
    <phoneticPr fontId="1"/>
  </si>
  <si>
    <t>C8771</t>
    <phoneticPr fontId="1"/>
  </si>
  <si>
    <t>japan</t>
    <phoneticPr fontId="1"/>
  </si>
  <si>
    <t>2004/06</t>
    <phoneticPr fontId="1"/>
  </si>
  <si>
    <t>4-569-68283-9</t>
    <phoneticPr fontId="1"/>
  </si>
  <si>
    <t>2001/04/25</t>
    <phoneticPr fontId="1"/>
  </si>
  <si>
    <t>PHP</t>
    <phoneticPr fontId="1"/>
  </si>
  <si>
    <t>4-569-68284-7</t>
    <phoneticPr fontId="1"/>
  </si>
  <si>
    <t>1994/06/01</t>
    <phoneticPr fontId="1"/>
  </si>
  <si>
    <t>Coloring Book</t>
    <phoneticPr fontId="1"/>
  </si>
  <si>
    <t>1991/06</t>
    <phoneticPr fontId="1"/>
  </si>
  <si>
    <t>1983/06/01</t>
    <phoneticPr fontId="1"/>
  </si>
  <si>
    <t>2003/02_59</t>
    <phoneticPr fontId="1"/>
  </si>
  <si>
    <t>1995/10</t>
    <phoneticPr fontId="1"/>
  </si>
  <si>
    <t>www.bamkero.com</t>
    <phoneticPr fontId="1"/>
  </si>
  <si>
    <t>1981</t>
    <phoneticPr fontId="1"/>
  </si>
  <si>
    <t>Random House</t>
    <phoneticPr fontId="1"/>
  </si>
  <si>
    <t>1970, 1972</t>
    <phoneticPr fontId="1"/>
  </si>
  <si>
    <t>1979, 1980</t>
    <phoneticPr fontId="1"/>
  </si>
  <si>
    <t>BFC</t>
    <phoneticPr fontId="1"/>
  </si>
  <si>
    <t>0</t>
    <phoneticPr fontId="1"/>
  </si>
  <si>
    <t>8771-701001-3068</t>
    <phoneticPr fontId="1"/>
  </si>
  <si>
    <t xml:space="preserve">2004/11/       </t>
    <phoneticPr fontId="1"/>
  </si>
  <si>
    <t>4-8288-5513-0</t>
    <phoneticPr fontId="1"/>
  </si>
  <si>
    <t>C8776</t>
    <phoneticPr fontId="1"/>
  </si>
  <si>
    <t>4-8288-5531-9</t>
    <phoneticPr fontId="1"/>
  </si>
  <si>
    <t>4-06-274654-9</t>
    <phoneticPr fontId="1"/>
  </si>
  <si>
    <t>4-564-24131-1</t>
    <phoneticPr fontId="1"/>
  </si>
  <si>
    <t>1999</t>
    <phoneticPr fontId="1"/>
  </si>
  <si>
    <t>1998</t>
    <phoneticPr fontId="1"/>
  </si>
  <si>
    <t>2000/07/20 Thu,fes</t>
    <phoneticPr fontId="1"/>
  </si>
  <si>
    <t>1993</t>
    <phoneticPr fontId="1"/>
  </si>
  <si>
    <t>art</t>
    <phoneticPr fontId="1"/>
  </si>
  <si>
    <t>1999/12/23 Thu,fes</t>
    <phoneticPr fontId="1"/>
  </si>
  <si>
    <t>Harman,Holly</t>
    <phoneticPr fontId="1"/>
  </si>
  <si>
    <t>Bendable Gumby pops out!</t>
    <phoneticPr fontId="1"/>
  </si>
  <si>
    <t>chronicle books</t>
    <phoneticPr fontId="1"/>
  </si>
  <si>
    <t>2000/11/23 Thu,fes</t>
    <phoneticPr fontId="1"/>
  </si>
  <si>
    <t>Pokey Counts</t>
    <phoneticPr fontId="1"/>
  </si>
  <si>
    <t>Bendable Pokey pops out!</t>
    <phoneticPr fontId="1"/>
  </si>
  <si>
    <t>1967</t>
    <phoneticPr fontId="1"/>
  </si>
  <si>
    <t>1966/11/15</t>
    <phoneticPr fontId="1"/>
  </si>
  <si>
    <t>1968/12/20</t>
    <phoneticPr fontId="1"/>
  </si>
  <si>
    <t>1966/08/20</t>
    <phoneticPr fontId="1"/>
  </si>
  <si>
    <t>1968/09/25</t>
    <phoneticPr fontId="1"/>
  </si>
  <si>
    <t>3000</t>
    <phoneticPr fontId="1"/>
  </si>
  <si>
    <t>4-87110-010-3</t>
    <phoneticPr fontId="1"/>
  </si>
  <si>
    <t>C8793</t>
    <phoneticPr fontId="1"/>
  </si>
  <si>
    <t>2008/03/</t>
    <phoneticPr fontId="1"/>
  </si>
  <si>
    <t>4-7721-0060-1</t>
    <phoneticPr fontId="1"/>
  </si>
  <si>
    <t>1978</t>
    <phoneticPr fontId="1"/>
  </si>
  <si>
    <t>4-906195-11-3</t>
    <phoneticPr fontId="1"/>
  </si>
  <si>
    <t>1988</t>
    <phoneticPr fontId="1"/>
  </si>
  <si>
    <t>4-8340-0782-0</t>
    <phoneticPr fontId="1"/>
  </si>
  <si>
    <t>C8795</t>
    <phoneticPr fontId="1"/>
  </si>
  <si>
    <t>4-265-91206-0</t>
    <phoneticPr fontId="1"/>
  </si>
  <si>
    <t>C8770</t>
    <phoneticPr fontId="1"/>
  </si>
  <si>
    <t>4-522-18114-0</t>
    <phoneticPr fontId="1"/>
  </si>
  <si>
    <t>2007/03/</t>
    <phoneticPr fontId="1"/>
  </si>
  <si>
    <t>4-03-217010-X</t>
    <phoneticPr fontId="1"/>
  </si>
  <si>
    <t>1976</t>
    <phoneticPr fontId="1"/>
  </si>
  <si>
    <t>4-03-217080-0</t>
    <phoneticPr fontId="1"/>
  </si>
  <si>
    <t>1980</t>
    <phoneticPr fontId="1"/>
  </si>
  <si>
    <t>4-323-00107-X</t>
    <phoneticPr fontId="1"/>
  </si>
  <si>
    <t>4-251-00207-5</t>
    <phoneticPr fontId="1"/>
  </si>
  <si>
    <t>C8337</t>
    <phoneticPr fontId="1"/>
  </si>
  <si>
    <t>4-03-128020-4</t>
    <phoneticPr fontId="1"/>
  </si>
  <si>
    <t>2009/03/</t>
    <phoneticPr fontId="1"/>
  </si>
  <si>
    <t>C8076</t>
    <phoneticPr fontId="1"/>
  </si>
  <si>
    <t>1972</t>
    <phoneticPr fontId="1"/>
  </si>
  <si>
    <t>1971</t>
    <phoneticPr fontId="1"/>
  </si>
  <si>
    <t>1970</t>
    <phoneticPr fontId="1"/>
  </si>
  <si>
    <t>1869/1968</t>
    <phoneticPr fontId="1"/>
  </si>
  <si>
    <t>1882/1968</t>
    <phoneticPr fontId="1"/>
  </si>
  <si>
    <t>1802/1968</t>
    <phoneticPr fontId="1"/>
  </si>
  <si>
    <t>1966</t>
    <phoneticPr fontId="1"/>
  </si>
  <si>
    <t>8393-040101-1406</t>
    <phoneticPr fontId="1"/>
  </si>
  <si>
    <t>1974</t>
    <phoneticPr fontId="1"/>
  </si>
  <si>
    <t>1886/1970</t>
    <phoneticPr fontId="1"/>
  </si>
  <si>
    <t>8397-007031-1406</t>
    <phoneticPr fontId="1"/>
  </si>
  <si>
    <t>8393-012181-1406</t>
    <phoneticPr fontId="1"/>
  </si>
  <si>
    <t>1973/07/</t>
    <phoneticPr fontId="1"/>
  </si>
  <si>
    <t>2004</t>
    <phoneticPr fontId="1"/>
  </si>
  <si>
    <t>14</t>
    <phoneticPr fontId="1"/>
  </si>
  <si>
    <t>2002</t>
    <phoneticPr fontId="1"/>
  </si>
  <si>
    <t>28</t>
    <phoneticPr fontId="1"/>
  </si>
  <si>
    <t>1985</t>
    <phoneticPr fontId="1"/>
  </si>
  <si>
    <t>1969</t>
    <phoneticPr fontId="1"/>
  </si>
  <si>
    <t>1977</t>
    <phoneticPr fontId="1"/>
  </si>
  <si>
    <t>cd-rom</t>
    <phoneticPr fontId="1"/>
  </si>
  <si>
    <t>1973</t>
    <phoneticPr fontId="1"/>
  </si>
  <si>
    <t>china</t>
    <phoneticPr fontId="1"/>
  </si>
  <si>
    <t>4-8347-6316-1</t>
    <phoneticPr fontId="1"/>
  </si>
  <si>
    <t>2003/08/10</t>
    <phoneticPr fontId="1"/>
  </si>
  <si>
    <t>6330-199643-2253</t>
    <phoneticPr fontId="1"/>
  </si>
  <si>
    <t>1959</t>
    <phoneticPr fontId="1"/>
  </si>
  <si>
    <t>subculture/art</t>
    <phoneticPr fontId="1"/>
  </si>
  <si>
    <t>direction artistique</t>
    <phoneticPr fontId="1"/>
  </si>
  <si>
    <t>2001/06~2002/06</t>
    <phoneticPr fontId="1"/>
  </si>
  <si>
    <t>2002/09/13~25</t>
    <phoneticPr fontId="1"/>
  </si>
  <si>
    <t>Prezentacje postaw two'rczych pedagogo'w i studento'w</t>
    <phoneticPr fontId="1"/>
  </si>
  <si>
    <t>Wydzial'u Edukacji Artystycznej / Akademii Sztuk Pie,knych</t>
    <phoneticPr fontId="1"/>
  </si>
  <si>
    <t>w Poznaniu</t>
    <phoneticPr fontId="1"/>
  </si>
  <si>
    <t>mys'la, - sl'owem - forma, - obrazem</t>
    <phoneticPr fontId="1"/>
  </si>
  <si>
    <t>Akademia Sztuk Ple,knych / w Poznaniu</t>
    <phoneticPr fontId="1"/>
  </si>
  <si>
    <t>Wydzial' Edukacji Artystycznej</t>
    <phoneticPr fontId="1"/>
  </si>
  <si>
    <t>Poznan', Stary Browar / 10-17 paz'dziernika 2004</t>
    <phoneticPr fontId="1"/>
  </si>
  <si>
    <t>MMAC</t>
    <phoneticPr fontId="1"/>
  </si>
  <si>
    <t>10th Anniversary</t>
    <phoneticPr fontId="1"/>
  </si>
  <si>
    <t>2000/10/30</t>
    <phoneticPr fontId="1"/>
  </si>
  <si>
    <t>2003/11/03</t>
    <phoneticPr fontId="1"/>
  </si>
  <si>
    <t>4-906683-01-0</t>
    <phoneticPr fontId="1"/>
  </si>
  <si>
    <t>C0471</t>
    <phoneticPr fontId="1"/>
  </si>
  <si>
    <t>France-Japon E'change d'Art Contemporain/Projet commun Ville de Paris_Ville de Kyoto</t>
    <phoneticPr fontId="1"/>
  </si>
  <si>
    <t>various</t>
    <phoneticPr fontId="1"/>
  </si>
  <si>
    <t>16th Lantern of the East International Art Festival 2007 Yerevan Armenia</t>
    <phoneticPr fontId="1"/>
  </si>
  <si>
    <t>2007/09/21 Fri ~ 2007/10/20 Sat</t>
    <phoneticPr fontId="1"/>
  </si>
  <si>
    <t>2007/</t>
    <phoneticPr fontId="1"/>
  </si>
  <si>
    <t>15th Lantern of the East International Art Festival 2006 Los Angeles</t>
    <phoneticPr fontId="1"/>
  </si>
  <si>
    <t>2006/09/23 Sat~1 month</t>
    <phoneticPr fontId="1"/>
  </si>
  <si>
    <t>2006/</t>
    <phoneticPr fontId="1"/>
  </si>
  <si>
    <t>The 16th Pyeongtaek International Arts Festival/Lantern of the East</t>
    <phoneticPr fontId="1"/>
  </si>
  <si>
    <t>2006/08/19 Sat ~ 2006/09/10 Sun</t>
    <phoneticPr fontId="1"/>
  </si>
  <si>
    <t>The 14th Pyeongtaek International Arts Festival/Lantern of the East</t>
    <phoneticPr fontId="1"/>
  </si>
  <si>
    <t>2005/12/18 Sun ~ 2006/01/07 Sat</t>
    <phoneticPr fontId="1"/>
  </si>
  <si>
    <t>2005/12/18 Sun</t>
    <phoneticPr fontId="1"/>
  </si>
  <si>
    <t>2008/12/03 ~ 12/09</t>
    <phoneticPr fontId="1"/>
  </si>
  <si>
    <t>2008/12/</t>
    <phoneticPr fontId="1"/>
  </si>
  <si>
    <t>2008 Flame of Asia</t>
    <phoneticPr fontId="1"/>
  </si>
  <si>
    <t>2008/07/08 ~ 07/12</t>
    <phoneticPr fontId="1"/>
  </si>
  <si>
    <t>The Museum of Arts and Sciences,University of Santo Tomas,Manila,Philippines</t>
    <phoneticPr fontId="1"/>
  </si>
  <si>
    <t>2008/07/</t>
    <phoneticPr fontId="1"/>
  </si>
  <si>
    <t>2008/12/08 Mon ~ 12/14 Sun</t>
    <phoneticPr fontId="1"/>
  </si>
  <si>
    <t>2008 Busan international art fair / BIAF</t>
    <phoneticPr fontId="1"/>
  </si>
  <si>
    <t>2008/05/16 Fri ~ 05/22</t>
    <phoneticPr fontId="1"/>
  </si>
  <si>
    <t>2008/05/</t>
    <phoneticPr fontId="1"/>
  </si>
  <si>
    <t>Shin,Dong Sook</t>
    <phoneticPr fontId="1"/>
  </si>
  <si>
    <t>Shin,Dong Sook / 17th Anne' Europ'Art 2008 / Geneva Palexpo</t>
    <phoneticPr fontId="1"/>
  </si>
  <si>
    <t>2008/04/30 ~ 2008/05/04</t>
    <phoneticPr fontId="1"/>
  </si>
  <si>
    <t>Gallery HO:represented</t>
    <phoneticPr fontId="1"/>
  </si>
  <si>
    <t>2008/05/01 Thu~</t>
    <phoneticPr fontId="1"/>
  </si>
  <si>
    <t>ARARIO GALLERY</t>
    <phoneticPr fontId="1"/>
  </si>
  <si>
    <t>Seoul Art Guide/Lee,Ji-hyun 2008/05/15 Thu ~ 06/12 Thu</t>
    <phoneticPr fontId="1"/>
  </si>
  <si>
    <t>vol.77</t>
    <phoneticPr fontId="1"/>
  </si>
  <si>
    <t>www.daljin.com</t>
    <phoneticPr fontId="1"/>
  </si>
  <si>
    <t>2008/02/18 Mon ~ 2008/02/23 Sat</t>
    <phoneticPr fontId="1"/>
  </si>
  <si>
    <t>Gallery Space Pause</t>
    <phoneticPr fontId="1"/>
  </si>
  <si>
    <t>2008/02/</t>
    <phoneticPr fontId="1"/>
  </si>
  <si>
    <t>commissioner</t>
    <phoneticPr fontId="1"/>
  </si>
  <si>
    <t>2005/10/05 Wed</t>
    <phoneticPr fontId="1"/>
  </si>
  <si>
    <t>2005/10/</t>
    <phoneticPr fontId="1"/>
  </si>
  <si>
    <t>Nature and I 2006</t>
    <phoneticPr fontId="1"/>
  </si>
  <si>
    <t>2006/11/</t>
    <phoneticPr fontId="1"/>
  </si>
  <si>
    <t>gallery HO, art center MAHNO</t>
    <phoneticPr fontId="1"/>
  </si>
  <si>
    <t>Nature and I</t>
    <phoneticPr fontId="1"/>
  </si>
  <si>
    <t>2005/09/</t>
    <phoneticPr fontId="1"/>
  </si>
  <si>
    <t xml:space="preserve">2007/07/      </t>
    <phoneticPr fontId="1"/>
  </si>
  <si>
    <t>89-86609-64-9</t>
    <phoneticPr fontId="1"/>
  </si>
  <si>
    <t>2005/08/06</t>
    <phoneticPr fontId="1"/>
  </si>
  <si>
    <t xml:space="preserve">2005/08/      </t>
    <phoneticPr fontId="1"/>
  </si>
  <si>
    <t>W13500*1.1</t>
    <phoneticPr fontId="1"/>
  </si>
  <si>
    <t>The Tibetan Buddhist Arts</t>
    <phoneticPr fontId="1"/>
  </si>
  <si>
    <t>http://www.tibetan-museum.org</t>
    <phoneticPr fontId="1"/>
  </si>
  <si>
    <t>2005 Korea Japan contemporary art festival in ULSAN</t>
    <phoneticPr fontId="1"/>
  </si>
  <si>
    <t>Boomerang</t>
    <phoneticPr fontId="1"/>
  </si>
  <si>
    <t>Transition 2005</t>
    <phoneticPr fontId="1"/>
  </si>
  <si>
    <t>Black Hole 2005</t>
    <phoneticPr fontId="1"/>
  </si>
  <si>
    <t>http://www.artboo.org</t>
    <phoneticPr fontId="1"/>
  </si>
  <si>
    <t>2006/08/15 Tue ~ 2006/08/20 Sun</t>
    <phoneticPr fontId="1"/>
  </si>
  <si>
    <t>public</t>
    <phoneticPr fontId="1"/>
  </si>
  <si>
    <t>IAFS</t>
    <phoneticPr fontId="1"/>
  </si>
  <si>
    <t>INTERNATIONAL ART FESTIVAL Sidney 2007</t>
    <phoneticPr fontId="1"/>
  </si>
  <si>
    <t>2007/11/01~15</t>
    <phoneticPr fontId="1"/>
  </si>
  <si>
    <t>2007/11/</t>
    <phoneticPr fontId="1"/>
  </si>
  <si>
    <t>IAF JAPAN</t>
    <phoneticPr fontId="1"/>
  </si>
  <si>
    <t>INTERNATIONAL ART FESTIVAL Japan</t>
    <phoneticPr fontId="1"/>
  </si>
  <si>
    <t>2005/08/11~16</t>
    <phoneticPr fontId="1"/>
  </si>
  <si>
    <t>2008/06/23 Mon ~ 2006/08/28 Sat</t>
    <phoneticPr fontId="1"/>
  </si>
  <si>
    <t>2008/06/23 Mon</t>
    <phoneticPr fontId="1"/>
  </si>
  <si>
    <t xml:space="preserve">2005/06/      </t>
    <phoneticPr fontId="1"/>
  </si>
  <si>
    <t xml:space="preserve">2004/10/      </t>
    <phoneticPr fontId="1"/>
  </si>
  <si>
    <t xml:space="preserve">2003/10/      </t>
    <phoneticPr fontId="1"/>
  </si>
  <si>
    <t>International Fusion Calender Exhibition 2005, Korea</t>
    <phoneticPr fontId="1"/>
  </si>
  <si>
    <t>Fusion art institute</t>
    <phoneticPr fontId="1"/>
  </si>
  <si>
    <t>Kim Hyeng Ki</t>
    <phoneticPr fontId="1"/>
  </si>
  <si>
    <t>Daegu culture and arts center</t>
    <phoneticPr fontId="1"/>
  </si>
  <si>
    <t>Park Jeom Young</t>
    <phoneticPr fontId="1"/>
  </si>
  <si>
    <t>gana art space</t>
    <phoneticPr fontId="1"/>
  </si>
  <si>
    <t>FROM NATURE/Mental Images</t>
    <phoneticPr fontId="1"/>
  </si>
  <si>
    <t>2002/07/24,2002/05/07</t>
    <phoneticPr fontId="1"/>
  </si>
  <si>
    <t>S.p.Sydney,Chosunilbo art museum</t>
    <phoneticPr fontId="1"/>
  </si>
  <si>
    <t>24.25 SEP 2005 TOKYO BIG SIGHT</t>
    <phoneticPr fontId="1"/>
  </si>
  <si>
    <t>2005/09/24 Sat</t>
    <phoneticPr fontId="1"/>
  </si>
  <si>
    <t>2005/06/18 Sat ~ 2005/06/22 Wed</t>
    <phoneticPr fontId="1"/>
  </si>
  <si>
    <t>Horizon of Korean Photography</t>
    <phoneticPr fontId="1"/>
  </si>
  <si>
    <t>November</t>
    <phoneticPr fontId="1"/>
  </si>
  <si>
    <t xml:space="preserve">2004/11/      </t>
    <phoneticPr fontId="1"/>
  </si>
  <si>
    <t>Kwak Duck-Jun 2001</t>
    <phoneticPr fontId="1"/>
  </si>
  <si>
    <t>2-7234-0326-2</t>
    <phoneticPr fontId="1"/>
  </si>
  <si>
    <t>Serre,Claude</t>
    <phoneticPr fontId="1"/>
  </si>
  <si>
    <t>La Bouffe</t>
    <phoneticPr fontId="1"/>
  </si>
  <si>
    <t>1982</t>
    <phoneticPr fontId="1"/>
  </si>
  <si>
    <t>Gle'nat</t>
    <phoneticPr fontId="1"/>
  </si>
  <si>
    <t>2-277-33006-X</t>
    <phoneticPr fontId="1"/>
  </si>
  <si>
    <t>Les Meilleurs Dessins de SERRE</t>
    <phoneticPr fontId="1"/>
  </si>
  <si>
    <t>1986</t>
    <phoneticPr fontId="1"/>
  </si>
  <si>
    <t>BD 6/cate'gorie 5</t>
    <phoneticPr fontId="1"/>
  </si>
  <si>
    <t>Gle'nat/J'ai Lu BD</t>
    <phoneticPr fontId="1"/>
  </si>
  <si>
    <t>2-277-33035-3</t>
    <phoneticPr fontId="1"/>
  </si>
  <si>
    <t>SERRE Humore Noir</t>
    <phoneticPr fontId="1"/>
  </si>
  <si>
    <t>1987</t>
    <phoneticPr fontId="1"/>
  </si>
  <si>
    <t>2-277-33086-8</t>
    <phoneticPr fontId="1"/>
  </si>
  <si>
    <t>SERRE a Tombeau Ouvert</t>
    <phoneticPr fontId="1"/>
  </si>
  <si>
    <t>1989</t>
    <phoneticPr fontId="1"/>
  </si>
  <si>
    <t>2-277-33212-7</t>
    <phoneticPr fontId="1"/>
  </si>
  <si>
    <t>SERRE Les Animaux de Compagnie</t>
    <phoneticPr fontId="1"/>
  </si>
  <si>
    <t>1991</t>
    <phoneticPr fontId="1"/>
  </si>
  <si>
    <t>BD HUMOUR 212</t>
    <phoneticPr fontId="1"/>
  </si>
  <si>
    <t>Arz,Claude,Marcel,Louis</t>
    <phoneticPr fontId="1"/>
  </si>
  <si>
    <t>La France Insolite</t>
    <phoneticPr fontId="1"/>
  </si>
  <si>
    <t>Hachette</t>
    <phoneticPr fontId="1"/>
  </si>
  <si>
    <t>Lamare,Patrice</t>
    <phoneticPr fontId="1"/>
  </si>
  <si>
    <t>Les Lolitas</t>
    <phoneticPr fontId="1"/>
  </si>
  <si>
    <t>La Musaidine</t>
    <phoneticPr fontId="1"/>
  </si>
  <si>
    <t>e28.97/f190</t>
    <phoneticPr fontId="1"/>
  </si>
  <si>
    <t>e10.95</t>
    <phoneticPr fontId="1"/>
  </si>
  <si>
    <t>Dali'/Salvador Dali'</t>
    <phoneticPr fontId="1"/>
  </si>
  <si>
    <t>1989, 1995</t>
    <phoneticPr fontId="1"/>
  </si>
  <si>
    <t>2-07-041372-1</t>
    <phoneticPr fontId="1"/>
  </si>
  <si>
    <t>Imaginaires</t>
    <phoneticPr fontId="1"/>
  </si>
  <si>
    <t>Biotheolobie</t>
    <phoneticPr fontId="1"/>
  </si>
  <si>
    <t>folio/Gallimard</t>
    <phoneticPr fontId="1"/>
  </si>
  <si>
    <t>2006/01/</t>
    <phoneticPr fontId="1"/>
  </si>
  <si>
    <t>the London Dungeon</t>
    <phoneticPr fontId="1"/>
  </si>
  <si>
    <t>Jones,Steve</t>
    <phoneticPr fontId="1"/>
  </si>
  <si>
    <t>London... The Sinister Side</t>
    <phoneticPr fontId="1"/>
  </si>
  <si>
    <t>A Wicked Publication</t>
    <phoneticPr fontId="1"/>
  </si>
  <si>
    <t>Wicked London</t>
    <phoneticPr fontId="1"/>
  </si>
  <si>
    <t>Through the Keyhole/Life, Love and Death Behind Locken Doors</t>
    <phoneticPr fontId="1"/>
  </si>
  <si>
    <t>Capital Punishments/Crime and Prison Conditions in Victorian times</t>
    <phoneticPr fontId="1"/>
  </si>
  <si>
    <t>1992</t>
    <phoneticPr fontId="1"/>
  </si>
  <si>
    <t>In Darkest London/Antisocial Behaviour 1900 - 1939</t>
    <phoneticPr fontId="1"/>
  </si>
  <si>
    <t>1994, 1999</t>
    <phoneticPr fontId="1"/>
  </si>
  <si>
    <t>When the Lights Went Down/Crime in Wartime London and Manchester</t>
    <phoneticPr fontId="1"/>
  </si>
  <si>
    <t>2000</t>
    <phoneticPr fontId="1"/>
  </si>
  <si>
    <t>Cumming,Valerie/Merriman,Nick/Ross,Catherine</t>
    <phoneticPr fontId="1"/>
  </si>
  <si>
    <t>SCALA</t>
    <phoneticPr fontId="1"/>
  </si>
  <si>
    <t>Italy</t>
    <phoneticPr fontId="1"/>
  </si>
  <si>
    <t>Orazio Petrosillo</t>
    <phoneticPr fontId="1"/>
  </si>
  <si>
    <t>Musei Vaticani</t>
    <phoneticPr fontId="1"/>
  </si>
  <si>
    <t>edizioni</t>
    <phoneticPr fontId="1"/>
  </si>
  <si>
    <t>Citta del Vaticano</t>
    <phoneticPr fontId="1"/>
  </si>
  <si>
    <t>1997</t>
    <phoneticPr fontId="1"/>
  </si>
  <si>
    <t>Tipografia Vaticana_2002</t>
    <phoneticPr fontId="1"/>
  </si>
  <si>
    <t>Vatican</t>
    <phoneticPr fontId="1"/>
  </si>
  <si>
    <t>Officina Grafica Bolognese s.n.c.</t>
    <phoneticPr fontId="1"/>
  </si>
  <si>
    <t>Lucca/Citta d'Arte</t>
    <phoneticPr fontId="1"/>
  </si>
  <si>
    <t>Pianta Monumentale della Citta</t>
    <phoneticPr fontId="1"/>
  </si>
  <si>
    <t>7.25 euro</t>
    <phoneticPr fontId="1"/>
  </si>
  <si>
    <t>Lucca,Italy</t>
    <phoneticPr fontId="1"/>
  </si>
  <si>
    <t>Grotta del Vento</t>
    <phoneticPr fontId="1"/>
  </si>
  <si>
    <t>Alla scoperta della Garfagnana</t>
    <phoneticPr fontId="1"/>
  </si>
  <si>
    <t>2003</t>
    <phoneticPr fontId="1"/>
  </si>
  <si>
    <t>Vittorio Verole-Bozzello/Guida turistica/38 itinerari tra le Alpi Apuane e l'Appennino Tosco-Emiliano</t>
    <phoneticPr fontId="1"/>
  </si>
  <si>
    <t>15 euro</t>
    <phoneticPr fontId="1"/>
  </si>
  <si>
    <t>Das Jeff Koons Hanbbuch</t>
    <phoneticPr fontId="1"/>
  </si>
  <si>
    <t>Schirmer Mosel</t>
    <phoneticPr fontId="1"/>
  </si>
  <si>
    <t>1-899235-83-5</t>
    <phoneticPr fontId="1"/>
  </si>
  <si>
    <t>subculture/ethnic/art</t>
    <phoneticPr fontId="1"/>
  </si>
  <si>
    <t>Sirish Rao/V.Geetha/Gita Wolf</t>
    <phoneticPr fontId="1"/>
  </si>
  <si>
    <t>AN IDEAL BOY Charts from India</t>
    <phoneticPr fontId="1"/>
  </si>
  <si>
    <t>dewi lewis publishing in association with tara publishing</t>
    <phoneticPr fontId="1"/>
  </si>
  <si>
    <t>Pan-Exotica</t>
    <phoneticPr fontId="1"/>
  </si>
  <si>
    <t>1996</t>
    <phoneticPr fontId="1"/>
  </si>
  <si>
    <t>1994</t>
    <phoneticPr fontId="1"/>
  </si>
  <si>
    <t>2005/03/</t>
    <phoneticPr fontId="1"/>
  </si>
  <si>
    <t>1000 Dessous/A History of Lingerie</t>
    <phoneticPr fontId="1"/>
  </si>
  <si>
    <t>Taschen</t>
    <phoneticPr fontId="1"/>
  </si>
  <si>
    <t>Deidi von Schaewen+John Maizels</t>
    <phoneticPr fontId="1"/>
  </si>
  <si>
    <t>Fantasy Worlds</t>
    <phoneticPr fontId="1"/>
  </si>
  <si>
    <t>Hundertwasser Architecture/for a More Human Architecture in Harmony with Natures</t>
    <phoneticPr fontId="1"/>
  </si>
  <si>
    <t>Burkhard Riemschneider+Uta Grosenick</t>
    <phoneticPr fontId="1"/>
  </si>
  <si>
    <t>Editors</t>
    <phoneticPr fontId="1"/>
  </si>
  <si>
    <t>Art at the Turn of the Millennium/L'Art au Tournant de L'An 2000</t>
    <phoneticPr fontId="1"/>
  </si>
  <si>
    <t>4-05-100424-4</t>
    <phoneticPr fontId="1"/>
  </si>
  <si>
    <t>C0371</t>
    <phoneticPr fontId="1"/>
  </si>
  <si>
    <t>model</t>
    <phoneticPr fontId="1"/>
  </si>
  <si>
    <t>Hiroko (1961-2001)</t>
    <phoneticPr fontId="1"/>
  </si>
  <si>
    <t xml:space="preserve">2005/         </t>
    <phoneticPr fontId="1"/>
  </si>
  <si>
    <t>1983</t>
    <phoneticPr fontId="1"/>
  </si>
  <si>
    <t>4-05-100426-0</t>
    <phoneticPr fontId="1"/>
  </si>
  <si>
    <t>1984</t>
    <phoneticPr fontId="1"/>
  </si>
  <si>
    <t>4-05-100427-9</t>
    <phoneticPr fontId="1"/>
  </si>
  <si>
    <t>1996/04/20~05/20</t>
    <phoneticPr fontId="1"/>
  </si>
  <si>
    <t>2008/</t>
    <phoneticPr fontId="1"/>
  </si>
  <si>
    <t>4-473-01301-4</t>
    <phoneticPr fontId="1"/>
  </si>
  <si>
    <t>C0071</t>
    <phoneticPr fontId="1"/>
  </si>
  <si>
    <t>4-7636-8538-4</t>
    <phoneticPr fontId="1"/>
  </si>
  <si>
    <t>&lt;ArT RANDOM&gt;</t>
    <phoneticPr fontId="1"/>
  </si>
  <si>
    <t>4-7636-8577-5</t>
    <phoneticPr fontId="1"/>
  </si>
  <si>
    <t>4-88783-297-4</t>
    <phoneticPr fontId="1"/>
  </si>
  <si>
    <t>2006/08</t>
    <phoneticPr fontId="1"/>
  </si>
  <si>
    <t>2007/07/25</t>
    <phoneticPr fontId="1"/>
  </si>
  <si>
    <t>4-88783-303-2</t>
    <phoneticPr fontId="1"/>
  </si>
  <si>
    <t>2006/10</t>
    <phoneticPr fontId="1"/>
  </si>
  <si>
    <t>4-309-72561-9</t>
    <phoneticPr fontId="1"/>
  </si>
  <si>
    <t>1997/02</t>
    <phoneticPr fontId="1"/>
  </si>
  <si>
    <t>4-309-76002-3</t>
    <phoneticPr fontId="1"/>
  </si>
  <si>
    <t>1997/03</t>
    <phoneticPr fontId="1"/>
  </si>
  <si>
    <t>4-10-602161-9</t>
    <phoneticPr fontId="1"/>
  </si>
  <si>
    <t>C0395</t>
    <phoneticPr fontId="1"/>
  </si>
  <si>
    <t>2007/09/20</t>
    <phoneticPr fontId="1"/>
  </si>
  <si>
    <t>2007/11/25</t>
    <phoneticPr fontId="1"/>
  </si>
  <si>
    <t>4-10-602162-6</t>
    <phoneticPr fontId="1"/>
  </si>
  <si>
    <t>2007/09</t>
    <phoneticPr fontId="1"/>
  </si>
  <si>
    <t>4-07-248674-0</t>
    <phoneticPr fontId="1"/>
  </si>
  <si>
    <t>C0077</t>
    <phoneticPr fontId="1"/>
  </si>
  <si>
    <t>2005/09/30</t>
    <phoneticPr fontId="1"/>
  </si>
  <si>
    <t>4-225-00399-3</t>
    <phoneticPr fontId="1"/>
  </si>
  <si>
    <t>C0095</t>
    <phoneticPr fontId="1"/>
  </si>
  <si>
    <t>1993/05/01 Sat ~ 30 Sun</t>
    <phoneticPr fontId="1"/>
  </si>
  <si>
    <t>france</t>
    <phoneticPr fontId="1"/>
  </si>
  <si>
    <t>2005/02/10 ~ 2005/04/17</t>
    <phoneticPr fontId="1"/>
  </si>
  <si>
    <t>Mori Art Museum</t>
    <phoneticPr fontId="1"/>
  </si>
  <si>
    <t>2006/05/27 Sat ~ 2006/08/31 Thu</t>
    <phoneticPr fontId="1"/>
  </si>
  <si>
    <t>essay</t>
    <phoneticPr fontId="1"/>
  </si>
  <si>
    <t>2006/07/04 Tue ~ 2006/08/27 Sun</t>
    <phoneticPr fontId="1"/>
  </si>
  <si>
    <t>2008/07/08 Tue ~ 2008/08/17 Sun</t>
    <phoneticPr fontId="1"/>
  </si>
  <si>
    <t>978-4-8356-1213-3</t>
    <phoneticPr fontId="1"/>
  </si>
  <si>
    <t>C9470</t>
    <phoneticPr fontId="1"/>
  </si>
  <si>
    <t>2008/08/10</t>
    <phoneticPr fontId="1"/>
  </si>
  <si>
    <t>2000/06/01 Thu ~ 2000/07/02 Sun</t>
    <phoneticPr fontId="1"/>
  </si>
  <si>
    <t>2001/10/02 Tue~2001/11/11 Sun</t>
    <phoneticPr fontId="1"/>
  </si>
  <si>
    <t>2001/11/03 Sat,fes</t>
    <phoneticPr fontId="1"/>
  </si>
  <si>
    <t>SMA</t>
    <phoneticPr fontId="1"/>
  </si>
  <si>
    <t>0-517-57440-3</t>
    <phoneticPr fontId="1"/>
  </si>
  <si>
    <t>Elliot,Inger McCabe</t>
    <phoneticPr fontId="1"/>
  </si>
  <si>
    <t>EXTERIORS</t>
    <phoneticPr fontId="1"/>
  </si>
  <si>
    <t>Potter</t>
    <phoneticPr fontId="1"/>
  </si>
  <si>
    <t>Ochs,Michael</t>
    <phoneticPr fontId="1"/>
  </si>
  <si>
    <t>1000 Record Covers</t>
    <phoneticPr fontId="1"/>
  </si>
  <si>
    <t>16</t>
    <phoneticPr fontId="1"/>
  </si>
  <si>
    <t>1996-97</t>
    <phoneticPr fontId="1"/>
  </si>
  <si>
    <t>13:978-3-7757-1794-6
10:3-7757-1794-3</t>
    <phoneticPr fontId="1"/>
  </si>
  <si>
    <t>HATJE CANTZ</t>
    <phoneticPr fontId="1"/>
  </si>
  <si>
    <t>4-8457-0139-1</t>
    <phoneticPr fontId="1"/>
  </si>
  <si>
    <t>C0072</t>
    <phoneticPr fontId="1"/>
  </si>
  <si>
    <t>2007/02/</t>
    <phoneticPr fontId="1"/>
  </si>
  <si>
    <t>4-309-71562-1</t>
    <phoneticPr fontId="1"/>
  </si>
  <si>
    <t>3-8228-7181-8</t>
    <phoneticPr fontId="1"/>
  </si>
  <si>
    <t>Uwe Ommer</t>
    <phoneticPr fontId="1"/>
  </si>
  <si>
    <t>Asian Ladies</t>
    <phoneticPr fontId="1"/>
  </si>
  <si>
    <t>4-10-300551-3</t>
    <phoneticPr fontId="1"/>
  </si>
  <si>
    <t>2000/08</t>
    <phoneticPr fontId="1"/>
  </si>
  <si>
    <t>Taschen new basic art series</t>
    <phoneticPr fontId="1"/>
  </si>
  <si>
    <t>2006/09/23 ~ 2007/01/04</t>
    <phoneticPr fontId="1"/>
  </si>
  <si>
    <t>2006/10/</t>
    <phoneticPr fontId="1"/>
  </si>
  <si>
    <t>2006/06/10 Sat ~ 2006/10/09 Mon</t>
    <phoneticPr fontId="1"/>
  </si>
  <si>
    <t>WATARI-UM</t>
    <phoneticPr fontId="1"/>
  </si>
  <si>
    <t>4-582-63414-1</t>
    <phoneticPr fontId="1"/>
  </si>
  <si>
    <t>art/subculture</t>
    <phoneticPr fontId="1"/>
  </si>
  <si>
    <t>2005</t>
    <phoneticPr fontId="1"/>
  </si>
  <si>
    <t>1983/03</t>
    <phoneticPr fontId="1"/>
  </si>
  <si>
    <t>1999/06</t>
    <phoneticPr fontId="1"/>
  </si>
  <si>
    <t>4-309-90588-9</t>
    <phoneticPr fontId="1"/>
  </si>
  <si>
    <t>2004/07/30</t>
    <phoneticPr fontId="1"/>
  </si>
  <si>
    <t>2005?</t>
    <phoneticPr fontId="1"/>
  </si>
  <si>
    <t>978-4-309-90773-4</t>
    <phoneticPr fontId="1"/>
  </si>
  <si>
    <t>2008/09/30</t>
    <phoneticPr fontId="1"/>
  </si>
  <si>
    <t>2008/10/</t>
    <phoneticPr fontId="1"/>
  </si>
  <si>
    <t>4-901460-34-7</t>
    <phoneticPr fontId="1"/>
  </si>
  <si>
    <t>2007/09/28</t>
    <phoneticPr fontId="1"/>
  </si>
  <si>
    <t>2007/12/</t>
    <phoneticPr fontId="1"/>
  </si>
  <si>
    <t>1998/03/01</t>
    <phoneticPr fontId="1"/>
  </si>
  <si>
    <t>1997/12/01</t>
    <phoneticPr fontId="1"/>
  </si>
  <si>
    <t>1998/11/01</t>
    <phoneticPr fontId="1"/>
  </si>
  <si>
    <t>1973,1978/02</t>
    <phoneticPr fontId="1"/>
  </si>
  <si>
    <t>Korinsha Press</t>
    <phoneticPr fontId="1"/>
  </si>
  <si>
    <t>1997.aki</t>
    <phoneticPr fontId="1"/>
  </si>
  <si>
    <t>nanba^14</t>
    <phoneticPr fontId="1"/>
  </si>
  <si>
    <t>1999.haru</t>
    <phoneticPr fontId="1"/>
  </si>
  <si>
    <t>nanba^20</t>
    <phoneticPr fontId="1"/>
  </si>
  <si>
    <t>1999.natu</t>
    <phoneticPr fontId="1"/>
  </si>
  <si>
    <t>nanba^21</t>
    <phoneticPr fontId="1"/>
  </si>
  <si>
    <t>1994/01</t>
    <phoneticPr fontId="1"/>
  </si>
  <si>
    <t>1994/04</t>
    <phoneticPr fontId="1"/>
  </si>
  <si>
    <t>1994/07</t>
    <phoneticPr fontId="1"/>
  </si>
  <si>
    <t>1994/10</t>
    <phoneticPr fontId="1"/>
  </si>
  <si>
    <t>1995/01</t>
    <phoneticPr fontId="1"/>
  </si>
  <si>
    <t>1995/04</t>
    <phoneticPr fontId="1"/>
  </si>
  <si>
    <t>1995/08</t>
    <phoneticPr fontId="1"/>
  </si>
  <si>
    <t>1995/12</t>
    <phoneticPr fontId="1"/>
  </si>
  <si>
    <t>1996/02</t>
    <phoneticPr fontId="1"/>
  </si>
  <si>
    <t>1996/04</t>
    <phoneticPr fontId="1"/>
  </si>
  <si>
    <t>1996/06</t>
    <phoneticPr fontId="1"/>
  </si>
  <si>
    <t>1996/12</t>
    <phoneticPr fontId="1"/>
  </si>
  <si>
    <t>1997/10</t>
    <phoneticPr fontId="1"/>
  </si>
  <si>
    <t>1997/12</t>
    <phoneticPr fontId="1"/>
  </si>
  <si>
    <t>4-88375-078-7</t>
    <phoneticPr fontId="1"/>
  </si>
  <si>
    <t>C0370</t>
    <phoneticPr fontId="1"/>
  </si>
  <si>
    <t>TH</t>
    <phoneticPr fontId="1"/>
  </si>
  <si>
    <t>2006/10/20</t>
    <phoneticPr fontId="1"/>
  </si>
  <si>
    <t>emmuree</t>
    <phoneticPr fontId="1"/>
  </si>
  <si>
    <t>Anges</t>
    <phoneticPr fontId="1"/>
  </si>
  <si>
    <t>H Art Chaos</t>
    <phoneticPr fontId="1"/>
  </si>
  <si>
    <t>1999/02</t>
    <phoneticPr fontId="1"/>
  </si>
  <si>
    <t>Photo,Text</t>
    <phoneticPr fontId="1"/>
  </si>
  <si>
    <t>Cristina Garcia Rodero</t>
    <phoneticPr fontId="1"/>
  </si>
  <si>
    <t>card</t>
    <phoneticPr fontId="1"/>
  </si>
  <si>
    <t>4-569-68642-7</t>
    <phoneticPr fontId="1"/>
  </si>
  <si>
    <t>C8539</t>
    <phoneticPr fontId="1"/>
  </si>
  <si>
    <t>ethnic</t>
    <phoneticPr fontId="1"/>
  </si>
  <si>
    <t>2006/12/04</t>
    <phoneticPr fontId="1"/>
  </si>
  <si>
    <t>4-413-00853-7</t>
    <phoneticPr fontId="1"/>
  </si>
  <si>
    <t>C0025</t>
    <phoneticPr fontId="1"/>
  </si>
  <si>
    <t>2006/12/</t>
    <phoneticPr fontId="1"/>
  </si>
  <si>
    <t>1992/10/20</t>
    <phoneticPr fontId="1"/>
  </si>
  <si>
    <t>4-8373-0111-8</t>
    <phoneticPr fontId="1"/>
  </si>
  <si>
    <t>C3071</t>
    <phoneticPr fontId="1"/>
  </si>
  <si>
    <t>4-88108-109-8</t>
    <phoneticPr fontId="1"/>
  </si>
  <si>
    <t>C2370</t>
    <phoneticPr fontId="1"/>
  </si>
  <si>
    <t xml:space="preserve">2005/09/      </t>
    <phoneticPr fontId="1"/>
  </si>
  <si>
    <t>4-7661-0983-X</t>
    <phoneticPr fontId="1"/>
  </si>
  <si>
    <t>C1371</t>
    <phoneticPr fontId="1"/>
  </si>
  <si>
    <t>4-7661-1845-X</t>
    <phoneticPr fontId="1"/>
  </si>
  <si>
    <t>C2371</t>
    <phoneticPr fontId="1"/>
  </si>
  <si>
    <t>4-8373-0359-5</t>
    <phoneticPr fontId="1"/>
  </si>
  <si>
    <t>4-8373-2000-7</t>
    <phoneticPr fontId="1"/>
  </si>
  <si>
    <t>C0176</t>
    <phoneticPr fontId="1"/>
  </si>
  <si>
    <t>2005/01/   Mon</t>
    <phoneticPr fontId="1"/>
  </si>
  <si>
    <t>4-7726-9510-7</t>
    <phoneticPr fontId="1"/>
  </si>
  <si>
    <t>C0045</t>
    <phoneticPr fontId="1"/>
  </si>
  <si>
    <t>4-416-70006-7</t>
    <phoneticPr fontId="1"/>
  </si>
  <si>
    <t>C0376</t>
    <phoneticPr fontId="1"/>
  </si>
  <si>
    <t>MPC</t>
    <phoneticPr fontId="1"/>
  </si>
  <si>
    <t>4-901881-480164</t>
    <phoneticPr fontId="1"/>
  </si>
  <si>
    <t>Talens Club</t>
    <phoneticPr fontId="1"/>
  </si>
  <si>
    <t>2006/02/</t>
    <phoneticPr fontId="1"/>
  </si>
  <si>
    <t>4-901881-464560</t>
    <phoneticPr fontId="1"/>
  </si>
  <si>
    <t>137 / 1973/11/11</t>
    <phoneticPr fontId="1"/>
  </si>
  <si>
    <t>138 / 1973/11/18</t>
    <phoneticPr fontId="1"/>
  </si>
  <si>
    <t>144 / 1973/12/30</t>
    <phoneticPr fontId="1"/>
  </si>
  <si>
    <t>1999/07</t>
    <phoneticPr fontId="1"/>
  </si>
  <si>
    <t>vol.36</t>
    <phoneticPr fontId="1"/>
  </si>
  <si>
    <t>4-582-63348-X</t>
    <phoneticPr fontId="1"/>
  </si>
  <si>
    <t>4-01-072422-6</t>
    <phoneticPr fontId="1"/>
  </si>
  <si>
    <t>4-01-072423-4</t>
    <phoneticPr fontId="1"/>
  </si>
  <si>
    <t>2000/09/14 Thu</t>
    <phoneticPr fontId="1"/>
  </si>
  <si>
    <t>4-01-072424-2</t>
    <phoneticPr fontId="1"/>
  </si>
  <si>
    <t>4-01-072425-0</t>
    <phoneticPr fontId="1"/>
  </si>
  <si>
    <t>2000/08/24 Thu</t>
    <phoneticPr fontId="1"/>
  </si>
  <si>
    <t>4-01-072426-9</t>
    <phoneticPr fontId="1"/>
  </si>
  <si>
    <t>Photo</t>
    <phoneticPr fontId="1"/>
  </si>
  <si>
    <t>978-4-522-42384-4</t>
    <phoneticPr fontId="1"/>
  </si>
  <si>
    <t>C8040</t>
    <phoneticPr fontId="1"/>
  </si>
  <si>
    <t>2007/06/10</t>
    <phoneticPr fontId="1"/>
  </si>
  <si>
    <t>2384</t>
    <phoneticPr fontId="1"/>
  </si>
  <si>
    <t>2007/07/</t>
    <phoneticPr fontId="1"/>
  </si>
  <si>
    <t>pamphlet</t>
    <phoneticPr fontId="1"/>
  </si>
  <si>
    <t>photo</t>
    <phoneticPr fontId="1"/>
  </si>
  <si>
    <t>2006/02/01</t>
    <phoneticPr fontId="1"/>
  </si>
  <si>
    <t>NDN Books</t>
    <phoneticPr fontId="1"/>
  </si>
  <si>
    <t>1969/03/20</t>
    <phoneticPr fontId="1"/>
  </si>
  <si>
    <t>ethnic/ancient</t>
    <phoneticPr fontId="1"/>
  </si>
  <si>
    <t>TIGRIS-EUPHRATES</t>
    <phoneticPr fontId="1"/>
  </si>
  <si>
    <t>1977~1978</t>
    <phoneticPr fontId="1"/>
  </si>
  <si>
    <t>1985/09/01</t>
    <phoneticPr fontId="1"/>
  </si>
  <si>
    <t>EXPO'70</t>
    <phoneticPr fontId="1"/>
  </si>
  <si>
    <t>cinema</t>
    <phoneticPr fontId="1"/>
  </si>
  <si>
    <t>Blatty,William Peter</t>
    <phoneticPr fontId="1"/>
  </si>
  <si>
    <t>'s</t>
    <phoneticPr fontId="1"/>
  </si>
  <si>
    <t>Friedkin,William</t>
    <phoneticPr fontId="1"/>
  </si>
  <si>
    <t>direct</t>
    <phoneticPr fontId="1"/>
  </si>
  <si>
    <t>Warner Bros.</t>
    <phoneticPr fontId="1"/>
  </si>
  <si>
    <t>A Warner Communications Campany</t>
    <phoneticPr fontId="1"/>
  </si>
  <si>
    <t>1977/</t>
    <phoneticPr fontId="1"/>
  </si>
  <si>
    <t>Guillermin,John</t>
    <phoneticPr fontId="1"/>
  </si>
  <si>
    <t>1978/</t>
    <phoneticPr fontId="1"/>
  </si>
  <si>
    <t>Lars and the Real Girl</t>
    <phoneticPr fontId="1"/>
  </si>
  <si>
    <t>1988/04</t>
    <phoneticPr fontId="1"/>
  </si>
  <si>
    <t>Cinema square Magazine No.57</t>
    <phoneticPr fontId="1"/>
  </si>
  <si>
    <t>other</t>
    <phoneticPr fontId="1"/>
  </si>
  <si>
    <t>DUNE</t>
    <phoneticPr fontId="1"/>
  </si>
  <si>
    <t>No.21/Spring Quarterly</t>
    <phoneticPr fontId="1"/>
  </si>
  <si>
    <t>2002/04/23</t>
    <phoneticPr fontId="1"/>
  </si>
  <si>
    <t>etc.4</t>
    <phoneticPr fontId="1"/>
  </si>
  <si>
    <t>1992/09</t>
    <phoneticPr fontId="1"/>
  </si>
  <si>
    <t>1993/12</t>
    <phoneticPr fontId="1"/>
  </si>
  <si>
    <t>1995/06</t>
    <phoneticPr fontId="1"/>
  </si>
  <si>
    <t>1998/05</t>
    <phoneticPr fontId="1"/>
  </si>
  <si>
    <t>2002/10</t>
    <phoneticPr fontId="1"/>
  </si>
  <si>
    <t>03305-11</t>
    <phoneticPr fontId="1"/>
  </si>
  <si>
    <t>2009/11</t>
    <phoneticPr fontId="1"/>
  </si>
  <si>
    <t>2000/09/26</t>
    <phoneticPr fontId="1"/>
  </si>
  <si>
    <t>2000/12/12</t>
    <phoneticPr fontId="1"/>
  </si>
  <si>
    <t>1992/04</t>
    <phoneticPr fontId="1"/>
  </si>
  <si>
    <t>vol.44/No.652</t>
    <phoneticPr fontId="1"/>
  </si>
  <si>
    <t>ass</t>
    <phoneticPr fontId="1"/>
  </si>
  <si>
    <t>1995~1996</t>
    <phoneticPr fontId="1"/>
  </si>
  <si>
    <t>1989/05</t>
    <phoneticPr fontId="1"/>
  </si>
  <si>
    <t>No.53/vol.2</t>
    <phoneticPr fontId="1"/>
  </si>
  <si>
    <t>psychology/subculture</t>
    <phoneticPr fontId="1"/>
  </si>
  <si>
    <t>1993/07</t>
    <phoneticPr fontId="1"/>
  </si>
  <si>
    <t>*</t>
    <phoneticPr fontId="1"/>
  </si>
  <si>
    <t>subculture</t>
    <phoneticPr fontId="1"/>
  </si>
  <si>
    <t>japan</t>
    <phoneticPr fontId="1"/>
  </si>
  <si>
    <t>1990/02</t>
    <phoneticPr fontId="1"/>
  </si>
  <si>
    <t>1990/05</t>
    <phoneticPr fontId="1"/>
  </si>
  <si>
    <t>26</t>
    <phoneticPr fontId="1"/>
  </si>
  <si>
    <t>1983/12</t>
    <phoneticPr fontId="1"/>
  </si>
  <si>
    <t>10</t>
    <phoneticPr fontId="1"/>
  </si>
  <si>
    <t>?</t>
    <phoneticPr fontId="1"/>
  </si>
  <si>
    <t>Neko Cinema Book</t>
    <phoneticPr fontId="1"/>
  </si>
  <si>
    <t>2001/03/30</t>
    <phoneticPr fontId="1"/>
  </si>
  <si>
    <t>Neko Publishing Co.,LTD.</t>
    <phoneticPr fontId="1"/>
  </si>
  <si>
    <t>1995/04</t>
    <phoneticPr fontId="1"/>
  </si>
  <si>
    <t>1999</t>
    <phoneticPr fontId="1"/>
  </si>
  <si>
    <t>1999/12/23 Thu,fes</t>
    <phoneticPr fontId="1"/>
  </si>
  <si>
    <t>978-4-86252-412-6</t>
    <phoneticPr fontId="1"/>
  </si>
  <si>
    <t>C9476</t>
    <phoneticPr fontId="1"/>
  </si>
  <si>
    <t>2008/07/06</t>
    <phoneticPr fontId="1"/>
  </si>
  <si>
    <t>2008/06/</t>
    <phoneticPr fontId="1"/>
  </si>
  <si>
    <t>978-4-86252-415-7</t>
    <phoneticPr fontId="1"/>
  </si>
  <si>
    <t>2008/07/16</t>
    <phoneticPr fontId="1"/>
  </si>
  <si>
    <t>1998</t>
    <phoneticPr fontId="1"/>
  </si>
  <si>
    <t>1997</t>
    <phoneticPr fontId="1"/>
  </si>
  <si>
    <t>Wanimagazine Mook series/126</t>
    <phoneticPr fontId="1"/>
  </si>
  <si>
    <t>No35</t>
    <phoneticPr fontId="1"/>
  </si>
  <si>
    <t>ULTRA for MEN</t>
    <phoneticPr fontId="1"/>
  </si>
  <si>
    <t>2004/05</t>
    <phoneticPr fontId="1"/>
  </si>
  <si>
    <t>No.10</t>
    <phoneticPr fontId="1"/>
  </si>
  <si>
    <t>Firenze,Italy</t>
    <phoneticPr fontId="1"/>
  </si>
  <si>
    <t>4-315-51789-5</t>
    <phoneticPr fontId="1"/>
  </si>
  <si>
    <t>C9443</t>
    <phoneticPr fontId="1"/>
  </si>
  <si>
    <t>2007/01/10</t>
    <phoneticPr fontId="1"/>
  </si>
  <si>
    <t>Newton Press</t>
    <phoneticPr fontId="1"/>
  </si>
  <si>
    <t>2007/09/01</t>
    <phoneticPr fontId="1"/>
  </si>
  <si>
    <t>Dictionary No.0046</t>
    <phoneticPr fontId="1"/>
  </si>
  <si>
    <t>4-10-603547-2</t>
    <phoneticPr fontId="1"/>
  </si>
  <si>
    <t>C0339</t>
    <phoneticPr fontId="1"/>
  </si>
  <si>
    <t>2005/03</t>
    <phoneticPr fontId="1"/>
  </si>
  <si>
    <t>4-10-603564-2</t>
    <phoneticPr fontId="1"/>
  </si>
  <si>
    <t>2006/05</t>
    <phoneticPr fontId="1"/>
  </si>
  <si>
    <t>france</t>
    <phoneticPr fontId="1"/>
  </si>
  <si>
    <t>4-7917-0134-8</t>
    <phoneticPr fontId="1"/>
  </si>
  <si>
    <t>C9490</t>
    <phoneticPr fontId="1"/>
  </si>
  <si>
    <t>music</t>
    <phoneticPr fontId="1"/>
  </si>
  <si>
    <t>1981</t>
    <phoneticPr fontId="1"/>
  </si>
  <si>
    <t>vol.2-1</t>
    <phoneticPr fontId="1"/>
  </si>
  <si>
    <t>1989/11</t>
    <phoneticPr fontId="1"/>
  </si>
  <si>
    <t>other</t>
    <phoneticPr fontId="1"/>
  </si>
  <si>
    <t>2000/10~12</t>
    <phoneticPr fontId="1"/>
  </si>
  <si>
    <t>ethnic</t>
    <phoneticPr fontId="1"/>
  </si>
  <si>
    <t>1998/04~09</t>
    <phoneticPr fontId="1"/>
  </si>
  <si>
    <t>2000/07~09</t>
    <phoneticPr fontId="1"/>
  </si>
  <si>
    <t>foreign</t>
    <phoneticPr fontId="1"/>
  </si>
  <si>
    <t>Jean-Pierre DEPASSE</t>
    <phoneticPr fontId="1"/>
  </si>
  <si>
    <t>Promotion e'te' 2002</t>
    <phoneticPr fontId="1"/>
  </si>
  <si>
    <t>CN/EP</t>
    <phoneticPr fontId="1"/>
  </si>
  <si>
    <t>Club du Bouvier Des Flandres</t>
    <phoneticPr fontId="1"/>
  </si>
  <si>
    <t>Delegation Departementale de Co^te d'Or(re'gion Bourgogne)/Delegation Regionale de Franche Comte</t>
    <phoneticPr fontId="1"/>
  </si>
  <si>
    <t>Rassemblement du 30 juin 2002 a` Venarey-Les-Laumes/Parc de l'ho^tel de ville</t>
    <phoneticPr fontId="1"/>
  </si>
  <si>
    <t>Le Cul Mis A Nu</t>
    <phoneticPr fontId="1"/>
  </si>
  <si>
    <t>2002/07</t>
    <phoneticPr fontId="1"/>
  </si>
  <si>
    <t>e05.35</t>
    <phoneticPr fontId="1"/>
  </si>
  <si>
    <t>Le Monde</t>
    <phoneticPr fontId="1"/>
  </si>
  <si>
    <t>carnets de voyage/Les plus beaux</t>
    <phoneticPr fontId="1"/>
  </si>
  <si>
    <t>2002/07,08</t>
    <phoneticPr fontId="1"/>
  </si>
  <si>
    <t>e03.00/f20.00</t>
    <phoneticPr fontId="1"/>
  </si>
  <si>
    <t>Raffarin:Jospin a trop De'pense'/L'Afrique s'adresse aux riches</t>
    <phoneticPr fontId="1"/>
  </si>
  <si>
    <t>2002/06/28 Fri</t>
    <phoneticPr fontId="1"/>
  </si>
  <si>
    <t>book</t>
    <phoneticPr fontId="1"/>
  </si>
  <si>
    <t>1950/06</t>
    <phoneticPr fontId="1"/>
  </si>
  <si>
    <t>vol.1/No.1</t>
    <phoneticPr fontId="1"/>
  </si>
  <si>
    <t>1950/09</t>
    <phoneticPr fontId="1"/>
  </si>
  <si>
    <t>2</t>
    <phoneticPr fontId="1"/>
  </si>
  <si>
    <t>1953</t>
    <phoneticPr fontId="1"/>
  </si>
  <si>
    <t>Gaia</t>
    <phoneticPr fontId="1"/>
  </si>
  <si>
    <t>1978</t>
    <phoneticPr fontId="1"/>
  </si>
  <si>
    <t>6500/4000</t>
    <phoneticPr fontId="1"/>
  </si>
  <si>
    <t>1330~1331</t>
    <phoneticPr fontId="1"/>
  </si>
  <si>
    <t>1958</t>
    <phoneticPr fontId="1"/>
  </si>
  <si>
    <t>1991</t>
    <phoneticPr fontId="1"/>
  </si>
  <si>
    <t>1995</t>
    <phoneticPr fontId="1"/>
  </si>
  <si>
    <t>1993</t>
    <phoneticPr fontId="1"/>
  </si>
  <si>
    <t>4-88284-070-7</t>
    <phoneticPr fontId="1"/>
  </si>
  <si>
    <t>C8092</t>
    <phoneticPr fontId="1"/>
  </si>
  <si>
    <t>1984</t>
    <phoneticPr fontId="1"/>
  </si>
  <si>
    <t>2400/2500</t>
    <phoneticPr fontId="1"/>
  </si>
  <si>
    <t>1948,1995</t>
    <phoneticPr fontId="1"/>
  </si>
  <si>
    <t>1966,1969</t>
    <phoneticPr fontId="1"/>
  </si>
  <si>
    <t>4-523-29186-1</t>
    <phoneticPr fontId="1"/>
  </si>
  <si>
    <t>C3098</t>
    <phoneticPr fontId="1"/>
  </si>
  <si>
    <t>1989</t>
    <phoneticPr fontId="1"/>
  </si>
  <si>
    <t>1994/10/01</t>
    <phoneticPr fontId="1"/>
  </si>
  <si>
    <t>psychology</t>
    <phoneticPr fontId="1"/>
  </si>
  <si>
    <t>1960,69</t>
    <phoneticPr fontId="1"/>
  </si>
  <si>
    <t>1970,1973</t>
    <phoneticPr fontId="1"/>
  </si>
  <si>
    <t>1976,1978</t>
    <phoneticPr fontId="1"/>
  </si>
  <si>
    <t>1978,1979</t>
    <phoneticPr fontId="1"/>
  </si>
  <si>
    <t>600?</t>
    <phoneticPr fontId="1"/>
  </si>
  <si>
    <t>1986,1994</t>
    <phoneticPr fontId="1"/>
  </si>
  <si>
    <t>1952,1981</t>
    <phoneticPr fontId="1"/>
  </si>
  <si>
    <t>1996</t>
    <phoneticPr fontId="1"/>
  </si>
  <si>
    <t>1980</t>
    <phoneticPr fontId="1"/>
  </si>
  <si>
    <t>model</t>
    <phoneticPr fontId="1"/>
  </si>
  <si>
    <t>1986</t>
    <phoneticPr fontId="1"/>
  </si>
  <si>
    <t>Century Books/76</t>
    <phoneticPr fontId="1"/>
  </si>
  <si>
    <t>FM Tokyo</t>
    <phoneticPr fontId="1"/>
  </si>
  <si>
    <t>subculture/ethnic/music</t>
    <phoneticPr fontId="1"/>
  </si>
  <si>
    <t>foreign/japan</t>
    <phoneticPr fontId="1"/>
  </si>
  <si>
    <t>music Pen</t>
    <phoneticPr fontId="1"/>
  </si>
  <si>
    <t>foreign/africa/japan</t>
    <phoneticPr fontId="1"/>
  </si>
  <si>
    <t>foreign/europa/japan</t>
    <phoneticPr fontId="1"/>
  </si>
  <si>
    <t>1970</t>
    <phoneticPr fontId="1"/>
  </si>
  <si>
    <t>1972</t>
    <phoneticPr fontId="1"/>
  </si>
  <si>
    <t>40</t>
    <phoneticPr fontId="1"/>
  </si>
  <si>
    <t>4-12-150124-1</t>
    <phoneticPr fontId="1"/>
  </si>
  <si>
    <t>C1295</t>
    <phoneticPr fontId="1"/>
  </si>
  <si>
    <t>2004</t>
    <phoneticPr fontId="1"/>
  </si>
  <si>
    <t>124</t>
    <phoneticPr fontId="1"/>
  </si>
  <si>
    <t>1967</t>
    <phoneticPr fontId="1"/>
  </si>
  <si>
    <t>134</t>
    <phoneticPr fontId="1"/>
  </si>
  <si>
    <t>524</t>
    <phoneticPr fontId="1"/>
  </si>
  <si>
    <t>587</t>
    <phoneticPr fontId="1"/>
  </si>
  <si>
    <t>1983</t>
    <phoneticPr fontId="1"/>
  </si>
  <si>
    <t>691</t>
    <phoneticPr fontId="1"/>
  </si>
  <si>
    <t>1985</t>
    <phoneticPr fontId="1"/>
  </si>
  <si>
    <t>781</t>
    <phoneticPr fontId="1"/>
  </si>
  <si>
    <t>1987</t>
    <phoneticPr fontId="1"/>
  </si>
  <si>
    <t>860</t>
    <phoneticPr fontId="1"/>
  </si>
  <si>
    <t>1990</t>
    <phoneticPr fontId="1"/>
  </si>
  <si>
    <t>969</t>
    <phoneticPr fontId="1"/>
  </si>
  <si>
    <t>1969</t>
    <phoneticPr fontId="1"/>
  </si>
  <si>
    <t>197</t>
    <phoneticPr fontId="1"/>
  </si>
  <si>
    <t>1966</t>
    <phoneticPr fontId="1"/>
  </si>
  <si>
    <t>092</t>
    <phoneticPr fontId="1"/>
  </si>
  <si>
    <t>595</t>
    <phoneticPr fontId="1"/>
  </si>
  <si>
    <t>1982</t>
    <phoneticPr fontId="1"/>
  </si>
  <si>
    <t>640</t>
    <phoneticPr fontId="1"/>
  </si>
  <si>
    <t>708</t>
    <phoneticPr fontId="1"/>
  </si>
  <si>
    <t>710</t>
    <phoneticPr fontId="1"/>
  </si>
  <si>
    <t>853</t>
    <phoneticPr fontId="1"/>
  </si>
  <si>
    <t>147</t>
    <phoneticPr fontId="1"/>
  </si>
  <si>
    <t>1974</t>
    <phoneticPr fontId="1"/>
  </si>
  <si>
    <t>372</t>
    <phoneticPr fontId="1"/>
  </si>
  <si>
    <t>1977</t>
    <phoneticPr fontId="1"/>
  </si>
  <si>
    <t>466</t>
    <phoneticPr fontId="1"/>
  </si>
  <si>
    <t>482</t>
    <phoneticPr fontId="1"/>
  </si>
  <si>
    <t>1988</t>
    <phoneticPr fontId="1"/>
  </si>
  <si>
    <t>895</t>
    <phoneticPr fontId="1"/>
  </si>
  <si>
    <t>235</t>
    <phoneticPr fontId="1"/>
  </si>
  <si>
    <t>978-4-396-11127-4</t>
    <phoneticPr fontId="1"/>
  </si>
  <si>
    <t>C0211</t>
    <phoneticPr fontId="1"/>
  </si>
  <si>
    <t>127</t>
    <phoneticPr fontId="1"/>
  </si>
  <si>
    <t>1959</t>
    <phoneticPr fontId="1"/>
  </si>
  <si>
    <t>351</t>
    <phoneticPr fontId="1"/>
  </si>
  <si>
    <t>1962</t>
    <phoneticPr fontId="1"/>
  </si>
  <si>
    <t>461/G125</t>
    <phoneticPr fontId="1"/>
  </si>
  <si>
    <t>843/C67</t>
    <phoneticPr fontId="1"/>
  </si>
  <si>
    <t>1976</t>
    <phoneticPr fontId="1"/>
  </si>
  <si>
    <t>954/C24</t>
    <phoneticPr fontId="1"/>
  </si>
  <si>
    <t>1961</t>
    <phoneticPr fontId="1"/>
  </si>
  <si>
    <t>434/C39</t>
    <phoneticPr fontId="1"/>
  </si>
  <si>
    <t>art/subculture</t>
    <phoneticPr fontId="1"/>
  </si>
  <si>
    <t>1992</t>
    <phoneticPr fontId="1"/>
  </si>
  <si>
    <t>1994</t>
    <phoneticPr fontId="1"/>
  </si>
  <si>
    <t>1968</t>
    <phoneticPr fontId="1"/>
  </si>
  <si>
    <t>172</t>
    <phoneticPr fontId="1"/>
  </si>
  <si>
    <t>184</t>
    <phoneticPr fontId="1"/>
  </si>
  <si>
    <t>378</t>
    <phoneticPr fontId="1"/>
  </si>
  <si>
    <t>165</t>
    <phoneticPr fontId="1"/>
  </si>
  <si>
    <t>008</t>
    <phoneticPr fontId="1"/>
  </si>
  <si>
    <t>Sanpo Books/116</t>
    <phoneticPr fontId="1"/>
  </si>
  <si>
    <t>4-334-03266-4</t>
    <phoneticPr fontId="1"/>
  </si>
  <si>
    <t>C0295</t>
    <phoneticPr fontId="1"/>
  </si>
  <si>
    <t>2004/09/</t>
    <phoneticPr fontId="1"/>
  </si>
  <si>
    <t>166</t>
    <phoneticPr fontId="1"/>
  </si>
  <si>
    <t>2005/02/</t>
    <phoneticPr fontId="1"/>
  </si>
  <si>
    <t>Kappa Science</t>
    <phoneticPr fontId="1"/>
  </si>
  <si>
    <t>Kappa Business</t>
    <phoneticPr fontId="1"/>
  </si>
  <si>
    <t>1979</t>
    <phoneticPr fontId="1"/>
  </si>
  <si>
    <t>NaM Book</t>
    <phoneticPr fontId="1"/>
  </si>
  <si>
    <t>*/</t>
    <phoneticPr fontId="1"/>
  </si>
  <si>
    <t>4-7730-9062-6</t>
    <phoneticPr fontId="1"/>
  </si>
  <si>
    <t>On Books/30</t>
    <phoneticPr fontId="1"/>
  </si>
  <si>
    <t>On Books/93</t>
    <phoneticPr fontId="1"/>
  </si>
  <si>
    <t>Hibino Special</t>
    <phoneticPr fontId="1"/>
  </si>
  <si>
    <t>Tachibana Books</t>
    <phoneticPr fontId="1"/>
  </si>
  <si>
    <t>Blue Backs</t>
    <phoneticPr fontId="1"/>
  </si>
  <si>
    <t>1975</t>
    <phoneticPr fontId="1"/>
  </si>
  <si>
    <t>Tokuma Books</t>
    <phoneticPr fontId="1"/>
  </si>
  <si>
    <t>1971</t>
    <phoneticPr fontId="1"/>
  </si>
  <si>
    <t>Look Books</t>
    <phoneticPr fontId="1"/>
  </si>
  <si>
    <t>On Select</t>
    <phoneticPr fontId="1"/>
  </si>
  <si>
    <t>4-380-97004-3</t>
    <phoneticPr fontId="1"/>
  </si>
  <si>
    <t>C0245</t>
    <phoneticPr fontId="1"/>
  </si>
  <si>
    <t>1997/04/27</t>
    <phoneticPr fontId="1"/>
  </si>
  <si>
    <t>2008/10/</t>
    <phoneticPr fontId="1"/>
  </si>
  <si>
    <t>4-257-05028-4</t>
    <phoneticPr fontId="1"/>
  </si>
  <si>
    <t>C0276</t>
    <phoneticPr fontId="1"/>
  </si>
  <si>
    <t>1982/06/30</t>
    <phoneticPr fontId="1"/>
  </si>
  <si>
    <t>4-257-05037-3</t>
    <phoneticPr fontId="1"/>
  </si>
  <si>
    <t>1983/09/30</t>
    <phoneticPr fontId="1"/>
  </si>
  <si>
    <t>1946</t>
    <phoneticPr fontId="1"/>
  </si>
  <si>
    <t>1951</t>
    <phoneticPr fontId="1"/>
  </si>
  <si>
    <t>1963</t>
    <phoneticPr fontId="1"/>
  </si>
  <si>
    <t>4-560-07068-7</t>
    <phoneticPr fontId="1"/>
  </si>
  <si>
    <t>C0297</t>
    <phoneticPr fontId="1"/>
  </si>
  <si>
    <t>1972,1984</t>
    <phoneticPr fontId="1"/>
  </si>
  <si>
    <t>GRIMM'S FAIRY TALES</t>
    <phoneticPr fontId="1"/>
  </si>
  <si>
    <t>1952</t>
    <phoneticPr fontId="1"/>
  </si>
  <si>
    <t>1221</t>
    <phoneticPr fontId="1"/>
  </si>
  <si>
    <t>4-309-46145-X</t>
    <phoneticPr fontId="1"/>
  </si>
  <si>
    <t>C0197</t>
    <phoneticPr fontId="1"/>
  </si>
  <si>
    <t>1995/12/25</t>
    <phoneticPr fontId="1"/>
  </si>
  <si>
    <t>2008/</t>
    <phoneticPr fontId="1"/>
  </si>
  <si>
    <t>1895</t>
    <phoneticPr fontId="1"/>
  </si>
  <si>
    <t>4-591-08842-1</t>
    <phoneticPr fontId="1"/>
  </si>
  <si>
    <t>C8297</t>
    <phoneticPr fontId="1"/>
  </si>
  <si>
    <t>4-04-117203-9</t>
    <phoneticPr fontId="1"/>
  </si>
  <si>
    <t>C0192</t>
    <phoneticPr fontId="1"/>
  </si>
  <si>
    <t>4-480-02231-7</t>
    <phoneticPr fontId="1"/>
  </si>
  <si>
    <t>C0198</t>
    <phoneticPr fontId="1"/>
  </si>
  <si>
    <t>4-480-08391-X</t>
    <phoneticPr fontId="1"/>
  </si>
  <si>
    <t>C0195</t>
    <phoneticPr fontId="1"/>
  </si>
  <si>
    <t>4-480-08392-8</t>
    <phoneticPr fontId="1"/>
  </si>
  <si>
    <t>4-480-08393-6</t>
    <phoneticPr fontId="1"/>
  </si>
  <si>
    <t>2001/02/18</t>
    <phoneticPr fontId="1"/>
  </si>
  <si>
    <t>4-12-201859-5</t>
    <phoneticPr fontId="1"/>
  </si>
  <si>
    <t>C1193</t>
    <phoneticPr fontId="1"/>
  </si>
  <si>
    <t>2001</t>
    <phoneticPr fontId="1"/>
  </si>
  <si>
    <t>4-12-204541-X</t>
    <phoneticPr fontId="1"/>
  </si>
  <si>
    <t>4-344-40006-2</t>
    <phoneticPr fontId="1"/>
  </si>
  <si>
    <t>C0193</t>
    <phoneticPr fontId="1"/>
  </si>
  <si>
    <t>4-16-763102-4</t>
    <phoneticPr fontId="1"/>
  </si>
  <si>
    <t>4-16-763103-2</t>
    <phoneticPr fontId="1"/>
  </si>
  <si>
    <t>4-10-129234-5</t>
    <phoneticPr fontId="1"/>
  </si>
  <si>
    <t>2006/09/</t>
    <phoneticPr fontId="1"/>
  </si>
  <si>
    <t>4-12-204759-5</t>
    <phoneticPr fontId="1"/>
  </si>
  <si>
    <t>4-309-40763-3</t>
    <phoneticPr fontId="1"/>
  </si>
  <si>
    <t>4-309-40769-2</t>
    <phoneticPr fontId="1"/>
  </si>
  <si>
    <t>4-309-40773-0</t>
    <phoneticPr fontId="1"/>
  </si>
  <si>
    <t>japan/france</t>
    <phoneticPr fontId="1"/>
  </si>
  <si>
    <t>4-309-46105-0</t>
    <phoneticPr fontId="1"/>
  </si>
  <si>
    <t>1954,1966</t>
    <phoneticPr fontId="1"/>
  </si>
  <si>
    <t xml:space="preserve">2005/08/      </t>
    <phoneticPr fontId="1"/>
  </si>
  <si>
    <t>4-309-46221-9</t>
    <phoneticPr fontId="1"/>
  </si>
  <si>
    <t>4-16-737302-5</t>
    <phoneticPr fontId="1"/>
  </si>
  <si>
    <t>1942</t>
    <phoneticPr fontId="1"/>
  </si>
  <si>
    <t>1966/05</t>
    <phoneticPr fontId="1"/>
  </si>
  <si>
    <t>ancient/japan</t>
    <phoneticPr fontId="1"/>
  </si>
  <si>
    <t>1973</t>
    <phoneticPr fontId="1"/>
  </si>
  <si>
    <t>4-06-275825-3</t>
    <phoneticPr fontId="1"/>
  </si>
  <si>
    <t>2008/01/</t>
    <phoneticPr fontId="1"/>
  </si>
  <si>
    <t>4-06-131759-8</t>
    <phoneticPr fontId="1"/>
  </si>
  <si>
    <t>2000/01/16 Sun</t>
    <phoneticPr fontId="1"/>
  </si>
  <si>
    <t>0195-114307-3162</t>
    <phoneticPr fontId="1"/>
  </si>
  <si>
    <t>illustration</t>
    <phoneticPr fontId="1"/>
  </si>
  <si>
    <t>0193-114305-3162</t>
    <phoneticPr fontId="1"/>
  </si>
  <si>
    <t>2007/11/</t>
    <phoneticPr fontId="1"/>
  </si>
  <si>
    <t>0193-114309-3162</t>
    <phoneticPr fontId="1"/>
  </si>
  <si>
    <t>0193-125015-0946-0</t>
    <phoneticPr fontId="1"/>
  </si>
  <si>
    <t>1975/05</t>
    <phoneticPr fontId="1"/>
  </si>
  <si>
    <t>0195-750268-3041</t>
    <phoneticPr fontId="1"/>
  </si>
  <si>
    <t>4-04-306402-0</t>
    <phoneticPr fontId="1"/>
  </si>
  <si>
    <t>C0139</t>
    <phoneticPr fontId="1"/>
  </si>
  <si>
    <t>2000/08/25</t>
    <phoneticPr fontId="1"/>
  </si>
  <si>
    <t>2001/07/10</t>
    <phoneticPr fontId="1"/>
  </si>
  <si>
    <t>4-309-46232-4</t>
    <phoneticPr fontId="1"/>
  </si>
  <si>
    <t>C0197</t>
    <phoneticPr fontId="1"/>
  </si>
  <si>
    <t>1939</t>
    <phoneticPr fontId="1"/>
  </si>
  <si>
    <t>1961</t>
    <phoneticPr fontId="1"/>
  </si>
  <si>
    <t>4-488-54710-9</t>
    <phoneticPr fontId="1"/>
  </si>
  <si>
    <t>1990</t>
    <phoneticPr fontId="1"/>
  </si>
  <si>
    <t>4-488-54709-5</t>
    <phoneticPr fontId="1"/>
  </si>
  <si>
    <t>4-488-54708-7</t>
    <phoneticPr fontId="1"/>
  </si>
  <si>
    <t>1965,1972</t>
    <phoneticPr fontId="1"/>
  </si>
  <si>
    <t>1950</t>
    <phoneticPr fontId="1"/>
  </si>
  <si>
    <t>4-15-050198-X</t>
    <phoneticPr fontId="1"/>
  </si>
  <si>
    <t>C0198</t>
    <phoneticPr fontId="1"/>
  </si>
  <si>
    <t>1977,1995</t>
    <phoneticPr fontId="1"/>
  </si>
  <si>
    <t>The Last Book of Supernatural Horror and Suspense/vol.1</t>
    <phoneticPr fontId="1"/>
  </si>
  <si>
    <t>4-309-46225-1</t>
    <phoneticPr fontId="1"/>
  </si>
  <si>
    <t>1947,1987</t>
    <phoneticPr fontId="1"/>
  </si>
  <si>
    <t>1939,1931</t>
    <phoneticPr fontId="1"/>
  </si>
  <si>
    <t>4-309-46234-?</t>
    <phoneticPr fontId="1"/>
  </si>
  <si>
    <t>2007/01/</t>
    <phoneticPr fontId="1"/>
  </si>
  <si>
    <t>4-309-46235-9</t>
    <phoneticPr fontId="1"/>
  </si>
  <si>
    <t>4-309-46236-7</t>
    <phoneticPr fontId="1"/>
  </si>
  <si>
    <t>1971,1975</t>
    <phoneticPr fontId="1"/>
  </si>
  <si>
    <t>1726</t>
    <phoneticPr fontId="1"/>
  </si>
  <si>
    <t>1886</t>
    <phoneticPr fontId="1"/>
  </si>
  <si>
    <t>1931,1928</t>
    <phoneticPr fontId="1"/>
  </si>
  <si>
    <t>0197-760051-3041</t>
    <phoneticPr fontId="1"/>
  </si>
  <si>
    <t>4-309-46013-5</t>
    <phoneticPr fontId="1"/>
  </si>
  <si>
    <t>1958</t>
    <phoneticPr fontId="1"/>
  </si>
  <si>
    <t>4-480-02435-2</t>
    <phoneticPr fontId="1"/>
  </si>
  <si>
    <t>4-309-46115-8</t>
    <phoneticPr fontId="1"/>
  </si>
  <si>
    <t>1960</t>
    <phoneticPr fontId="1"/>
  </si>
  <si>
    <t>1979</t>
    <phoneticPr fontId="1"/>
  </si>
  <si>
    <t>4-309-46001-1</t>
    <phoneticPr fontId="1"/>
  </si>
  <si>
    <t>1965,1980</t>
    <phoneticPr fontId="1"/>
  </si>
  <si>
    <t>1955</t>
    <phoneticPr fontId="1"/>
  </si>
  <si>
    <t>1962</t>
    <phoneticPr fontId="1"/>
  </si>
  <si>
    <t>1928</t>
    <phoneticPr fontId="1"/>
  </si>
  <si>
    <t>1891</t>
    <phoneticPr fontId="1"/>
  </si>
  <si>
    <t>1937</t>
    <phoneticPr fontId="1"/>
  </si>
  <si>
    <t>1957</t>
    <phoneticPr fontId="1"/>
  </si>
  <si>
    <t>1963</t>
    <phoneticPr fontId="1"/>
  </si>
  <si>
    <t>1964</t>
    <phoneticPr fontId="1"/>
  </si>
  <si>
    <t>1975</t>
    <phoneticPr fontId="1"/>
  </si>
  <si>
    <t>Easy Seek</t>
    <phoneticPr fontId="1"/>
  </si>
  <si>
    <t>4-10-214621-0</t>
    <phoneticPr fontId="1"/>
  </si>
  <si>
    <t>1926</t>
    <phoneticPr fontId="1"/>
  </si>
  <si>
    <t>1916</t>
    <phoneticPr fontId="1"/>
  </si>
  <si>
    <t>4-309-46292-9</t>
    <phoneticPr fontId="1"/>
  </si>
  <si>
    <t>2008/01/</t>
    <phoneticPr fontId="1"/>
  </si>
  <si>
    <t>4-309-46160-3</t>
    <phoneticPr fontId="1"/>
  </si>
  <si>
    <t>4-309-46218-9</t>
    <phoneticPr fontId="1"/>
  </si>
  <si>
    <t>1788,90,94</t>
    <phoneticPr fontId="1"/>
  </si>
  <si>
    <t>1919</t>
    <phoneticPr fontId="1"/>
  </si>
  <si>
    <t>1814</t>
    <phoneticPr fontId="1"/>
  </si>
  <si>
    <t>4-480-42207-2</t>
    <phoneticPr fontId="1"/>
  </si>
  <si>
    <t>4-480-42208-0</t>
    <phoneticPr fontId="1"/>
  </si>
  <si>
    <t>4-10-247101-4</t>
    <phoneticPr fontId="1"/>
  </si>
  <si>
    <t>4-16-765106-8</t>
    <phoneticPr fontId="1"/>
  </si>
  <si>
    <t>Latin America</t>
    <phoneticPr fontId="1"/>
  </si>
  <si>
    <t>1667</t>
    <phoneticPr fontId="1"/>
  </si>
  <si>
    <t>4-309-46201-4</t>
    <phoneticPr fontId="1"/>
  </si>
  <si>
    <t>1953</t>
    <phoneticPr fontId="1"/>
  </si>
  <si>
    <t>1931</t>
    <phoneticPr fontId="1"/>
  </si>
  <si>
    <t>1923</t>
    <phoneticPr fontId="1"/>
  </si>
  <si>
    <t>1925</t>
    <phoneticPr fontId="1"/>
  </si>
  <si>
    <t>1930</t>
    <phoneticPr fontId="1"/>
  </si>
  <si>
    <t>1921</t>
    <phoneticPr fontId="1"/>
  </si>
  <si>
    <t>1927~28</t>
    <phoneticPr fontId="1"/>
  </si>
  <si>
    <t>1917</t>
    <phoneticPr fontId="1"/>
  </si>
  <si>
    <t>1920</t>
    <phoneticPr fontId="1"/>
  </si>
  <si>
    <t>1922</t>
    <phoneticPr fontId="1"/>
  </si>
  <si>
    <t>1933</t>
    <phoneticPr fontId="1"/>
  </si>
  <si>
    <t>1935</t>
    <phoneticPr fontId="1"/>
  </si>
  <si>
    <t>1934</t>
    <phoneticPr fontId="1"/>
  </si>
  <si>
    <t>1927</t>
    <phoneticPr fontId="1"/>
  </si>
  <si>
    <t>1921~22</t>
    <phoneticPr fontId="1"/>
  </si>
  <si>
    <t>1932</t>
    <phoneticPr fontId="1"/>
  </si>
  <si>
    <t>1926~27</t>
    <phoneticPr fontId="1"/>
  </si>
  <si>
    <t>4-04-293901-5</t>
    <phoneticPr fontId="1"/>
  </si>
  <si>
    <t>1782</t>
    <phoneticPr fontId="1"/>
  </si>
  <si>
    <t>4-12-202039-5</t>
    <phoneticPr fontId="1"/>
  </si>
  <si>
    <t>C1198</t>
    <phoneticPr fontId="1"/>
  </si>
  <si>
    <t>4-15-040006-7</t>
    <phoneticPr fontId="1"/>
  </si>
  <si>
    <t>Modern Horror Selection</t>
    <phoneticPr fontId="1"/>
  </si>
  <si>
    <t>1922~1933,1954</t>
    <phoneticPr fontId="1"/>
  </si>
  <si>
    <t>1922~1933,1955</t>
    <phoneticPr fontId="1"/>
  </si>
  <si>
    <t>1922~1933,1956</t>
    <phoneticPr fontId="1"/>
  </si>
  <si>
    <t>1936</t>
    <phoneticPr fontId="1"/>
  </si>
  <si>
    <t>2007/04/</t>
    <phoneticPr fontId="1"/>
  </si>
  <si>
    <t>4-08-109036-X</t>
    <phoneticPr fontId="1"/>
  </si>
  <si>
    <t>C9479</t>
    <phoneticPr fontId="1"/>
  </si>
  <si>
    <t>comic</t>
    <phoneticPr fontId="1"/>
  </si>
  <si>
    <t>2005/09/</t>
    <phoneticPr fontId="1"/>
  </si>
  <si>
    <t>4-08-109043-2</t>
    <phoneticPr fontId="1"/>
  </si>
  <si>
    <t>4-08-109498-1</t>
    <phoneticPr fontId="1"/>
  </si>
  <si>
    <t>2007/10/20</t>
    <phoneticPr fontId="1"/>
  </si>
  <si>
    <t>2007/10/</t>
    <phoneticPr fontId="1"/>
  </si>
  <si>
    <t>2-84789-965-X</t>
    <phoneticPr fontId="1"/>
  </si>
  <si>
    <t>Lalloz,Jacques</t>
    <phoneticPr fontId="1"/>
  </si>
  <si>
    <t>Ayako</t>
    <phoneticPr fontId="1"/>
  </si>
  <si>
    <t>2003</t>
    <phoneticPr fontId="1"/>
  </si>
  <si>
    <t>Akata</t>
    <phoneticPr fontId="1"/>
  </si>
  <si>
    <t>2-84789-304-0</t>
    <phoneticPr fontId="1"/>
  </si>
  <si>
    <t>2-84789-377-6</t>
    <phoneticPr fontId="1"/>
  </si>
  <si>
    <t>2004</t>
    <phoneticPr fontId="1"/>
  </si>
  <si>
    <t>4-06-108601-4</t>
    <phoneticPr fontId="1"/>
  </si>
  <si>
    <t>C0379</t>
    <phoneticPr fontId="1"/>
  </si>
  <si>
    <t>/1977</t>
    <phoneticPr fontId="1"/>
  </si>
  <si>
    <t>4-06-108602-2</t>
    <phoneticPr fontId="1"/>
  </si>
  <si>
    <t>4-06-108603-0</t>
    <phoneticPr fontId="1"/>
  </si>
  <si>
    <t>1970/04/10~1970/11/06</t>
    <phoneticPr fontId="1"/>
  </si>
  <si>
    <t>1970/04/10~1970/11/06,1969/08/24</t>
    <phoneticPr fontId="1"/>
  </si>
  <si>
    <t>978-4-253-24248-6</t>
    <phoneticPr fontId="1"/>
  </si>
  <si>
    <t>C9979</t>
    <phoneticPr fontId="1"/>
  </si>
  <si>
    <t>4-14-454075-8</t>
    <phoneticPr fontId="1"/>
  </si>
  <si>
    <t xml:space="preserve">2004/         </t>
    <phoneticPr fontId="1"/>
  </si>
  <si>
    <t>4-14-454076-6</t>
    <phoneticPr fontId="1"/>
  </si>
  <si>
    <t>4-06-363582-1</t>
    <phoneticPr fontId="1"/>
  </si>
  <si>
    <t>4-06-363619-4</t>
    <phoneticPr fontId="1"/>
  </si>
  <si>
    <t>4-09-125531-0</t>
    <phoneticPr fontId="1"/>
  </si>
  <si>
    <t>4-09-125532-9</t>
    <phoneticPr fontId="1"/>
  </si>
  <si>
    <t>4-09-125533-7</t>
    <phoneticPr fontId="1"/>
  </si>
  <si>
    <t>4-09-125536-1</t>
    <phoneticPr fontId="1"/>
  </si>
  <si>
    <t>4-09-125537-X</t>
    <phoneticPr fontId="1"/>
  </si>
  <si>
    <t>4-09-125191-9</t>
    <phoneticPr fontId="1"/>
  </si>
  <si>
    <t>4-09-125192-7</t>
    <phoneticPr fontId="1"/>
  </si>
  <si>
    <t>4-09-125193-5</t>
    <phoneticPr fontId="1"/>
  </si>
  <si>
    <t>4-09-125194-3</t>
    <phoneticPr fontId="1"/>
  </si>
  <si>
    <t>4-09-125195-1</t>
    <phoneticPr fontId="1"/>
  </si>
  <si>
    <t>*</t>
    <phoneticPr fontId="1"/>
  </si>
  <si>
    <t>C0279</t>
    <phoneticPr fontId="1"/>
  </si>
  <si>
    <t>1989</t>
    <phoneticPr fontId="1"/>
  </si>
  <si>
    <t>4-592-11154-0</t>
    <phoneticPr fontId="1"/>
  </si>
  <si>
    <t>japan</t>
    <phoneticPr fontId="1"/>
  </si>
  <si>
    <t>4-12-203543-0</t>
    <phoneticPr fontId="1"/>
  </si>
  <si>
    <t>C1179</t>
    <phoneticPr fontId="1"/>
  </si>
  <si>
    <t>2007/11/</t>
    <phoneticPr fontId="1"/>
  </si>
  <si>
    <t>4-12-203562-7</t>
    <phoneticPr fontId="1"/>
  </si>
  <si>
    <t>4-480-03061-1</t>
    <phoneticPr fontId="1"/>
  </si>
  <si>
    <t>C0179</t>
    <phoneticPr fontId="1"/>
  </si>
  <si>
    <t>4-87025-827-7</t>
    <phoneticPr fontId="1"/>
  </si>
  <si>
    <t>*/</t>
    <phoneticPr fontId="1"/>
  </si>
  <si>
    <t>4-87025-828-5</t>
    <phoneticPr fontId="1"/>
  </si>
  <si>
    <t>4-87025-836-6</t>
    <phoneticPr fontId="1"/>
  </si>
  <si>
    <t>4-87025-837-4</t>
    <phoneticPr fontId="1"/>
  </si>
  <si>
    <t>4-19-902037-3</t>
    <phoneticPr fontId="1"/>
  </si>
  <si>
    <t>4-19-902038-1</t>
    <phoneticPr fontId="1"/>
  </si>
  <si>
    <t>1999</t>
    <phoneticPr fontId="1"/>
  </si>
  <si>
    <t>4-04-197701-0</t>
    <phoneticPr fontId="1"/>
  </si>
  <si>
    <t>4-04-197702-9</t>
    <phoneticPr fontId="1"/>
  </si>
  <si>
    <t>4-04-197703-7</t>
    <phoneticPr fontId="1"/>
  </si>
  <si>
    <t>4-575-72018-6</t>
    <phoneticPr fontId="1"/>
  </si>
  <si>
    <t>4-575-72019-4</t>
    <phoneticPr fontId="1"/>
  </si>
  <si>
    <t>4-575-72034-8</t>
    <phoneticPr fontId="1"/>
  </si>
  <si>
    <t>4-480-03796-9</t>
    <phoneticPr fontId="1"/>
  </si>
  <si>
    <t>2002/12/10</t>
    <phoneticPr fontId="1"/>
  </si>
  <si>
    <t>4-253-16997-X</t>
    <phoneticPr fontId="1"/>
  </si>
  <si>
    <t>4-253-16998-8</t>
    <phoneticPr fontId="1"/>
  </si>
  <si>
    <t>4-253-16999-6</t>
    <phoneticPr fontId="1"/>
  </si>
  <si>
    <t>sold to Book Off in 2003/05</t>
    <phoneticPr fontId="1"/>
  </si>
  <si>
    <t>4-02-261006-9</t>
    <phoneticPr fontId="1"/>
  </si>
  <si>
    <t>4-02-260727-0</t>
    <phoneticPr fontId="1"/>
  </si>
  <si>
    <t>C0195</t>
    <phoneticPr fontId="1"/>
  </si>
  <si>
    <t>4-253-17093-5</t>
    <phoneticPr fontId="1"/>
  </si>
  <si>
    <t>4-253-17094-3</t>
    <phoneticPr fontId="1"/>
  </si>
  <si>
    <t>4-253-17095-1</t>
    <phoneticPr fontId="1"/>
  </si>
  <si>
    <t>4-253-17120-6</t>
    <phoneticPr fontId="1"/>
  </si>
  <si>
    <t>4-253-17232-6</t>
    <phoneticPr fontId="1"/>
  </si>
  <si>
    <t>4-04-185129-7</t>
    <phoneticPr fontId="1"/>
  </si>
  <si>
    <t>4-04-185131-9</t>
    <phoneticPr fontId="1"/>
  </si>
  <si>
    <t>4-08-748309-6</t>
    <phoneticPr fontId="1"/>
  </si>
  <si>
    <t>2008/03/</t>
    <phoneticPr fontId="1"/>
  </si>
  <si>
    <t>4-480-03727-6</t>
    <phoneticPr fontId="1"/>
  </si>
  <si>
    <t>4-12-204749-8</t>
    <phoneticPr fontId="1"/>
  </si>
  <si>
    <t>4-12-204750-1</t>
    <phoneticPr fontId="1"/>
  </si>
  <si>
    <t>4-09-191014-9</t>
    <phoneticPr fontId="1"/>
  </si>
  <si>
    <t>4-09-191012-2</t>
    <phoneticPr fontId="1"/>
  </si>
  <si>
    <t>4-09-192071-3</t>
    <phoneticPr fontId="1"/>
  </si>
  <si>
    <t>4-09-192072-1</t>
    <phoneticPr fontId="1"/>
  </si>
  <si>
    <t>4-09-192073-X</t>
    <phoneticPr fontId="1"/>
  </si>
  <si>
    <t>4-253-17010-2</t>
    <phoneticPr fontId="1"/>
  </si>
  <si>
    <t>4-253-17011-0</t>
    <phoneticPr fontId="1"/>
  </si>
  <si>
    <t>4-253-17012-9</t>
    <phoneticPr fontId="1"/>
  </si>
  <si>
    <t>4-09-193051-4</t>
    <phoneticPr fontId="1"/>
  </si>
  <si>
    <t>4-09-193052-2</t>
    <phoneticPr fontId="1"/>
  </si>
  <si>
    <t>4-09-193053-0</t>
    <phoneticPr fontId="1"/>
  </si>
  <si>
    <t>4-09-193054-9</t>
    <phoneticPr fontId="1"/>
  </si>
  <si>
    <t>4-09-193055-7</t>
    <phoneticPr fontId="1"/>
  </si>
  <si>
    <t>4-09-193056-5</t>
    <phoneticPr fontId="1"/>
  </si>
  <si>
    <t>4-594-01936-6</t>
    <phoneticPr fontId="1"/>
  </si>
  <si>
    <t>4-575-72170-0</t>
    <phoneticPr fontId="1"/>
  </si>
  <si>
    <t>4-480-03045-X</t>
    <phoneticPr fontId="1"/>
  </si>
  <si>
    <t>4-480-02387-9</t>
    <phoneticPr fontId="1"/>
  </si>
  <si>
    <t>4-480-02221-X</t>
    <phoneticPr fontId="1"/>
  </si>
  <si>
    <t>4-480-02208-2</t>
    <phoneticPr fontId="1"/>
  </si>
  <si>
    <t>4-253-17240-7</t>
    <phoneticPr fontId="1"/>
  </si>
  <si>
    <t>4-253-17246-6</t>
    <phoneticPr fontId="1"/>
  </si>
  <si>
    <t>4-16-811031-1</t>
    <phoneticPr fontId="1"/>
  </si>
  <si>
    <t>4-16-811032-X</t>
    <phoneticPr fontId="1"/>
  </si>
  <si>
    <t>4-16-811043-5</t>
    <phoneticPr fontId="1"/>
  </si>
  <si>
    <t>4-16-811044-3</t>
    <phoneticPr fontId="1"/>
  </si>
  <si>
    <t>4-16-811045-1</t>
    <phoneticPr fontId="1"/>
  </si>
  <si>
    <t>4-16-811048-6</t>
    <phoneticPr fontId="1"/>
  </si>
  <si>
    <t>4-16-811049-4</t>
    <phoneticPr fontId="1"/>
  </si>
  <si>
    <t>4-16-811050-8</t>
    <phoneticPr fontId="1"/>
  </si>
  <si>
    <t>4-08-618266-1</t>
    <phoneticPr fontId="1"/>
  </si>
  <si>
    <t>2007/05/</t>
    <phoneticPr fontId="1"/>
  </si>
  <si>
    <t>4-10-145212-1</t>
    <phoneticPr fontId="1"/>
  </si>
  <si>
    <t>4-16-726708-X</t>
    <phoneticPr fontId="1"/>
  </si>
  <si>
    <t>Book Off</t>
    <phoneticPr fontId="1"/>
  </si>
  <si>
    <t>4-12-203639-9</t>
    <phoneticPr fontId="1"/>
  </si>
  <si>
    <t>4-8211-8246-7</t>
    <phoneticPr fontId="1"/>
  </si>
  <si>
    <t>2006/01/</t>
    <phoneticPr fontId="1"/>
  </si>
  <si>
    <t>4-8211-8355-2</t>
    <phoneticPr fontId="1"/>
  </si>
  <si>
    <t>4-8211-8356-0</t>
    <phoneticPr fontId="1"/>
  </si>
  <si>
    <t>4-8211-8557-3</t>
    <phoneticPr fontId="1"/>
  </si>
  <si>
    <t>2008/02/20</t>
    <phoneticPr fontId="1"/>
  </si>
  <si>
    <t>2008/02/</t>
    <phoneticPr fontId="1"/>
  </si>
  <si>
    <t>4-04-197804-1</t>
    <phoneticPr fontId="1"/>
  </si>
  <si>
    <t>4-04-197805-X</t>
    <phoneticPr fontId="1"/>
  </si>
  <si>
    <t>4-8124-0051-1</t>
    <phoneticPr fontId="1"/>
  </si>
  <si>
    <t>4-8124-0052-X</t>
    <phoneticPr fontId="1"/>
  </si>
  <si>
    <t>4-8124-0053-8</t>
    <phoneticPr fontId="1"/>
  </si>
  <si>
    <t>4-8124-0054-6</t>
    <phoneticPr fontId="1"/>
  </si>
  <si>
    <t>4-8124-0058-9</t>
    <phoneticPr fontId="1"/>
  </si>
  <si>
    <t>4-8124-0059-7</t>
    <phoneticPr fontId="1"/>
  </si>
  <si>
    <t>4-12-202239-8</t>
    <phoneticPr fontId="1"/>
  </si>
  <si>
    <t>4-12-202240-1</t>
    <phoneticPr fontId="1"/>
  </si>
  <si>
    <t>4-12-202241-X</t>
    <phoneticPr fontId="1"/>
  </si>
  <si>
    <t>4-12-202145-6</t>
    <phoneticPr fontId="1"/>
  </si>
  <si>
    <t>4-12-202146-4</t>
    <phoneticPr fontId="1"/>
  </si>
  <si>
    <t>4-12-202147-2</t>
    <phoneticPr fontId="1"/>
  </si>
  <si>
    <t>4-16-811001-X</t>
    <phoneticPr fontId="1"/>
  </si>
  <si>
    <t>YB</t>
    <phoneticPr fontId="1"/>
  </si>
  <si>
    <t>4-09-416041-8</t>
    <phoneticPr fontId="1"/>
  </si>
  <si>
    <t>978-4-89240-196-1</t>
    <phoneticPr fontId="1"/>
  </si>
  <si>
    <t>C0036</t>
    <phoneticPr fontId="1"/>
  </si>
  <si>
    <t>book</t>
    <phoneticPr fontId="1"/>
  </si>
  <si>
    <t>2008/08/15</t>
    <phoneticPr fontId="1"/>
  </si>
  <si>
    <t>4-7974-5913-1</t>
    <phoneticPr fontId="1"/>
  </si>
  <si>
    <t>C0095</t>
    <phoneticPr fontId="1"/>
  </si>
  <si>
    <t>4-88375-070-1</t>
    <phoneticPr fontId="1"/>
  </si>
  <si>
    <t>C0073</t>
    <phoneticPr fontId="1"/>
  </si>
  <si>
    <t>2001/09/01</t>
    <phoneticPr fontId="1"/>
  </si>
  <si>
    <t>art</t>
    <phoneticPr fontId="1"/>
  </si>
  <si>
    <t>1993/02/03</t>
    <phoneticPr fontId="1"/>
  </si>
  <si>
    <t>1994/08/01</t>
    <phoneticPr fontId="1"/>
  </si>
  <si>
    <t>184/200</t>
    <phoneticPr fontId="1"/>
  </si>
  <si>
    <t>1995/12/01</t>
    <phoneticPr fontId="1"/>
  </si>
  <si>
    <t>1996/01/25</t>
    <phoneticPr fontId="1"/>
  </si>
  <si>
    <t>089/300</t>
    <phoneticPr fontId="1"/>
  </si>
  <si>
    <t>Akima</t>
    <phoneticPr fontId="1"/>
  </si>
  <si>
    <t>1970/12/01</t>
    <phoneticPr fontId="1"/>
  </si>
  <si>
    <t>56</t>
    <phoneticPr fontId="1"/>
  </si>
  <si>
    <t>4-89477-179-9</t>
    <phoneticPr fontId="1"/>
  </si>
  <si>
    <t>C0070</t>
    <phoneticPr fontId="1"/>
  </si>
  <si>
    <t>2005/06/30</t>
    <phoneticPr fontId="1"/>
  </si>
  <si>
    <t>4-921214-13-1</t>
    <phoneticPr fontId="1"/>
  </si>
  <si>
    <t>C0079</t>
    <phoneticPr fontId="1"/>
  </si>
  <si>
    <t>4-89477-997-8</t>
    <phoneticPr fontId="1"/>
  </si>
  <si>
    <t>Various</t>
    <phoneticPr fontId="1"/>
  </si>
  <si>
    <t>The Cartoon Magazine</t>
    <phoneticPr fontId="1"/>
  </si>
  <si>
    <t>pamphlet</t>
    <phoneticPr fontId="1"/>
  </si>
  <si>
    <t>PRIDE..31 DREAMERS</t>
    <phoneticPr fontId="1"/>
  </si>
  <si>
    <t>2006/02/26 Saitama Super Arena</t>
    <phoneticPr fontId="1"/>
  </si>
  <si>
    <t>2004/04/</t>
    <phoneticPr fontId="1"/>
  </si>
  <si>
    <t>Kyoraku</t>
    <phoneticPr fontId="1"/>
  </si>
  <si>
    <t>presents</t>
    <phoneticPr fontId="1"/>
  </si>
  <si>
    <t>2006/03/05 Yokohama 03/09 Tokyo 03/12 Nagoya</t>
    <phoneticPr fontId="1"/>
  </si>
  <si>
    <t xml:space="preserve">2004/03      </t>
    <phoneticPr fontId="1"/>
  </si>
  <si>
    <t>1885,1994</t>
    <phoneticPr fontId="1"/>
  </si>
  <si>
    <t>1986,1998</t>
    <phoneticPr fontId="1"/>
  </si>
  <si>
    <t>1998/08/01</t>
    <phoneticPr fontId="1"/>
  </si>
  <si>
    <t>No26</t>
    <phoneticPr fontId="1"/>
  </si>
  <si>
    <t>978-4-87218-236-1</t>
    <phoneticPr fontId="1"/>
  </si>
  <si>
    <t>2008/08/</t>
    <phoneticPr fontId="1"/>
  </si>
  <si>
    <t>1996/08/15~1996/10/15</t>
    <phoneticPr fontId="1"/>
  </si>
  <si>
    <t>1211~1214</t>
    <phoneticPr fontId="1"/>
  </si>
  <si>
    <t>cook</t>
    <phoneticPr fontId="1"/>
  </si>
  <si>
    <t>1987/02/01</t>
    <phoneticPr fontId="1"/>
  </si>
  <si>
    <t>NON-NO MORE BOOKS #16</t>
    <phoneticPr fontId="1"/>
  </si>
  <si>
    <t>2007/02/</t>
    <phoneticPr fontId="1"/>
  </si>
  <si>
    <t>computer</t>
    <phoneticPr fontId="1"/>
  </si>
  <si>
    <t>978-4-7741-3189-4</t>
    <phoneticPr fontId="1"/>
  </si>
  <si>
    <t>C3055</t>
    <phoneticPr fontId="1"/>
  </si>
  <si>
    <t>2007/10/25</t>
    <phoneticPr fontId="1"/>
  </si>
  <si>
    <t>POKERI/M-code 418541</t>
    <phoneticPr fontId="1"/>
  </si>
  <si>
    <t>2008/04/</t>
    <phoneticPr fontId="1"/>
  </si>
  <si>
    <t>978-4-7981-1628-0</t>
    <phoneticPr fontId="1"/>
  </si>
  <si>
    <t>978-4-7981-1745-4</t>
    <phoneticPr fontId="1"/>
  </si>
  <si>
    <t>2008/06/09</t>
    <phoneticPr fontId="1"/>
  </si>
  <si>
    <t>K-310</t>
    <phoneticPr fontId="1"/>
  </si>
  <si>
    <t>0:00</t>
    <phoneticPr fontId="1"/>
  </si>
  <si>
    <t>27'10.554" for A Percussionist</t>
    <phoneticPr fontId="1"/>
  </si>
  <si>
    <t>A Flower</t>
    <phoneticPr fontId="1"/>
  </si>
  <si>
    <t>In A Landscape</t>
    <phoneticPr fontId="1"/>
  </si>
  <si>
    <t>Waiting</t>
    <phoneticPr fontId="1"/>
  </si>
  <si>
    <t>percussion</t>
    <phoneticPr fontId="1"/>
  </si>
  <si>
    <t>Clapping Music fur zwei Spieler</t>
    <phoneticPr fontId="1"/>
  </si>
  <si>
    <t>M-008-00695-1</t>
    <phoneticPr fontId="1"/>
  </si>
  <si>
    <t>Brecht Weill Song Album</t>
    <phoneticPr fontId="1"/>
  </si>
  <si>
    <t>UE 17105/gitarrebezifferung von John W.Suarte</t>
    <phoneticPr fontId="1"/>
  </si>
  <si>
    <t>Universal Edition</t>
    <phoneticPr fontId="1"/>
  </si>
  <si>
    <t>ancient</t>
    <phoneticPr fontId="1"/>
  </si>
  <si>
    <t>flute,piano</t>
    <phoneticPr fontId="1"/>
  </si>
  <si>
    <t>classics</t>
    <phoneticPr fontId="1"/>
  </si>
  <si>
    <t>vocal,piano</t>
    <phoneticPr fontId="1"/>
  </si>
  <si>
    <t>guitar</t>
    <phoneticPr fontId="1"/>
  </si>
  <si>
    <t>Le Papillon</t>
    <phoneticPr fontId="1"/>
  </si>
  <si>
    <t>piano</t>
    <phoneticPr fontId="1"/>
  </si>
  <si>
    <t>4-11-178005-9</t>
    <phoneticPr fontId="1"/>
  </si>
  <si>
    <t>C3073</t>
    <phoneticPr fontId="1"/>
  </si>
  <si>
    <t>1979,1989/10/25</t>
    <phoneticPr fontId="1"/>
  </si>
  <si>
    <t>2007/09/13</t>
    <phoneticPr fontId="1"/>
  </si>
  <si>
    <t>4-11-178006-7</t>
    <phoneticPr fontId="1"/>
  </si>
  <si>
    <t>2007/11/03</t>
    <phoneticPr fontId="1"/>
  </si>
  <si>
    <t>978-4-285-11314-3</t>
    <phoneticPr fontId="1"/>
  </si>
  <si>
    <t>2007</t>
    <phoneticPr fontId="1"/>
  </si>
  <si>
    <t>978-4-285-11315-0</t>
    <phoneticPr fontId="1"/>
  </si>
  <si>
    <t>Philipp,Isidore</t>
    <phoneticPr fontId="1"/>
  </si>
  <si>
    <t>transcription de concert pour piano par</t>
    <phoneticPr fontId="1"/>
  </si>
  <si>
    <t>Fugue en Sol Mineur</t>
    <phoneticPr fontId="1"/>
  </si>
  <si>
    <t>extrait des [Pi`eces d'orgue]</t>
    <phoneticPr fontId="1"/>
  </si>
  <si>
    <t>DURAND/BMG</t>
    <phoneticPr fontId="1"/>
  </si>
  <si>
    <t>4-8108-6337-9</t>
    <phoneticPr fontId="1"/>
  </si>
  <si>
    <t>ubertragen von</t>
    <phoneticPr fontId="1"/>
  </si>
  <si>
    <t>4-11-105099-9</t>
    <phoneticPr fontId="1"/>
  </si>
  <si>
    <t>zen-on piano library</t>
    <phoneticPr fontId="1"/>
  </si>
  <si>
    <t>0-486-29050-6</t>
    <phoneticPr fontId="1"/>
  </si>
  <si>
    <t>Dover</t>
    <phoneticPr fontId="1"/>
  </si>
  <si>
    <t>$12.95,Canada$19.50</t>
    <phoneticPr fontId="1"/>
  </si>
  <si>
    <t>4-636-65726-8</t>
    <phoneticPr fontId="1"/>
  </si>
  <si>
    <t>YAMAHA MUSIC MEDIA CORPORATION</t>
    <phoneticPr fontId="1"/>
  </si>
  <si>
    <t>4-11-170280-8</t>
    <phoneticPr fontId="1"/>
  </si>
  <si>
    <t>POLYPHONIC MUSIC FOR PIANO</t>
    <phoneticPr fontId="1"/>
  </si>
  <si>
    <t>4-11-160991-0</t>
    <phoneticPr fontId="1"/>
  </si>
  <si>
    <t>arrange</t>
    <phoneticPr fontId="1"/>
  </si>
  <si>
    <t>3,4</t>
    <phoneticPr fontId="1"/>
  </si>
  <si>
    <t>4</t>
    <phoneticPr fontId="1"/>
  </si>
  <si>
    <t>vocal,guitar</t>
    <phoneticPr fontId="1"/>
  </si>
  <si>
    <t>4-11-769205-7</t>
    <phoneticPr fontId="1"/>
  </si>
  <si>
    <t>4-426-80309-8</t>
    <phoneticPr fontId="1"/>
  </si>
  <si>
    <t>C9473</t>
    <phoneticPr fontId="1"/>
  </si>
  <si>
    <t>4-426-80308-X</t>
    <phoneticPr fontId="1"/>
  </si>
  <si>
    <t>score</t>
    <phoneticPr fontId="1"/>
  </si>
  <si>
    <t>4-8456-0940-1</t>
    <phoneticPr fontId="1"/>
  </si>
  <si>
    <t>4-8456-1280-1</t>
    <phoneticPr fontId="1"/>
  </si>
  <si>
    <t>kmp</t>
    <phoneticPr fontId="1"/>
  </si>
  <si>
    <t>&lt;CAD&gt;</t>
    <phoneticPr fontId="1"/>
  </si>
  <si>
    <t>4-7732-2408-8</t>
    <phoneticPr fontId="1"/>
  </si>
  <si>
    <t>Guitar songbook</t>
    <phoneticPr fontId="1"/>
  </si>
  <si>
    <t>ishibashi Parco P'</t>
    <phoneticPr fontId="1"/>
  </si>
  <si>
    <t>organ</t>
    <phoneticPr fontId="1"/>
  </si>
  <si>
    <t>Wise Pablications</t>
    <phoneticPr fontId="1"/>
  </si>
  <si>
    <t>chanson</t>
    <phoneticPr fontId="1"/>
  </si>
  <si>
    <t>4-285-10603-5</t>
    <phoneticPr fontId="1"/>
  </si>
  <si>
    <t>DOREMI</t>
    <phoneticPr fontId="1"/>
  </si>
  <si>
    <t>2007/01/</t>
    <phoneticPr fontId="1"/>
  </si>
  <si>
    <t>4-285-11109-8</t>
    <phoneticPr fontId="1"/>
  </si>
  <si>
    <t>2006/09/30</t>
    <phoneticPr fontId="1"/>
  </si>
  <si>
    <t>4-8108-2518-3</t>
    <phoneticPr fontId="1"/>
  </si>
  <si>
    <t>2007/01/30</t>
    <phoneticPr fontId="1"/>
  </si>
  <si>
    <t>4-285-11624-3</t>
    <phoneticPr fontId="1"/>
  </si>
  <si>
    <t>2007/08/30</t>
    <phoneticPr fontId="1"/>
  </si>
  <si>
    <t>Melody Joyful</t>
    <phoneticPr fontId="1"/>
  </si>
  <si>
    <t>jazz</t>
    <phoneticPr fontId="1"/>
  </si>
  <si>
    <t>4-11-773000-2</t>
    <phoneticPr fontId="1"/>
  </si>
  <si>
    <t>vocal</t>
    <phoneticPr fontId="1"/>
  </si>
  <si>
    <t>4-7609-8095-4</t>
    <phoneticPr fontId="1"/>
  </si>
  <si>
    <t>4-7609-8120-9</t>
    <phoneticPr fontId="1"/>
  </si>
  <si>
    <t>NHK</t>
    <phoneticPr fontId="1"/>
  </si>
  <si>
    <t>Jay A.Wanamaker</t>
    <phoneticPr fontId="1"/>
  </si>
  <si>
    <t>An Alfred Handy Guide</t>
    <phoneticPr fontId="1"/>
  </si>
  <si>
    <t>Sandy Feldstein</t>
    <phoneticPr fontId="1"/>
  </si>
  <si>
    <t>Stacy Phillips</t>
    <phoneticPr fontId="1"/>
  </si>
  <si>
    <t>Amusco</t>
    <phoneticPr fontId="1"/>
  </si>
  <si>
    <t>OGT31</t>
    <phoneticPr fontId="1"/>
  </si>
  <si>
    <t>OGT9</t>
    <phoneticPr fontId="1"/>
  </si>
  <si>
    <t>OGT626</t>
    <phoneticPr fontId="1"/>
  </si>
  <si>
    <t>No.187</t>
    <phoneticPr fontId="1"/>
  </si>
  <si>
    <t>No.130</t>
    <phoneticPr fontId="1"/>
  </si>
  <si>
    <t>modern</t>
    <phoneticPr fontId="1"/>
  </si>
  <si>
    <t>Bottom</t>
    <phoneticPr fontId="1"/>
  </si>
  <si>
    <t>1863, 1990</t>
    <phoneticPr fontId="1"/>
  </si>
  <si>
    <t>1967, 1992</t>
    <phoneticPr fontId="1"/>
  </si>
  <si>
    <t>1977, 1987/07/10</t>
    <phoneticPr fontId="1"/>
  </si>
  <si>
    <t>?</t>
    <phoneticPr fontId="1"/>
  </si>
  <si>
    <t>1995</t>
    <phoneticPr fontId="1"/>
  </si>
  <si>
    <t>Vente Ars</t>
    <phoneticPr fontId="1"/>
  </si>
  <si>
    <t>Holyday</t>
    <phoneticPr fontId="1"/>
  </si>
  <si>
    <t>e01.20</t>
    <phoneticPr fontId="1"/>
  </si>
  <si>
    <t>Le Monde diplomatique</t>
    <phoneticPr fontId="1"/>
  </si>
  <si>
    <t>Les Apprentis Sorciers du Climat/La fronde des films e'trangers</t>
    <phoneticPr fontId="1"/>
  </si>
  <si>
    <t>2002/06</t>
    <phoneticPr fontId="1"/>
  </si>
  <si>
    <t>e03.80</t>
    <phoneticPr fontId="1"/>
  </si>
  <si>
    <t>L'Express/Su^rete' ae'rienne/Nouvelles protections</t>
    <phoneticPr fontId="1"/>
  </si>
  <si>
    <t>spe'cial:Paris secret</t>
    <phoneticPr fontId="1"/>
  </si>
  <si>
    <t>Semaine du 27 juin au 03 juillet 2002</t>
    <phoneticPr fontId="1"/>
  </si>
  <si>
    <t>e02.80</t>
    <phoneticPr fontId="1"/>
  </si>
  <si>
    <t>le nouveau DETECTIVE/magazine d'enque^tes</t>
    <phoneticPr fontId="1"/>
  </si>
  <si>
    <t>Les Enfants Cage/15 Te'moins Assassine's !</t>
    <phoneticPr fontId="1"/>
  </si>
  <si>
    <t>e01.40/f10.33</t>
    <phoneticPr fontId="1"/>
  </si>
  <si>
    <t>e01.40</t>
    <phoneticPr fontId="1"/>
  </si>
  <si>
    <t>France</t>
    <phoneticPr fontId="1"/>
  </si>
  <si>
    <t>1969//1857</t>
    <phoneticPr fontId="1"/>
  </si>
  <si>
    <t>//</t>
    <phoneticPr fontId="1"/>
  </si>
  <si>
    <t>1974//1985</t>
    <phoneticPr fontId="1"/>
  </si>
  <si>
    <t>4-480-08837-7</t>
    <phoneticPr fontId="1"/>
  </si>
  <si>
    <t>C0114</t>
    <phoneticPr fontId="1"/>
  </si>
  <si>
    <t>4-480-08838-5</t>
    <phoneticPr fontId="1"/>
  </si>
  <si>
    <t>1892</t>
    <phoneticPr fontId="1"/>
  </si>
  <si>
    <t>1888</t>
    <phoneticPr fontId="1"/>
  </si>
  <si>
    <t>1848</t>
    <phoneticPr fontId="1"/>
  </si>
  <si>
    <t>4-309-46158-1</t>
    <phoneticPr fontId="1"/>
  </si>
  <si>
    <t>4-309-46159-X</t>
    <phoneticPr fontId="1"/>
  </si>
  <si>
    <t>4-533-01381-3</t>
    <phoneticPr fontId="1"/>
  </si>
  <si>
    <t>C2026</t>
    <phoneticPr fontId="1"/>
  </si>
  <si>
    <t>JTB's Illustrated Book Series/Japan in your Pocket !</t>
    <phoneticPr fontId="1"/>
  </si>
  <si>
    <t>JTB</t>
    <phoneticPr fontId="1"/>
  </si>
  <si>
    <t>4-06-159611-X</t>
    <phoneticPr fontId="1"/>
  </si>
  <si>
    <t>1958/1974/2003</t>
    <phoneticPr fontId="1"/>
  </si>
  <si>
    <t>4-16-713103-X</t>
    <phoneticPr fontId="1"/>
  </si>
  <si>
    <t>C0195</t>
    <phoneticPr fontId="1"/>
  </si>
  <si>
    <t>1965,1976</t>
    <phoneticPr fontId="1"/>
  </si>
  <si>
    <t>4-08-749064-5</t>
    <phoneticPr fontId="1"/>
  </si>
  <si>
    <t>Book Off</t>
    <phoneticPr fontId="1"/>
  </si>
  <si>
    <t>subculture/photo</t>
    <phoneticPr fontId="1"/>
  </si>
  <si>
    <t>subculture/comic</t>
    <phoneticPr fontId="1"/>
  </si>
  <si>
    <t>4-10-129751-4</t>
    <phoneticPr fontId="1"/>
  </si>
  <si>
    <t>4-480-08877-6</t>
    <phoneticPr fontId="1"/>
  </si>
  <si>
    <t>C0171</t>
    <phoneticPr fontId="1"/>
  </si>
  <si>
    <t>4-480-08585-8</t>
    <phoneticPr fontId="1"/>
  </si>
  <si>
    <t>4-480-08865-2</t>
    <phoneticPr fontId="1"/>
  </si>
  <si>
    <t>C0136</t>
    <phoneticPr fontId="1"/>
  </si>
  <si>
    <t>4-480-08545-9</t>
    <phoneticPr fontId="1"/>
  </si>
  <si>
    <t>foreign/japan</t>
    <phoneticPr fontId="1"/>
  </si>
  <si>
    <t>??0</t>
    <phoneticPr fontId="1"/>
  </si>
  <si>
    <t>4-10-131633-3</t>
    <phoneticPr fontId="1"/>
  </si>
  <si>
    <t>1992,1997</t>
    <phoneticPr fontId="1"/>
  </si>
  <si>
    <t>4-480-08884-9</t>
    <phoneticPr fontId="1"/>
  </si>
  <si>
    <t>NEW TESTAMENT</t>
    <phoneticPr fontId="1"/>
  </si>
  <si>
    <t>1944</t>
    <phoneticPr fontId="1"/>
  </si>
  <si>
    <t>4-7636-1643-9</t>
    <phoneticPr fontId="1"/>
  </si>
  <si>
    <t>1998/05,2000/11/20</t>
    <phoneticPr fontId="1"/>
  </si>
  <si>
    <t>4-02-260698-3</t>
    <phoneticPr fontId="1"/>
  </si>
  <si>
    <t>C0123</t>
    <phoneticPr fontId="1"/>
  </si>
  <si>
    <t>1992/03/15</t>
    <phoneticPr fontId="1"/>
  </si>
  <si>
    <t>978-4-309-49690-0</t>
    <phoneticPr fontId="1"/>
  </si>
  <si>
    <t>C0121</t>
    <phoneticPr fontId="1"/>
  </si>
  <si>
    <t>copy</t>
    <phoneticPr fontId="1"/>
  </si>
  <si>
    <t>comic</t>
    <phoneticPr fontId="1"/>
  </si>
  <si>
    <t>4-09-134871-8</t>
    <phoneticPr fontId="1"/>
  </si>
  <si>
    <t>4-09-134872-6</t>
    <phoneticPr fontId="1"/>
  </si>
  <si>
    <t>4-06-319868-5</t>
    <phoneticPr fontId="1"/>
  </si>
  <si>
    <t>4-09-109119-9</t>
    <phoneticPr fontId="1"/>
  </si>
  <si>
    <t>C9479</t>
    <phoneticPr fontId="1"/>
  </si>
  <si>
    <t>My First Big</t>
    <phoneticPr fontId="1"/>
  </si>
  <si>
    <t>4-09-108717-1</t>
    <phoneticPr fontId="1"/>
  </si>
  <si>
    <t>C9979</t>
    <phoneticPr fontId="1"/>
  </si>
  <si>
    <t>4-06-337606-0</t>
    <phoneticPr fontId="1"/>
  </si>
  <si>
    <t>4-09-230402-1</t>
    <phoneticPr fontId="1"/>
  </si>
  <si>
    <t>C8321</t>
    <phoneticPr fontId="1"/>
  </si>
  <si>
    <t>4-09-230407-2</t>
    <phoneticPr fontId="1"/>
  </si>
  <si>
    <t>4-09-230411-0</t>
    <phoneticPr fontId="1"/>
  </si>
  <si>
    <t>4-09-253321-7</t>
    <phoneticPr fontId="1"/>
  </si>
  <si>
    <t>4-09-253322-5</t>
    <phoneticPr fontId="1"/>
  </si>
  <si>
    <t>4-09-253323-3</t>
    <phoneticPr fontId="1"/>
  </si>
  <si>
    <t>4-09-253331-4</t>
    <phoneticPr fontId="1"/>
  </si>
  <si>
    <t>4-09-253332-2</t>
    <phoneticPr fontId="1"/>
  </si>
  <si>
    <t>4-09-253333-0</t>
    <phoneticPr fontId="1"/>
  </si>
  <si>
    <t>4-09-298005-1</t>
    <phoneticPr fontId="1"/>
  </si>
  <si>
    <t>4-09-253193-1</t>
    <phoneticPr fontId="1"/>
  </si>
  <si>
    <t>C8330</t>
    <phoneticPr fontId="1"/>
  </si>
  <si>
    <t>4-09-253166-4</t>
    <phoneticPr fontId="1"/>
  </si>
  <si>
    <t>C8350</t>
    <phoneticPr fontId="1"/>
  </si>
  <si>
    <t>4-09-253103-6</t>
    <phoneticPr fontId="1"/>
  </si>
  <si>
    <t>C8581</t>
    <phoneticPr fontId="1"/>
  </si>
  <si>
    <t>1991/1999</t>
    <phoneticPr fontId="1"/>
  </si>
  <si>
    <t>1963,1971</t>
    <phoneticPr fontId="1"/>
  </si>
  <si>
    <t>8340-202011-3041</t>
    <phoneticPr fontId="1"/>
  </si>
  <si>
    <t>4-05-100539-9</t>
    <phoneticPr fontId="1"/>
  </si>
  <si>
    <t>2000/07/07</t>
    <phoneticPr fontId="1"/>
  </si>
  <si>
    <t>sold to Book Off in 2003/05</t>
    <phoneticPr fontId="1"/>
  </si>
  <si>
    <t>4-06-300166-0</t>
    <phoneticPr fontId="1"/>
  </si>
  <si>
    <t>4-06-300181-4</t>
    <phoneticPr fontId="1"/>
  </si>
  <si>
    <t>4-594-02785-7</t>
    <phoneticPr fontId="1"/>
  </si>
  <si>
    <t>C0079</t>
    <phoneticPr fontId="1"/>
  </si>
  <si>
    <t>1999/12/11 Fri_2000/07/09 Sun</t>
    <phoneticPr fontId="1"/>
  </si>
  <si>
    <t>4-594-02887-X</t>
    <phoneticPr fontId="1"/>
  </si>
  <si>
    <t>1992, 1993</t>
    <phoneticPr fontId="1"/>
  </si>
  <si>
    <t>The Japan Times</t>
    <phoneticPr fontId="1"/>
  </si>
  <si>
    <t>2002/09/30</t>
    <phoneticPr fontId="1"/>
  </si>
  <si>
    <t>Books Esoterica/1</t>
    <phoneticPr fontId="1"/>
  </si>
  <si>
    <t>1998/09/10</t>
    <phoneticPr fontId="1"/>
  </si>
  <si>
    <t>1998/07/10</t>
    <phoneticPr fontId="1"/>
  </si>
  <si>
    <t>subculture/ethnic</t>
    <phoneticPr fontId="1"/>
  </si>
  <si>
    <t>Various</t>
    <phoneticPr fontId="1"/>
  </si>
  <si>
    <t>1973, 1996</t>
    <phoneticPr fontId="1"/>
  </si>
  <si>
    <t>1975, 1979</t>
    <phoneticPr fontId="1"/>
  </si>
  <si>
    <t>1983, 1988</t>
    <phoneticPr fontId="1"/>
  </si>
  <si>
    <t>Philip Thody</t>
    <phoneticPr fontId="1"/>
  </si>
  <si>
    <t>1990, 1996/02/25</t>
    <phoneticPr fontId="1"/>
  </si>
  <si>
    <t>1955, 1961</t>
    <phoneticPr fontId="1"/>
  </si>
  <si>
    <t>1943, 1970</t>
    <phoneticPr fontId="1"/>
  </si>
  <si>
    <t>1984, 1989</t>
    <phoneticPr fontId="1"/>
  </si>
  <si>
    <t>1877</t>
    <phoneticPr fontId="1"/>
  </si>
  <si>
    <t>1957, 1968</t>
    <phoneticPr fontId="1"/>
  </si>
  <si>
    <t>4-639-00046-4</t>
    <phoneticPr fontId="1"/>
  </si>
  <si>
    <t>C0321</t>
    <phoneticPr fontId="1"/>
  </si>
  <si>
    <t>TODAY BOOKS/K-9/Original Selection/0000-200009-0819</t>
    <phoneticPr fontId="1"/>
  </si>
  <si>
    <t>1977,1978,1980/1990</t>
    <phoneticPr fontId="1"/>
  </si>
  <si>
    <t>1914, 1992</t>
    <phoneticPr fontId="1"/>
  </si>
  <si>
    <t>KOEI</t>
    <phoneticPr fontId="1"/>
  </si>
  <si>
    <t>2000/07/01</t>
    <phoneticPr fontId="1"/>
  </si>
  <si>
    <t>psychology</t>
    <phoneticPr fontId="1"/>
  </si>
  <si>
    <t>1954, 1982</t>
    <phoneticPr fontId="1"/>
  </si>
  <si>
    <t>1974, 1981</t>
    <phoneticPr fontId="1"/>
  </si>
  <si>
    <t>1978, 1984</t>
    <phoneticPr fontId="1"/>
  </si>
  <si>
    <t>4-7966-4138-6</t>
    <phoneticPr fontId="1"/>
  </si>
  <si>
    <t>2004/06/16</t>
    <phoneticPr fontId="1"/>
  </si>
  <si>
    <t>978-4-401-75112-9</t>
    <phoneticPr fontId="1"/>
  </si>
  <si>
    <t>C0073</t>
    <phoneticPr fontId="1"/>
  </si>
  <si>
    <t>music</t>
    <phoneticPr fontId="1"/>
  </si>
  <si>
    <t>2007/05/</t>
    <phoneticPr fontId="1"/>
  </si>
  <si>
    <t>modern</t>
    <phoneticPr fontId="1"/>
  </si>
  <si>
    <t>1992/11</t>
    <phoneticPr fontId="1"/>
  </si>
  <si>
    <t>ethnic/music</t>
    <phoneticPr fontId="1"/>
  </si>
  <si>
    <t>Compact Books</t>
    <phoneticPr fontId="1"/>
  </si>
  <si>
    <t>ancient</t>
    <phoneticPr fontId="1"/>
  </si>
  <si>
    <t>0073-974130-1958</t>
    <phoneticPr fontId="1"/>
  </si>
  <si>
    <t>cassette book</t>
    <phoneticPr fontId="1"/>
  </si>
  <si>
    <t>Xebec</t>
    <phoneticPr fontId="1"/>
  </si>
  <si>
    <t>music/ethnic</t>
    <phoneticPr fontId="1"/>
  </si>
  <si>
    <t>Photo/Illustration</t>
    <phoneticPr fontId="1"/>
  </si>
  <si>
    <t>4-88718-253-8</t>
    <phoneticPr fontId="1"/>
  </si>
  <si>
    <t>C0036</t>
    <phoneticPr fontId="1"/>
  </si>
  <si>
    <t>4-88718-514-6</t>
    <phoneticPr fontId="1"/>
  </si>
  <si>
    <t>Illustration</t>
    <phoneticPr fontId="1"/>
  </si>
  <si>
    <t>Holydau/sold to Book Off in 2003/05</t>
    <phoneticPr fontId="1"/>
  </si>
  <si>
    <t>1967,1972,1977</t>
    <phoneticPr fontId="1"/>
  </si>
  <si>
    <t>4-7976-7022-3</t>
    <phoneticPr fontId="1"/>
  </si>
  <si>
    <t>C0011</t>
    <phoneticPr fontId="1"/>
  </si>
  <si>
    <t>2000/10/10</t>
    <phoneticPr fontId="1"/>
  </si>
  <si>
    <t>1997, 2000</t>
    <phoneticPr fontId="1"/>
  </si>
  <si>
    <t>subculture/psychology</t>
    <phoneticPr fontId="1"/>
  </si>
  <si>
    <t>1985/05/14</t>
    <phoneticPr fontId="1"/>
  </si>
  <si>
    <t>4-09-346021-3</t>
    <phoneticPr fontId="1"/>
  </si>
  <si>
    <t>C0026</t>
    <phoneticPr fontId="1"/>
  </si>
  <si>
    <t>DIME BOOKS</t>
    <phoneticPr fontId="1"/>
  </si>
  <si>
    <t>4-09-394061-4</t>
    <phoneticPr fontId="1"/>
  </si>
  <si>
    <t>C0047</t>
    <phoneticPr fontId="1"/>
  </si>
  <si>
    <t>4-14-001356-7</t>
    <phoneticPr fontId="1"/>
  </si>
  <si>
    <t>C1339</t>
    <phoneticPr fontId="1"/>
  </si>
  <si>
    <t>4-89330-996-X</t>
    <phoneticPr fontId="1"/>
  </si>
  <si>
    <t>C0070</t>
    <phoneticPr fontId="1"/>
  </si>
  <si>
    <t>vol.06</t>
    <phoneticPr fontId="1"/>
  </si>
  <si>
    <t>Fiction,inc.</t>
    <phoneticPr fontId="1"/>
  </si>
  <si>
    <t>1987/03/10</t>
    <phoneticPr fontId="1"/>
  </si>
  <si>
    <t>vol.07</t>
    <phoneticPr fontId="1"/>
  </si>
  <si>
    <t>1977, 1983</t>
    <phoneticPr fontId="1"/>
  </si>
  <si>
    <t>4-8387-1741-5</t>
    <phoneticPr fontId="1"/>
  </si>
  <si>
    <t>*/</t>
    <phoneticPr fontId="1"/>
  </si>
  <si>
    <t>2000/09/02</t>
    <phoneticPr fontId="1"/>
  </si>
  <si>
    <t>2000/11/29</t>
    <phoneticPr fontId="1"/>
  </si>
  <si>
    <t>978-4-7916-1355-7</t>
    <phoneticPr fontId="1"/>
  </si>
  <si>
    <t>C2077</t>
    <phoneticPr fontId="1"/>
  </si>
  <si>
    <t>4-938933-56-X</t>
    <phoneticPr fontId="1"/>
  </si>
  <si>
    <t>ethnic/subculture</t>
    <phoneticPr fontId="1"/>
  </si>
  <si>
    <t>Haryantho S.Nugroho</t>
    <phoneticPr fontId="1"/>
  </si>
  <si>
    <t>Penerbit APOLLO Surabaya</t>
    <phoneticPr fontId="1"/>
  </si>
  <si>
    <t>Rp1300</t>
    <phoneticPr fontId="1"/>
  </si>
  <si>
    <t>MB.Rahimsyah</t>
    <phoneticPr fontId="1"/>
  </si>
  <si>
    <t>Rp3000</t>
    <phoneticPr fontId="1"/>
  </si>
  <si>
    <t>Untuk Kebahagiaan Suami-Istri</t>
    <phoneticPr fontId="1"/>
  </si>
  <si>
    <t>Rp1925</t>
    <phoneticPr fontId="1"/>
  </si>
  <si>
    <t>Rp2200</t>
    <phoneticPr fontId="1"/>
  </si>
  <si>
    <t>Gungkak Bob</t>
    <phoneticPr fontId="1"/>
  </si>
  <si>
    <t>Night Songs</t>
    <phoneticPr fontId="1"/>
  </si>
  <si>
    <t>Rp12000</t>
    <phoneticPr fontId="1"/>
  </si>
  <si>
    <t>Leon Comber</t>
    <phoneticPr fontId="1"/>
  </si>
  <si>
    <t>Favarite Stories from ASIA</t>
    <phoneticPr fontId="1"/>
  </si>
  <si>
    <t>Marguerite Siek</t>
    <phoneticPr fontId="1"/>
  </si>
  <si>
    <t>Favarite Stories from INDONESIA</t>
    <phoneticPr fontId="1"/>
  </si>
  <si>
    <t>Terry Satterthwaite &amp; Ketut Rusni</t>
    <phoneticPr fontId="1"/>
  </si>
  <si>
    <t>Guidebook for Balinese Prayer</t>
    <phoneticPr fontId="1"/>
  </si>
  <si>
    <t>Rp15000</t>
    <phoneticPr fontId="1"/>
  </si>
  <si>
    <t>Seni Rupa</t>
    <phoneticPr fontId="1"/>
  </si>
  <si>
    <t>Rp4500</t>
    <phoneticPr fontId="1"/>
  </si>
  <si>
    <t>Peter Curry</t>
    <phoneticPr fontId="1"/>
  </si>
  <si>
    <t>I Can TOUCH</t>
    <phoneticPr fontId="1"/>
  </si>
  <si>
    <t>Rp6000/$3.50</t>
    <phoneticPr fontId="1"/>
  </si>
  <si>
    <t>Misaka book store</t>
    <phoneticPr fontId="1"/>
  </si>
  <si>
    <t>New Tsuda Readers</t>
    <phoneticPr fontId="1"/>
  </si>
  <si>
    <t>Book II</t>
    <phoneticPr fontId="1"/>
  </si>
  <si>
    <t>Book III</t>
    <phoneticPr fontId="1"/>
  </si>
  <si>
    <t>4-06-211808-4</t>
    <phoneticPr fontId="1"/>
  </si>
  <si>
    <t>C0093</t>
    <phoneticPr fontId="1"/>
  </si>
  <si>
    <t>1982/02/28</t>
    <phoneticPr fontId="1"/>
  </si>
  <si>
    <t>2000~2001</t>
    <phoneticPr fontId="1"/>
  </si>
  <si>
    <t>4-08-775364-6</t>
    <phoneticPr fontId="1"/>
  </si>
  <si>
    <t>2007/10/</t>
    <phoneticPr fontId="1"/>
  </si>
  <si>
    <t>4-10-441204-X</t>
    <phoneticPr fontId="1"/>
  </si>
  <si>
    <t>4-16-324860-9</t>
    <phoneticPr fontId="1"/>
  </si>
  <si>
    <t>japan/france</t>
    <phoneticPr fontId="1"/>
  </si>
  <si>
    <t>2001/07/06</t>
    <phoneticPr fontId="1"/>
  </si>
  <si>
    <t>2000/03/25</t>
    <phoneticPr fontId="1"/>
  </si>
  <si>
    <t>2003/03/12</t>
    <phoneticPr fontId="1"/>
  </si>
  <si>
    <t>basilico</t>
    <phoneticPr fontId="1"/>
  </si>
  <si>
    <t>4-06-213161-7</t>
    <phoneticPr fontId="1"/>
  </si>
  <si>
    <t>2005/12/15</t>
    <phoneticPr fontId="1"/>
  </si>
  <si>
    <t>2005/12/</t>
    <phoneticPr fontId="1"/>
  </si>
  <si>
    <t>1924/01/11</t>
    <phoneticPr fontId="1"/>
  </si>
  <si>
    <t>2004/04/</t>
    <phoneticPr fontId="1"/>
  </si>
  <si>
    <t>1985, 1988</t>
    <phoneticPr fontId="1"/>
  </si>
  <si>
    <t>1989, 1997</t>
    <phoneticPr fontId="1"/>
  </si>
  <si>
    <t>4-309-20242-X</t>
    <phoneticPr fontId="1"/>
  </si>
  <si>
    <t>C0097</t>
    <phoneticPr fontId="1"/>
  </si>
  <si>
    <t>1943</t>
    <phoneticPr fontId="1"/>
  </si>
  <si>
    <t>1977, 1981</t>
    <phoneticPr fontId="1"/>
  </si>
  <si>
    <t>1992, 1994</t>
    <phoneticPr fontId="1"/>
  </si>
  <si>
    <t>1959, 1979</t>
    <phoneticPr fontId="1"/>
  </si>
  <si>
    <t>1979, 1989</t>
    <phoneticPr fontId="1"/>
  </si>
  <si>
    <t>1967, 1972</t>
    <phoneticPr fontId="1"/>
  </si>
  <si>
    <t>1975, 1980</t>
    <phoneticPr fontId="1"/>
  </si>
  <si>
    <t>1975, 1989</t>
    <phoneticPr fontId="1"/>
  </si>
  <si>
    <t>1966, 1978</t>
    <phoneticPr fontId="1"/>
  </si>
  <si>
    <t>1907, 1984</t>
    <phoneticPr fontId="1"/>
  </si>
  <si>
    <t>1870, 1976</t>
    <phoneticPr fontId="1"/>
  </si>
  <si>
    <t>1978, 1985</t>
    <phoneticPr fontId="1"/>
  </si>
  <si>
    <t>1979, 1981</t>
    <phoneticPr fontId="1"/>
  </si>
  <si>
    <t>1957, 1985</t>
    <phoneticPr fontId="1"/>
  </si>
  <si>
    <t>1959, 1989</t>
    <phoneticPr fontId="1"/>
  </si>
  <si>
    <t>1951, 1965, 1978, 1981</t>
    <phoneticPr fontId="1"/>
  </si>
  <si>
    <t>1972, 1977</t>
    <phoneticPr fontId="1"/>
  </si>
  <si>
    <t>1973, 1980</t>
    <phoneticPr fontId="1"/>
  </si>
  <si>
    <t>1952, 1971</t>
    <phoneticPr fontId="1"/>
  </si>
  <si>
    <t>1957, 1979</t>
    <phoneticPr fontId="1"/>
  </si>
  <si>
    <t>1990, 1995, 1999/11/01</t>
    <phoneticPr fontId="1"/>
  </si>
  <si>
    <t>1951, 1979</t>
    <phoneticPr fontId="1"/>
  </si>
  <si>
    <t>1967, 1981</t>
    <phoneticPr fontId="1"/>
  </si>
  <si>
    <t>1963, 1966</t>
    <phoneticPr fontId="1"/>
  </si>
  <si>
    <t>1967, 1969</t>
    <phoneticPr fontId="1"/>
  </si>
  <si>
    <t>1947, 1970</t>
    <phoneticPr fontId="1"/>
  </si>
  <si>
    <t>1989, 1992</t>
    <phoneticPr fontId="1"/>
  </si>
  <si>
    <t>1918, 1991</t>
    <phoneticPr fontId="1"/>
  </si>
  <si>
    <t>1942, 1944, 1953</t>
    <phoneticPr fontId="1"/>
  </si>
  <si>
    <t>1968, 1995</t>
    <phoneticPr fontId="1"/>
  </si>
  <si>
    <t>1947, 1987</t>
    <phoneticPr fontId="1"/>
  </si>
  <si>
    <t>1953, 1988</t>
    <phoneticPr fontId="1"/>
  </si>
  <si>
    <t>1974, 1985</t>
    <phoneticPr fontId="1"/>
  </si>
  <si>
    <t>1991, 1996</t>
    <phoneticPr fontId="1"/>
  </si>
  <si>
    <t>1988, 1998</t>
    <phoneticPr fontId="1"/>
  </si>
  <si>
    <t>Planetary Classics</t>
    <phoneticPr fontId="1"/>
  </si>
  <si>
    <t>1929, 1970</t>
    <phoneticPr fontId="1"/>
  </si>
  <si>
    <t>Mets,Alan</t>
    <phoneticPr fontId="1"/>
  </si>
  <si>
    <t>Le Miam-Miam</t>
    <phoneticPr fontId="1"/>
  </si>
  <si>
    <t>Mouche de poche</t>
    <phoneticPr fontId="1"/>
  </si>
  <si>
    <t>l'e'cole des loisirs</t>
    <phoneticPr fontId="1"/>
  </si>
  <si>
    <t>2-211-052-36-3</t>
    <phoneticPr fontId="1"/>
  </si>
  <si>
    <t>Altan</t>
    <phoneticPr fontId="1"/>
  </si>
  <si>
    <t>vole, petit oiseau !</t>
    <phoneticPr fontId="1"/>
  </si>
  <si>
    <t>1979/1978</t>
    <phoneticPr fontId="1"/>
  </si>
  <si>
    <t>lutin poche de l'e'cole des loisirs</t>
    <phoneticPr fontId="1"/>
  </si>
  <si>
    <t>3.99/f34</t>
    <phoneticPr fontId="1"/>
  </si>
  <si>
    <t>Picoti/pour tous les be'be's/A` la plage avec Margot/EN CADEAU Ta cassette de Comptines/Comptines a` danser tout l'e'te'</t>
    <phoneticPr fontId="1"/>
  </si>
  <si>
    <t>Milan press</t>
    <phoneticPr fontId="1"/>
  </si>
  <si>
    <t>e04.50/f135</t>
    <phoneticPr fontId="1"/>
  </si>
  <si>
    <t>Toboggan/le complice a` malices/De`s 5 ans/voila` les Indians !/37 autocollants</t>
    <phoneticPr fontId="1"/>
  </si>
  <si>
    <t>2002/07</t>
    <phoneticPr fontId="1"/>
  </si>
  <si>
    <t>e04.80/f280</t>
    <phoneticPr fontId="1"/>
  </si>
  <si>
    <t>2-8034-2081-3</t>
    <phoneticPr fontId="1"/>
  </si>
  <si>
    <t>Bonhomme,Dr Monique</t>
    <phoneticPr fontId="1"/>
  </si>
  <si>
    <t>Maman, d'ou` viennent lea be'be's ?/E'ducation sexuelle pour les enfants de 5 a` 9 ans</t>
    <phoneticPr fontId="1"/>
  </si>
  <si>
    <t>Chantecler</t>
    <phoneticPr fontId="1"/>
  </si>
  <si>
    <t>e12.89/f84.55</t>
    <phoneticPr fontId="1"/>
  </si>
  <si>
    <t>2-203-10122-9</t>
    <phoneticPr fontId="1"/>
  </si>
  <si>
    <t>Delahaye,Gilbert/Marlier,Marcel</t>
    <phoneticPr fontId="1"/>
  </si>
  <si>
    <t>martine/22/petit rat de l'ope'ra</t>
    <phoneticPr fontId="1"/>
  </si>
  <si>
    <t>casterman</t>
    <phoneticPr fontId="1"/>
  </si>
  <si>
    <t>L'Opera</t>
    <phoneticPr fontId="1"/>
  </si>
  <si>
    <t>2-203-10135-0</t>
    <phoneticPr fontId="1"/>
  </si>
  <si>
    <t>martine/35/de'couvre la musique</t>
    <phoneticPr fontId="1"/>
  </si>
  <si>
    <t>Un petit mot pour le dire…</t>
    <phoneticPr fontId="1"/>
  </si>
  <si>
    <t>Fotomania</t>
    <phoneticPr fontId="1"/>
  </si>
  <si>
    <t>2-87833-321-7</t>
    <phoneticPr fontId="1"/>
  </si>
  <si>
    <t>Slobodkina,Esphyr</t>
    <phoneticPr fontId="1"/>
  </si>
  <si>
    <t>Elles sont belles mes casquettes !</t>
    <phoneticPr fontId="1"/>
  </si>
  <si>
    <t>1967/2002/2003</t>
    <phoneticPr fontId="1"/>
  </si>
  <si>
    <t>a partir de 4 ans</t>
    <phoneticPr fontId="1"/>
  </si>
  <si>
    <t>circonflexe</t>
    <phoneticPr fontId="1"/>
  </si>
  <si>
    <t>9-782878-333213</t>
    <phoneticPr fontId="1"/>
  </si>
  <si>
    <t>0-8431-208*-*</t>
    <phoneticPr fontId="1"/>
  </si>
  <si>
    <t>cd-book</t>
    <phoneticPr fontId="1"/>
  </si>
  <si>
    <t>Blackman Hurwitz,Andy</t>
    <phoneticPr fontId="1"/>
  </si>
  <si>
    <t>Cunningham,Andrew</t>
    <phoneticPr fontId="1"/>
  </si>
  <si>
    <t>illustration</t>
    <phoneticPr fontId="1"/>
  </si>
  <si>
    <t>2006</t>
    <phoneticPr fontId="1"/>
  </si>
  <si>
    <t>BABY LOVES JAZZ/BABY LOVES MUSIC presents</t>
    <phoneticPr fontId="1"/>
  </si>
  <si>
    <t>PSS!(PRICE STERN SLOAN)</t>
    <phoneticPr fontId="1"/>
  </si>
  <si>
    <t>yet</t>
    <phoneticPr fontId="1"/>
  </si>
  <si>
    <t>$7.99,CAN$10.99</t>
    <phoneticPr fontId="1"/>
  </si>
  <si>
    <t>Ellis,John : arrange &amp; sax; Goldberg,Aaron : arrange &amp; piano; Avital,Omer : bass; Jackson,Ali : drums &amp; raps; Sadownick,Daniel : percussion; Jones,Sharon : vocals, Miles Griffith : vocals; Bernstein, Steven : trumpet</t>
    <phoneticPr fontId="1"/>
  </si>
  <si>
    <t>0-8431-2083-5</t>
    <phoneticPr fontId="1"/>
  </si>
  <si>
    <t>0-8431-2085-1</t>
    <phoneticPr fontId="1"/>
  </si>
  <si>
    <t>0-8431-2084-3</t>
    <phoneticPr fontId="1"/>
  </si>
  <si>
    <t>978-0-8431-1580-2</t>
    <phoneticPr fontId="1"/>
  </si>
  <si>
    <t>Pamela Conn Beall, Susan Hagen Nipp</t>
    <phoneticPr fontId="1"/>
  </si>
  <si>
    <t>Liisa Chauncy Guida</t>
    <phoneticPr fontId="1"/>
  </si>
  <si>
    <t>Wee Sing for Christmas</t>
    <phoneticPr fontId="1"/>
  </si>
  <si>
    <t>2005/09/15</t>
    <phoneticPr fontId="1"/>
  </si>
  <si>
    <t>$9.99,CAN$12.50</t>
    <phoneticPr fontId="1"/>
  </si>
  <si>
    <t>Feiffer,Jules</t>
    <phoneticPr fontId="1"/>
  </si>
  <si>
    <t>Il Complesso Facile</t>
    <phoneticPr fontId="1"/>
  </si>
  <si>
    <t>guiga alla coscienza inquieta</t>
    <phoneticPr fontId="1"/>
  </si>
  <si>
    <t>Bompiani</t>
    <phoneticPr fontId="1"/>
  </si>
  <si>
    <t>2004/05</t>
    <phoneticPr fontId="1"/>
  </si>
  <si>
    <t>5.00 euro/1500 lira</t>
    <phoneticPr fontId="1"/>
  </si>
  <si>
    <t>Italy/Titoli Originali/Sick,Sick,Sick-The Explainers/a cura di Umberto Eco e Cathy Berberian</t>
    <phoneticPr fontId="1"/>
  </si>
  <si>
    <t>88-8290-274-9</t>
    <phoneticPr fontId="1"/>
  </si>
  <si>
    <t>Pontalti,Erica &amp; Balducci,Pierluigi</t>
    <phoneticPr fontId="1"/>
  </si>
  <si>
    <t>un muso lungo cosi !</t>
    <phoneticPr fontId="1"/>
  </si>
  <si>
    <t>20659/Ragazzi</t>
    <phoneticPr fontId="1"/>
  </si>
  <si>
    <t>Franco Panini</t>
    <phoneticPr fontId="1"/>
  </si>
  <si>
    <t>5.94 euro/11500 lira</t>
    <phoneticPr fontId="1"/>
  </si>
  <si>
    <t>88-8290-275-7</t>
    <phoneticPr fontId="1"/>
  </si>
  <si>
    <t>singhiozzi &amp; singulti</t>
    <phoneticPr fontId="1"/>
  </si>
  <si>
    <t>20660/Ragazzi</t>
    <phoneticPr fontId="1"/>
  </si>
  <si>
    <t>88-8290-276-5</t>
    <phoneticPr fontId="1"/>
  </si>
  <si>
    <t>che strizza !</t>
    <phoneticPr fontId="1"/>
  </si>
  <si>
    <t>20661/Ragazzi</t>
    <phoneticPr fontId="1"/>
  </si>
  <si>
    <t>la Reunion des musees nationaux</t>
    <phoneticPr fontId="1"/>
  </si>
  <si>
    <t>editions</t>
    <phoneticPr fontId="1"/>
  </si>
  <si>
    <t>Japon/coloriages</t>
    <phoneticPr fontId="1"/>
  </si>
  <si>
    <t>Paris</t>
    <phoneticPr fontId="1"/>
  </si>
  <si>
    <t>4.15 euro</t>
    <phoneticPr fontId="1"/>
  </si>
  <si>
    <t>Genova,Italy</t>
    <phoneticPr fontId="1"/>
  </si>
  <si>
    <t>Alfaioli,Massimo</t>
    <phoneticPr fontId="1"/>
  </si>
  <si>
    <t>illustrazioni</t>
    <phoneticPr fontId="1"/>
  </si>
  <si>
    <t>L'Allegra Fattoria</t>
    <phoneticPr fontId="1"/>
  </si>
  <si>
    <t>da colorare</t>
    <phoneticPr fontId="1"/>
  </si>
  <si>
    <t>Giunti Zerosei</t>
    <phoneticPr fontId="1"/>
  </si>
  <si>
    <t>2.90 euro</t>
    <phoneticPr fontId="1"/>
  </si>
  <si>
    <t>0-333-77396-9</t>
    <phoneticPr fontId="1"/>
  </si>
  <si>
    <t>toy</t>
    <phoneticPr fontId="1"/>
  </si>
  <si>
    <t>Crabtree,Sally &amp; Mathieson,Roberta</t>
    <phoneticPr fontId="1"/>
  </si>
  <si>
    <t>concept</t>
    <phoneticPr fontId="1"/>
  </si>
  <si>
    <t>Campbell Books/Bolam,Emily</t>
    <phoneticPr fontId="1"/>
  </si>
  <si>
    <t>text/illustration</t>
    <phoneticPr fontId="1"/>
  </si>
  <si>
    <t>Chunky Farm/pig</t>
    <phoneticPr fontId="1"/>
  </si>
  <si>
    <t>2000, 2002/08/22</t>
    <phoneticPr fontId="1"/>
  </si>
  <si>
    <t>Campbell Books/Tokyo Bookland.inc.</t>
    <phoneticPr fontId="1"/>
  </si>
  <si>
    <t>3.99 dollar</t>
    <phoneticPr fontId="1"/>
  </si>
  <si>
    <t>0-734-30491-9</t>
    <phoneticPr fontId="1"/>
  </si>
  <si>
    <t>C0408</t>
    <phoneticPr fontId="1"/>
  </si>
  <si>
    <t>Nicol,Helen &amp; Pien'kowski,Jan</t>
    <phoneticPr fontId="1"/>
  </si>
  <si>
    <t>1972~2002</t>
    <phoneticPr fontId="1"/>
  </si>
  <si>
    <t>Claremont/Miyoshi</t>
    <phoneticPr fontId="1"/>
  </si>
  <si>
    <t>4-309-26433-6</t>
    <phoneticPr fontId="1"/>
  </si>
  <si>
    <t>1963, 1991</t>
    <phoneticPr fontId="1"/>
  </si>
  <si>
    <t>4-309-26434-4</t>
    <phoneticPr fontId="1"/>
  </si>
  <si>
    <t>4-309-26589-8</t>
    <phoneticPr fontId="1"/>
  </si>
  <si>
    <t>1963, 2002</t>
    <phoneticPr fontId="1"/>
  </si>
  <si>
    <t>4-309-26497-2</t>
    <phoneticPr fontId="1"/>
  </si>
  <si>
    <t>1961, 2001</t>
    <phoneticPr fontId="1"/>
  </si>
  <si>
    <t>4-8340-1733-8</t>
    <phoneticPr fontId="1"/>
  </si>
  <si>
    <t>C8798</t>
    <phoneticPr fontId="1"/>
  </si>
  <si>
    <t>4-571-12571-3</t>
    <phoneticPr fontId="1"/>
  </si>
  <si>
    <t>C1377</t>
    <phoneticPr fontId="1"/>
  </si>
  <si>
    <t>4-251-00203-7</t>
    <phoneticPr fontId="1"/>
  </si>
  <si>
    <t>4-8340-0515-8</t>
    <phoneticPr fontId="1"/>
  </si>
  <si>
    <t>4-564-00364-6</t>
    <phoneticPr fontId="1"/>
  </si>
  <si>
    <t>C8773</t>
    <phoneticPr fontId="1"/>
  </si>
  <si>
    <t>1989/04~1993/03,1994</t>
    <phoneticPr fontId="1"/>
  </si>
  <si>
    <t>OK!/First for Celebrity News</t>
    <phoneticPr fontId="1"/>
  </si>
  <si>
    <t>Now Free Inside/Two Magazines for the Price of One!</t>
    <phoneticPr fontId="1"/>
  </si>
  <si>
    <t>2002/07/17</t>
    <phoneticPr fontId="1"/>
  </si>
  <si>
    <t>issue 324/weekly</t>
    <phoneticPr fontId="1"/>
  </si>
  <si>
    <t>Daily Express/The World's Greatest Newspaper/Crusading for a safer Britain</t>
    <phoneticPr fontId="1"/>
  </si>
  <si>
    <t>Millions in HRT Danger/How to retire early</t>
    <phoneticPr fontId="1"/>
  </si>
  <si>
    <t>35p</t>
    <phoneticPr fontId="1"/>
  </si>
  <si>
    <t>Daily Mirror/Newspaper of the Year</t>
    <phoneticPr fontId="1"/>
  </si>
  <si>
    <t>Touch on Crime?/They'd Laugh If It Didn't Hurt So Mush</t>
    <phoneticPr fontId="1"/>
  </si>
  <si>
    <t>2002/07/12 Fri</t>
    <phoneticPr fontId="1"/>
  </si>
  <si>
    <t>20p</t>
    <phoneticPr fontId="1"/>
  </si>
  <si>
    <t>From Dusk to Dawn</t>
    <phoneticPr fontId="1"/>
  </si>
  <si>
    <t>2002/07/10~17</t>
    <phoneticPr fontId="1"/>
  </si>
  <si>
    <t>Big City/All That is London</t>
    <phoneticPr fontId="1"/>
  </si>
  <si>
    <t>Summer in the city</t>
    <phoneticPr fontId="1"/>
  </si>
  <si>
    <t>1997/12</t>
    <phoneticPr fontId="1"/>
  </si>
  <si>
    <t>1998/12</t>
    <phoneticPr fontId="1"/>
  </si>
  <si>
    <t>music/ethnic</t>
    <phoneticPr fontId="1"/>
  </si>
  <si>
    <t>Vol.175</t>
    <phoneticPr fontId="1"/>
  </si>
  <si>
    <t>Infas</t>
    <phoneticPr fontId="1"/>
  </si>
  <si>
    <t>no.12</t>
    <phoneticPr fontId="1"/>
  </si>
  <si>
    <t>music/subculture/japan</t>
    <phoneticPr fontId="1"/>
  </si>
  <si>
    <t>2000/07</t>
    <phoneticPr fontId="1"/>
  </si>
  <si>
    <t>2000/08</t>
    <phoneticPr fontId="1"/>
  </si>
  <si>
    <t>1991/08</t>
    <phoneticPr fontId="1"/>
  </si>
  <si>
    <t>vol.10/No.8</t>
    <phoneticPr fontId="1"/>
  </si>
  <si>
    <t>1999/05</t>
    <phoneticPr fontId="1"/>
  </si>
  <si>
    <t>08480-12</t>
    <phoneticPr fontId="1"/>
  </si>
  <si>
    <t>2006/12/01</t>
    <phoneticPr fontId="1"/>
  </si>
  <si>
    <t>303</t>
    <phoneticPr fontId="1"/>
  </si>
  <si>
    <t>599</t>
    <phoneticPr fontId="1"/>
  </si>
  <si>
    <t>2002/02/01</t>
    <phoneticPr fontId="1"/>
  </si>
  <si>
    <t>1998/09</t>
    <phoneticPr fontId="1"/>
  </si>
  <si>
    <t>No203</t>
    <phoneticPr fontId="1"/>
  </si>
  <si>
    <t>1998/06/11</t>
    <phoneticPr fontId="1"/>
  </si>
  <si>
    <t>No12</t>
    <phoneticPr fontId="1"/>
  </si>
  <si>
    <t>2000/09/29</t>
    <phoneticPr fontId="1"/>
  </si>
  <si>
    <t>1994/05,1995</t>
    <phoneticPr fontId="1"/>
  </si>
  <si>
    <t>medecine</t>
    <phoneticPr fontId="1"/>
  </si>
  <si>
    <t>2001/10/09</t>
    <phoneticPr fontId="1"/>
  </si>
  <si>
    <t>09</t>
    <phoneticPr fontId="1"/>
  </si>
  <si>
    <t>2001/12/04</t>
    <phoneticPr fontId="1"/>
  </si>
  <si>
    <t>15</t>
    <phoneticPr fontId="1"/>
  </si>
  <si>
    <t>2002/12/22</t>
    <phoneticPr fontId="1"/>
  </si>
  <si>
    <t>17</t>
    <phoneticPr fontId="1"/>
  </si>
  <si>
    <t>2002/02/05</t>
    <phoneticPr fontId="1"/>
  </si>
  <si>
    <t>22</t>
    <phoneticPr fontId="1"/>
  </si>
  <si>
    <t>2002/03/12</t>
    <phoneticPr fontId="1"/>
  </si>
  <si>
    <t>30</t>
    <phoneticPr fontId="1"/>
  </si>
  <si>
    <t>2002/05/07</t>
    <phoneticPr fontId="1"/>
  </si>
  <si>
    <t>1973,1998</t>
    <phoneticPr fontId="1"/>
  </si>
  <si>
    <t>1965/03/15</t>
    <phoneticPr fontId="1"/>
  </si>
  <si>
    <t>Anna Seghers</t>
    <phoneticPr fontId="1"/>
  </si>
  <si>
    <t>Dictionaire de Poche/Pocket Dictionary</t>
    <phoneticPr fontId="1"/>
  </si>
  <si>
    <t>Francais-Anglais/English-French/80 000 traductions</t>
    <phoneticPr fontId="1"/>
  </si>
  <si>
    <t>e06.86/f45.00</t>
    <phoneticPr fontId="1"/>
  </si>
  <si>
    <t>1998/01/20,2002/03/10</t>
    <phoneticPr fontId="1"/>
  </si>
  <si>
    <t>4-560-00024-7</t>
    <phoneticPr fontId="1"/>
  </si>
  <si>
    <t>4-01-075019-7</t>
    <phoneticPr fontId="1"/>
  </si>
  <si>
    <t>4-87731-195-5</t>
    <phoneticPr fontId="1"/>
  </si>
  <si>
    <t>C0587</t>
    <phoneticPr fontId="1"/>
  </si>
  <si>
    <t>2003/08/10</t>
    <phoneticPr fontId="1"/>
  </si>
  <si>
    <t>4-88724-187-9</t>
    <phoneticPr fontId="1"/>
  </si>
  <si>
    <t>C0585</t>
    <phoneticPr fontId="1"/>
  </si>
  <si>
    <t>2001/10/08</t>
    <phoneticPr fontId="1"/>
  </si>
  <si>
    <t>DHC</t>
    <phoneticPr fontId="1"/>
  </si>
  <si>
    <t>4-315-40335-0</t>
    <phoneticPr fontId="1"/>
  </si>
  <si>
    <t>C3085</t>
    <phoneticPr fontId="1"/>
  </si>
  <si>
    <t>4-315-40336-9</t>
    <phoneticPr fontId="1"/>
  </si>
  <si>
    <t>4-09-515401-2</t>
    <phoneticPr fontId="1"/>
  </si>
  <si>
    <t>Italy</t>
    <phoneticPr fontId="1"/>
  </si>
  <si>
    <t>1966,1983</t>
    <phoneticPr fontId="1"/>
  </si>
  <si>
    <t>4-09-506121-9</t>
    <phoneticPr fontId="1"/>
  </si>
  <si>
    <t>4-384-02076-7</t>
    <phoneticPr fontId="1"/>
  </si>
  <si>
    <t>C2026</t>
    <phoneticPr fontId="1"/>
  </si>
  <si>
    <t>2002/08/20</t>
    <phoneticPr fontId="1"/>
  </si>
  <si>
    <t>978-4-255-00291-0</t>
    <phoneticPr fontId="1"/>
  </si>
  <si>
    <t>C0882</t>
    <phoneticPr fontId="1"/>
  </si>
  <si>
    <t>2005</t>
    <phoneticPr fontId="1"/>
  </si>
  <si>
    <t>978-4-7674-1421-8</t>
    <phoneticPr fontId="1"/>
  </si>
  <si>
    <t>C0582</t>
    <phoneticPr fontId="1"/>
  </si>
  <si>
    <t>1984/1999</t>
    <phoneticPr fontId="1"/>
  </si>
  <si>
    <t>978-4-00-130161-8</t>
    <phoneticPr fontId="1"/>
  </si>
  <si>
    <t>C0800</t>
    <phoneticPr fontId="1"/>
  </si>
  <si>
    <t>2008</t>
    <phoneticPr fontId="1"/>
  </si>
  <si>
    <t>2008/01/11</t>
    <phoneticPr fontId="1"/>
  </si>
  <si>
    <t>978-4-00-080121-8</t>
    <phoneticPr fontId="1"/>
  </si>
  <si>
    <t>C0500</t>
    <phoneticPr fontId="1"/>
  </si>
  <si>
    <t>1955/2008</t>
    <phoneticPr fontId="1"/>
  </si>
  <si>
    <t>4-08-400002-7</t>
    <phoneticPr fontId="1"/>
  </si>
  <si>
    <t>C0581</t>
    <phoneticPr fontId="1"/>
  </si>
  <si>
    <t>1958/2007</t>
    <phoneticPr fontId="1"/>
  </si>
  <si>
    <t>Edward E.Daub,R.Byron Bird</t>
    <phoneticPr fontId="1"/>
  </si>
  <si>
    <t>Inoue,Nobuo</t>
    <phoneticPr fontId="1"/>
  </si>
  <si>
    <t>4-560-00559-1</t>
    <phoneticPr fontId="1"/>
  </si>
  <si>
    <t>C3087</t>
    <phoneticPr fontId="1"/>
  </si>
  <si>
    <t>4-255-00016-6</t>
    <phoneticPr fontId="1"/>
  </si>
  <si>
    <t>C0087</t>
    <phoneticPr fontId="1"/>
  </si>
  <si>
    <t>2000</t>
    <phoneticPr fontId="1"/>
  </si>
  <si>
    <t>4-475-01392-5</t>
    <phoneticPr fontId="1"/>
  </si>
  <si>
    <t>1996/05/30</t>
    <phoneticPr fontId="1"/>
  </si>
  <si>
    <t>4-469-15001-0</t>
    <phoneticPr fontId="1"/>
  </si>
  <si>
    <t>C3385</t>
    <phoneticPr fontId="1"/>
  </si>
  <si>
    <t>4-87615-027-3</t>
    <phoneticPr fontId="1"/>
  </si>
  <si>
    <t>C0085</t>
    <phoneticPr fontId="1"/>
  </si>
  <si>
    <t>4-01-075011-1</t>
    <phoneticPr fontId="1"/>
  </si>
  <si>
    <t>1986,1990</t>
    <phoneticPr fontId="1"/>
  </si>
  <si>
    <t>4-87615-642-5</t>
    <phoneticPr fontId="1"/>
  </si>
  <si>
    <t>4-411-02042-4</t>
    <phoneticPr fontId="1"/>
  </si>
  <si>
    <t>C0095</t>
    <phoneticPr fontId="1"/>
  </si>
  <si>
    <t>4-411-00439-9</t>
    <phoneticPr fontId="1"/>
  </si>
  <si>
    <t>C2085</t>
    <phoneticPr fontId="1"/>
  </si>
  <si>
    <t>4-8086-0226-1</t>
    <phoneticPr fontId="1"/>
  </si>
  <si>
    <t>C1085</t>
    <phoneticPr fontId="1"/>
  </si>
  <si>
    <t>1958,1989</t>
    <phoneticPr fontId="1"/>
  </si>
  <si>
    <t>4-309-01488-7</t>
    <phoneticPr fontId="1"/>
  </si>
  <si>
    <t>C0082</t>
    <phoneticPr fontId="1"/>
  </si>
  <si>
    <t>2002/09/01</t>
    <phoneticPr fontId="1"/>
  </si>
  <si>
    <t>2003</t>
    <phoneticPr fontId="1"/>
  </si>
  <si>
    <t>ALC</t>
    <phoneticPr fontId="1"/>
  </si>
  <si>
    <t>4-8071-245-X</t>
    <phoneticPr fontId="1"/>
  </si>
  <si>
    <t>C7025</t>
    <phoneticPr fontId="1"/>
  </si>
  <si>
    <t>1989/10/15</t>
    <phoneticPr fontId="1"/>
  </si>
  <si>
    <t>1985,1985,1986,1982</t>
    <phoneticPr fontId="1"/>
  </si>
  <si>
    <t>1999/06/17</t>
    <phoneticPr fontId="1"/>
  </si>
  <si>
    <t>JTB</t>
    <phoneticPr fontId="1"/>
  </si>
  <si>
    <t>4-533-04567-7</t>
    <phoneticPr fontId="1"/>
  </si>
  <si>
    <t>C2087</t>
    <phoneticPr fontId="1"/>
  </si>
  <si>
    <t>Co^te-d'Or en poche 2002-2003/le guide touristique</t>
    <phoneticPr fontId="1"/>
  </si>
  <si>
    <t>Co^te-d'Or in Burgundy/tourist map</t>
    <phoneticPr fontId="1"/>
  </si>
  <si>
    <t>Plan Guide Official</t>
    <phoneticPr fontId="1"/>
  </si>
  <si>
    <t>De Vacances</t>
    <phoneticPr fontId="1"/>
  </si>
  <si>
    <t>Station Verte</t>
    <phoneticPr fontId="1"/>
  </si>
  <si>
    <t>4-398-11420-3</t>
    <phoneticPr fontId="1"/>
  </si>
  <si>
    <t>C0326</t>
    <phoneticPr fontId="1"/>
  </si>
  <si>
    <t>EURO ATLAS</t>
    <phoneticPr fontId="1"/>
  </si>
  <si>
    <t>GeoCenter</t>
    <phoneticPr fontId="1"/>
  </si>
  <si>
    <t>£8.99</t>
    <phoneticPr fontId="1"/>
  </si>
  <si>
    <t>2000/10/01</t>
    <phoneticPr fontId="1"/>
  </si>
  <si>
    <t>2004~2005</t>
    <phoneticPr fontId="1"/>
  </si>
  <si>
    <t>6</t>
    <phoneticPr fontId="1"/>
  </si>
  <si>
    <t>A09</t>
    <phoneticPr fontId="1"/>
  </si>
  <si>
    <t>gta</t>
    <phoneticPr fontId="1"/>
  </si>
  <si>
    <t>2004/04/01~2004/10/31</t>
    <phoneticPr fontId="1"/>
  </si>
  <si>
    <t>Gullivers Travel Associates</t>
    <phoneticPr fontId="1"/>
  </si>
  <si>
    <t>H.I.S.</t>
    <phoneticPr fontId="1"/>
  </si>
  <si>
    <t>2004/04~2004/10</t>
    <phoneticPr fontId="1"/>
  </si>
  <si>
    <t>1999~2000</t>
    <phoneticPr fontId="1"/>
  </si>
  <si>
    <t>4-398-45032-7</t>
    <phoneticPr fontId="1"/>
  </si>
  <si>
    <t>2005/04</t>
    <phoneticPr fontId="1"/>
  </si>
  <si>
    <t>2005/12/</t>
    <phoneticPr fontId="1"/>
  </si>
  <si>
    <t>card</t>
    <phoneticPr fontId="1"/>
  </si>
  <si>
    <t>50119-72</t>
    <phoneticPr fontId="1"/>
  </si>
  <si>
    <t>4-396-76367-0</t>
    <phoneticPr fontId="1"/>
  </si>
  <si>
    <t>978-4-620-77057-4</t>
    <phoneticPr fontId="1"/>
  </si>
  <si>
    <t>2007/07</t>
    <phoneticPr fontId="1"/>
  </si>
  <si>
    <t>4-09-134801-7</t>
    <phoneticPr fontId="1"/>
  </si>
  <si>
    <t>C0379</t>
    <phoneticPr fontId="1"/>
  </si>
  <si>
    <t>1992/01/20</t>
    <phoneticPr fontId="1"/>
  </si>
  <si>
    <t>Action Comics</t>
    <phoneticPr fontId="1"/>
  </si>
  <si>
    <t>4-87025-592-8</t>
    <phoneticPr fontId="1"/>
  </si>
  <si>
    <t>ENIX</t>
    <phoneticPr fontId="1"/>
  </si>
  <si>
    <t>4-87025-287-2</t>
    <phoneticPr fontId="1"/>
  </si>
  <si>
    <t>4-87025-406-9</t>
    <phoneticPr fontId="1"/>
  </si>
  <si>
    <t>4-87025-488-3</t>
    <phoneticPr fontId="1"/>
  </si>
  <si>
    <t>4-7575-0096-3</t>
    <phoneticPr fontId="1"/>
  </si>
  <si>
    <t>4-7575-0219-2</t>
    <phoneticPr fontId="1"/>
  </si>
  <si>
    <t>4-7575-0318-0</t>
    <phoneticPr fontId="1"/>
  </si>
  <si>
    <t>4-7575-0502-7</t>
    <phoneticPr fontId="1"/>
  </si>
  <si>
    <t>4-7575-0634-1</t>
    <phoneticPr fontId="1"/>
  </si>
  <si>
    <t>4-88380-478-X</t>
    <phoneticPr fontId="1"/>
  </si>
  <si>
    <t>C9476</t>
    <phoneticPr fontId="1"/>
  </si>
  <si>
    <t>2001/11/15</t>
    <phoneticPr fontId="1"/>
  </si>
  <si>
    <t>4-257-98746-8</t>
    <phoneticPr fontId="1"/>
  </si>
  <si>
    <t>4-04-852036-9</t>
    <phoneticPr fontId="1"/>
  </si>
  <si>
    <t>2007/04/</t>
    <phoneticPr fontId="1"/>
  </si>
  <si>
    <t>4-7759-1021-3</t>
    <phoneticPr fontId="1"/>
  </si>
  <si>
    <t>C0979</t>
    <phoneticPr fontId="1"/>
  </si>
  <si>
    <t>1966, 2005</t>
    <phoneticPr fontId="1"/>
  </si>
  <si>
    <t>4-7759-1022-1</t>
    <phoneticPr fontId="1"/>
  </si>
  <si>
    <t>2035-0929</t>
    <phoneticPr fontId="1"/>
  </si>
  <si>
    <t>Briciola Collection</t>
    <phoneticPr fontId="1"/>
  </si>
  <si>
    <t>Briciola no8</t>
    <phoneticPr fontId="1"/>
  </si>
  <si>
    <t>2009/</t>
    <phoneticPr fontId="1"/>
  </si>
  <si>
    <t>3.90euro</t>
    <phoneticPr fontId="1"/>
  </si>
  <si>
    <t>1972-4144</t>
    <phoneticPr fontId="1"/>
  </si>
  <si>
    <t>La mia Facile Cucina</t>
    <phoneticPr fontId="1"/>
  </si>
  <si>
    <t>2008/09/</t>
    <phoneticPr fontId="1"/>
  </si>
  <si>
    <t>NUAVO/Il mensile guida per cucinare bene e facilmente</t>
    <phoneticPr fontId="1"/>
  </si>
  <si>
    <t>2.20euro</t>
    <phoneticPr fontId="1"/>
  </si>
  <si>
    <t>USA</t>
    <phoneticPr fontId="1"/>
  </si>
  <si>
    <t>Schulz, Charles M.</t>
    <rPh sb="0" eb="6">
      <t>シュルツ</t>
    </rPh>
    <phoneticPr fontId="1"/>
  </si>
  <si>
    <t>1950, 1952</t>
    <phoneticPr fontId="1"/>
  </si>
  <si>
    <t>27751-9/1</t>
    <phoneticPr fontId="1"/>
  </si>
  <si>
    <t>669</t>
    <phoneticPr fontId="1"/>
  </si>
  <si>
    <t>484</t>
    <phoneticPr fontId="1"/>
  </si>
  <si>
    <t>STUDIO ZERO</t>
    <phoneticPr fontId="1"/>
  </si>
  <si>
    <t>978-4-89706-338-6</t>
    <phoneticPr fontId="1"/>
  </si>
  <si>
    <t>C3047</t>
    <phoneticPr fontId="1"/>
  </si>
  <si>
    <t>2009/08/</t>
    <phoneticPr fontId="1"/>
  </si>
  <si>
    <t>cook</t>
    <phoneticPr fontId="1"/>
  </si>
  <si>
    <t>ethnic</t>
    <phoneticPr fontId="1"/>
  </si>
  <si>
    <t>Bulgarian traditional cuisine, 2007</t>
    <phoneticPr fontId="1"/>
  </si>
  <si>
    <t>1998/</t>
    <phoneticPr fontId="1"/>
  </si>
  <si>
    <t>1994/</t>
    <phoneticPr fontId="1"/>
  </si>
  <si>
    <t>"Trapeza" magazine</t>
    <phoneticPr fontId="1"/>
  </si>
  <si>
    <t>978-4-902584-36-3</t>
    <phoneticPr fontId="1"/>
  </si>
  <si>
    <t>C8645</t>
    <phoneticPr fontId="1"/>
  </si>
  <si>
    <t>4-06-194314-6</t>
  </si>
  <si>
    <t>87-09994</t>
  </si>
  <si>
    <t>4-09-259060-1</t>
  </si>
  <si>
    <t>4-537-07303-9</t>
    <phoneticPr fontId="1"/>
  </si>
  <si>
    <t>4-06-260657-7</t>
    <phoneticPr fontId="1"/>
  </si>
  <si>
    <t>4-02-261434-X</t>
    <phoneticPr fontId="1"/>
  </si>
  <si>
    <t>4-592-88051-X</t>
    <phoneticPr fontId="1"/>
  </si>
  <si>
    <t>4-592-88052-8</t>
    <phoneticPr fontId="1"/>
  </si>
  <si>
    <t>4-592-88053-6</t>
    <phoneticPr fontId="1"/>
  </si>
  <si>
    <t>4-592-88054-4</t>
    <phoneticPr fontId="1"/>
  </si>
  <si>
    <t>4-592-88055-2</t>
    <phoneticPr fontId="1"/>
  </si>
  <si>
    <t>4-592-88056-0</t>
    <phoneticPr fontId="1"/>
  </si>
  <si>
    <t>4-592-88057-9</t>
    <phoneticPr fontId="1"/>
  </si>
  <si>
    <t>4-06-188252-X</t>
  </si>
  <si>
    <t>85-26573</t>
  </si>
  <si>
    <t>4-652-02265-4</t>
  </si>
  <si>
    <t>4-06-194317-0</t>
  </si>
  <si>
    <t>86-27060</t>
  </si>
  <si>
    <t>4-06-194305-7</t>
  </si>
  <si>
    <t>88-17965</t>
  </si>
  <si>
    <t>4-03-651300-1</t>
  </si>
  <si>
    <t>85-20214</t>
  </si>
  <si>
    <t>4-03-651310-9</t>
  </si>
  <si>
    <t>85-20215</t>
  </si>
  <si>
    <t>1956</t>
    <phoneticPr fontId="1"/>
  </si>
  <si>
    <t>4-594-02781-4</t>
  </si>
  <si>
    <t>MARCNo.</t>
    <phoneticPr fontId="1"/>
  </si>
  <si>
    <t>etc</t>
    <phoneticPr fontId="1"/>
  </si>
  <si>
    <t>PIANO STYLE Vol.16</t>
    <rPh sb="0" eb="11">
      <t>ピアノスタイル</t>
    </rPh>
    <phoneticPr fontId="1"/>
  </si>
  <si>
    <t>Rittor Music Mook</t>
    <rPh sb="0" eb="17">
      <t>リットーミュージック･ムック</t>
    </rPh>
    <phoneticPr fontId="1"/>
  </si>
  <si>
    <t>cd book</t>
    <phoneticPr fontId="1"/>
  </si>
  <si>
    <t>japan</t>
    <phoneticPr fontId="1"/>
  </si>
  <si>
    <t>Various</t>
    <phoneticPr fontId="1"/>
  </si>
  <si>
    <t>Improvised Music from Japan 2009</t>
    <phoneticPr fontId="1"/>
  </si>
  <si>
    <t>978-4-9902297-3-3</t>
    <phoneticPr fontId="1"/>
  </si>
  <si>
    <t>Includes 3 CDs with 31 tracks!!/Bilingual Japanese-English</t>
    <phoneticPr fontId="1"/>
  </si>
  <si>
    <t>FTARRI</t>
    <phoneticPr fontId="1"/>
  </si>
  <si>
    <t>IMJ-310-312</t>
    <phoneticPr fontId="1"/>
  </si>
  <si>
    <t>4-7980-1205-X</t>
  </si>
  <si>
    <t>4-7973-3792-3</t>
  </si>
  <si>
    <t>4-398-45066-1</t>
    <phoneticPr fontId="1"/>
  </si>
  <si>
    <t>Simap</t>
    <phoneticPr fontId="1"/>
  </si>
  <si>
    <t>2010/</t>
    <phoneticPr fontId="1"/>
  </si>
  <si>
    <t>978-4-7678-0898-7</t>
    <phoneticPr fontId="1"/>
  </si>
  <si>
    <t>japan/foreign</t>
    <phoneticPr fontId="1"/>
  </si>
  <si>
    <t>XKnowledge</t>
    <rPh sb="0" eb="10">
      <t>エクスナレッジ</t>
    </rPh>
    <phoneticPr fontId="1"/>
  </si>
  <si>
    <t>1954,1958,1981</t>
    <phoneticPr fontId="1"/>
  </si>
  <si>
    <t>C0247</t>
    <phoneticPr fontId="1"/>
  </si>
  <si>
    <t>4-422-41101-2</t>
    <phoneticPr fontId="1"/>
  </si>
  <si>
    <t>978-4-8085-0829-6</t>
    <phoneticPr fontId="1"/>
  </si>
  <si>
    <t>C0026</t>
    <phoneticPr fontId="1"/>
  </si>
  <si>
    <t>4-7872-7117-2</t>
    <phoneticPr fontId="1"/>
  </si>
  <si>
    <t>C0373</t>
    <phoneticPr fontId="1"/>
  </si>
  <si>
    <t>4-575-28985-X</t>
    <phoneticPr fontId="1"/>
  </si>
  <si>
    <t>C0076</t>
    <phoneticPr fontId="1"/>
  </si>
  <si>
    <t>4-8443-2253-2</t>
  </si>
  <si>
    <t>4-7973-3768-0</t>
  </si>
  <si>
    <t>comment</t>
    <phoneticPr fontId="1"/>
  </si>
  <si>
    <t>4-00-110687-6</t>
  </si>
  <si>
    <t>86-59205</t>
  </si>
  <si>
    <t>4-915512-39-8</t>
  </si>
  <si>
    <t>4-592-88111-7</t>
    <phoneticPr fontId="1"/>
  </si>
  <si>
    <t>4-592-88112-5</t>
    <phoneticPr fontId="1"/>
  </si>
  <si>
    <t>4-592-88114-1</t>
    <phoneticPr fontId="1"/>
  </si>
  <si>
    <t>4-592-88113-3</t>
    <phoneticPr fontId="1"/>
  </si>
  <si>
    <t>4-566-02254-4</t>
    <phoneticPr fontId="1"/>
  </si>
  <si>
    <t>C8397</t>
    <phoneticPr fontId="1"/>
  </si>
  <si>
    <t>Dahl,Roald</t>
    <rPh sb="0" eb="4">
      <t>ダール</t>
    </rPh>
    <rPh sb="5" eb="10">
      <t>ロアルド</t>
    </rPh>
    <phoneticPr fontId="1"/>
  </si>
  <si>
    <t>1964/1972/1988</t>
    <phoneticPr fontId="1"/>
  </si>
  <si>
    <t>4-915512-52-5</t>
  </si>
  <si>
    <t>4-915512-43-6</t>
  </si>
  <si>
    <t>4-915512-53-3</t>
  </si>
  <si>
    <t>2010/12/xx</t>
  </si>
  <si>
    <t>4-915512-55-X</t>
  </si>
  <si>
    <t>4-915512-46-0</t>
  </si>
  <si>
    <t>4-915512-47-9</t>
  </si>
  <si>
    <t>4-915512-58-4</t>
  </si>
  <si>
    <t>4-86389-044-2</t>
  </si>
  <si>
    <t>C0123</t>
    <phoneticPr fontId="1"/>
  </si>
  <si>
    <t>4-480-02782-3</t>
    <phoneticPr fontId="1"/>
  </si>
  <si>
    <t>4-488-40002-7</t>
    <phoneticPr fontId="1"/>
  </si>
  <si>
    <t>C1022</t>
    <phoneticPr fontId="1"/>
  </si>
  <si>
    <t>978-4-88181-801-5</t>
    <phoneticPr fontId="1"/>
  </si>
  <si>
    <t>978-4-88181-800-8</t>
    <phoneticPr fontId="1"/>
  </si>
  <si>
    <t>Sai vol.7</t>
    <phoneticPr fontId="1"/>
  </si>
  <si>
    <t>pamphlet</t>
    <phoneticPr fontId="1"/>
  </si>
  <si>
    <t>japan</t>
    <phoneticPr fontId="1"/>
  </si>
  <si>
    <t>2011/</t>
    <phoneticPr fontId="1"/>
  </si>
  <si>
    <t>978-4-251-00602-8</t>
    <phoneticPr fontId="1"/>
  </si>
  <si>
    <t>C8393</t>
    <phoneticPr fontId="1"/>
  </si>
  <si>
    <t>1982/09/</t>
    <phoneticPr fontId="1"/>
  </si>
  <si>
    <t>foreign</t>
    <phoneticPr fontId="1"/>
  </si>
  <si>
    <t>978-4-8340-0062-7</t>
    <phoneticPr fontId="1"/>
  </si>
  <si>
    <t>978-4-03-203010-5</t>
    <phoneticPr fontId="1"/>
  </si>
  <si>
    <t>C8741</t>
    <phoneticPr fontId="1"/>
  </si>
  <si>
    <t>1968/</t>
    <phoneticPr fontId="1"/>
  </si>
  <si>
    <t>Eric Carle</t>
    <rPh sb="0" eb="10">
      <t>エリック・カール</t>
    </rPh>
    <phoneticPr fontId="1"/>
  </si>
  <si>
    <t>978-4-03-328010-3</t>
    <phoneticPr fontId="1"/>
  </si>
  <si>
    <t>C8797</t>
    <phoneticPr fontId="1"/>
  </si>
  <si>
    <t>1969/</t>
    <phoneticPr fontId="1"/>
  </si>
  <si>
    <t>978-4-8340-0873-9</t>
    <phoneticPr fontId="1"/>
  </si>
  <si>
    <t>978-4-931129-22-1</t>
    <phoneticPr fontId="1"/>
  </si>
  <si>
    <t>C8676</t>
    <phoneticPr fontId="1"/>
  </si>
  <si>
    <t>2005/07/</t>
    <phoneticPr fontId="1"/>
  </si>
  <si>
    <t>2010/01/</t>
    <phoneticPr fontId="1"/>
  </si>
  <si>
    <t>C9426</t>
    <phoneticPr fontId="1"/>
  </si>
  <si>
    <t>978-4-408-03039-5</t>
    <phoneticPr fontId="1"/>
  </si>
  <si>
    <t>4-915512-64-3</t>
  </si>
  <si>
    <t>4-915512-65-0</t>
  </si>
  <si>
    <t>1013269095/1020568737</t>
    <phoneticPr fontId="1"/>
  </si>
  <si>
    <t>4-915512-49-5</t>
  </si>
  <si>
    <t>03052620</t>
    <phoneticPr fontId="1"/>
  </si>
  <si>
    <t>978-4-8222-3449-2</t>
    <phoneticPr fontId="1"/>
  </si>
  <si>
    <t>978-4-267-90540-7</t>
    <phoneticPr fontId="1"/>
  </si>
  <si>
    <t>C9917</t>
    <phoneticPr fontId="1"/>
  </si>
  <si>
    <t>2011/05/</t>
    <phoneticPr fontId="1"/>
  </si>
  <si>
    <t>978-4-905448-00-6</t>
    <phoneticPr fontId="1"/>
  </si>
  <si>
    <t>978-4-336-05348-0</t>
    <phoneticPr fontId="1"/>
  </si>
  <si>
    <t>ACCESS</t>
    <phoneticPr fontId="1"/>
  </si>
  <si>
    <t>4-8399-1439-7</t>
    <phoneticPr fontId="1"/>
  </si>
  <si>
    <t>978-4-7741-4437-5</t>
    <phoneticPr fontId="1"/>
  </si>
  <si>
    <t>978-4-87311-370-8</t>
    <phoneticPr fontId="1"/>
  </si>
  <si>
    <t>Goodman,Danny</t>
    <rPh sb="0" eb="7">
      <t>グッドマン</t>
    </rPh>
    <rPh sb="8" eb="13">
      <t>ダニー</t>
    </rPh>
    <phoneticPr fontId="1"/>
  </si>
  <si>
    <t>978-4-89471-716-9</t>
    <phoneticPr fontId="1"/>
  </si>
  <si>
    <t>C3004</t>
    <phoneticPr fontId="1"/>
  </si>
  <si>
    <t>Arnold,Ken/Goslin,James/Holmes,David</t>
    <rPh sb="0" eb="6">
      <t>アーノルド</t>
    </rPh>
    <rPh sb="7" eb="10">
      <t>ケン</t>
    </rPh>
    <rPh sb="11" eb="17">
      <t>ゴスリン</t>
    </rPh>
    <rPh sb="18" eb="23">
      <t>ジェームズ</t>
    </rPh>
    <rPh sb="24" eb="30">
      <t>ホームズ</t>
    </rPh>
    <rPh sb="31" eb="36">
      <t>デビッド</t>
    </rPh>
    <phoneticPr fontId="1"/>
  </si>
  <si>
    <t>Pearson Education Japan</t>
    <rPh sb="0" eb="17">
      <t>ピアソン・エデュケーション</t>
    </rPh>
    <rPh sb="18" eb="23">
      <t>ジャパン</t>
    </rPh>
    <phoneticPr fontId="1"/>
  </si>
  <si>
    <t>978-4-7980-3073-9</t>
    <phoneticPr fontId="1"/>
  </si>
  <si>
    <t>C3055</t>
    <phoneticPr fontId="1"/>
  </si>
  <si>
    <t>2011/10/</t>
    <phoneticPr fontId="1"/>
  </si>
  <si>
    <t>978-4-8222-2263-5</t>
    <phoneticPr fontId="1"/>
  </si>
  <si>
    <t>C9455</t>
    <phoneticPr fontId="1"/>
  </si>
  <si>
    <t>978-4-487-27117-7</t>
    <phoneticPr fontId="1"/>
  </si>
  <si>
    <t>C4373</t>
    <phoneticPr fontId="1"/>
  </si>
  <si>
    <t>978-4-8340-0060-3</t>
    <phoneticPr fontId="1"/>
  </si>
  <si>
    <t>978-4-8340-0528-3</t>
    <phoneticPr fontId="1"/>
  </si>
  <si>
    <t>4-591-00407-4</t>
    <phoneticPr fontId="1"/>
  </si>
  <si>
    <t>1980/02/</t>
    <phoneticPr fontId="1"/>
  </si>
  <si>
    <t>4-569-58800-X</t>
    <phoneticPr fontId="1"/>
  </si>
  <si>
    <t>978-4-579-40014-0</t>
    <phoneticPr fontId="1"/>
  </si>
  <si>
    <t>978-4-03-330330-7</t>
    <phoneticPr fontId="1"/>
  </si>
  <si>
    <t>1984/06/</t>
    <phoneticPr fontId="1"/>
  </si>
  <si>
    <t>978-4-393-95704-2</t>
    <phoneticPr fontId="1"/>
  </si>
  <si>
    <t>Strauss,Johann II</t>
    <rPh sb="0" eb="7">
      <t>シュトラウス</t>
    </rPh>
    <rPh sb="8" eb="14">
      <t>ヨハン</t>
    </rPh>
    <phoneticPr fontId="1"/>
  </si>
  <si>
    <t>violin</t>
    <phoneticPr fontId="1"/>
  </si>
  <si>
    <t>Ave Maria</t>
    <rPh sb="0" eb="9">
      <t>アヴェ・マリア</t>
    </rPh>
    <phoneticPr fontId="1"/>
  </si>
  <si>
    <t>Gounod,Charles/Bach,Johann Sebastian</t>
    <rPh sb="0" eb="6">
      <t>グノー</t>
    </rPh>
    <rPh sb="7" eb="14">
      <t>シャルル</t>
    </rPh>
    <rPh sb="15" eb="19">
      <t>バッハ</t>
    </rPh>
    <rPh sb="20" eb="26">
      <t>ヨハン</t>
    </rPh>
    <rPh sb="27" eb="36">
      <t>セバスチャン</t>
    </rPh>
    <phoneticPr fontId="1"/>
  </si>
  <si>
    <t>4-87225-514-3</t>
    <phoneticPr fontId="1"/>
  </si>
  <si>
    <t>OVP.015/ONKYO VIOLIN PIECE</t>
    <rPh sb="8" eb="13">
      <t>オンキョウ</t>
    </rPh>
    <rPh sb="14" eb="20">
      <t>バイオリン</t>
    </rPh>
    <rPh sb="21" eb="26">
      <t>ピース</t>
    </rPh>
    <phoneticPr fontId="1"/>
  </si>
  <si>
    <t>ONKYO PUBLISH</t>
    <rPh sb="0" eb="13">
      <t>オンキョウ・パブリッリュ</t>
    </rPh>
    <phoneticPr fontId="1"/>
  </si>
  <si>
    <t>Elgar,Edward,Sir</t>
    <rPh sb="0" eb="5">
      <t>エルガー</t>
    </rPh>
    <rPh sb="6" eb="12">
      <t>エドワード</t>
    </rPh>
    <rPh sb="13" eb="16">
      <t>サー</t>
    </rPh>
    <phoneticPr fontId="1"/>
  </si>
  <si>
    <t>4-87225-747-2</t>
    <phoneticPr fontId="1"/>
  </si>
  <si>
    <t>OVP.082/ONKYO VIOLIN PIECE</t>
    <rPh sb="8" eb="13">
      <t>オンキョウ</t>
    </rPh>
    <rPh sb="14" eb="20">
      <t>バイオリン</t>
    </rPh>
    <rPh sb="21" eb="26">
      <t>ピース</t>
    </rPh>
    <phoneticPr fontId="1"/>
  </si>
  <si>
    <t>4-00-004054-1</t>
    <phoneticPr fontId="1"/>
  </si>
  <si>
    <t>C0392</t>
    <phoneticPr fontId="1"/>
  </si>
  <si>
    <t>4-10-118505-0</t>
    <phoneticPr fontId="1"/>
  </si>
  <si>
    <t>1193-610302-4622</t>
    <phoneticPr fontId="1"/>
  </si>
  <si>
    <t>4-480-42233-1</t>
    <phoneticPr fontId="1"/>
  </si>
  <si>
    <t>C0180</t>
    <phoneticPr fontId="1"/>
  </si>
  <si>
    <t>music</t>
    <phoneticPr fontId="1"/>
  </si>
  <si>
    <t>978-4-904547-06-9</t>
    <phoneticPr fontId="1"/>
  </si>
  <si>
    <t>C2304</t>
    <phoneticPr fontId="1"/>
  </si>
  <si>
    <t>SOUND DESIGNER</t>
    <phoneticPr fontId="1"/>
  </si>
  <si>
    <t>2012/09/</t>
    <phoneticPr fontId="1"/>
  </si>
  <si>
    <t>3511-73703-8028</t>
    <phoneticPr fontId="1"/>
  </si>
  <si>
    <t>amazon</t>
  </si>
  <si>
    <t>amazon/AandZ</t>
  </si>
  <si>
    <t>0397-124074-3041</t>
    <phoneticPr fontId="1"/>
  </si>
  <si>
    <t>0397-124075-3041</t>
    <phoneticPr fontId="1"/>
  </si>
  <si>
    <t>4-418-05413-8</t>
    <phoneticPr fontId="1"/>
  </si>
  <si>
    <t>C2314</t>
    <phoneticPr fontId="1"/>
  </si>
  <si>
    <t>978-4-924710-12-2</t>
    <phoneticPr fontId="1"/>
  </si>
  <si>
    <t>1982/03/</t>
    <phoneticPr fontId="1"/>
  </si>
  <si>
    <t>978-4-251-00254-9</t>
    <phoneticPr fontId="1"/>
  </si>
  <si>
    <t>C8347</t>
    <phoneticPr fontId="1"/>
  </si>
  <si>
    <t>1985/10/</t>
    <phoneticPr fontId="1"/>
  </si>
  <si>
    <t>978-4-265-91217-9</t>
    <phoneticPr fontId="1"/>
  </si>
  <si>
    <t>1979/11/</t>
    <phoneticPr fontId="1"/>
  </si>
  <si>
    <t>978-4-265-02908-2</t>
    <phoneticPr fontId="1"/>
  </si>
  <si>
    <t>C8745</t>
    <phoneticPr fontId="1"/>
  </si>
  <si>
    <t>1989/08/</t>
    <phoneticPr fontId="1"/>
  </si>
  <si>
    <t>978-4-265-91301-5</t>
    <phoneticPr fontId="1"/>
  </si>
  <si>
    <t>C8725</t>
    <phoneticPr fontId="1"/>
  </si>
  <si>
    <t>1975/06/</t>
    <phoneticPr fontId="1"/>
  </si>
  <si>
    <t>C8077</t>
    <phoneticPr fontId="1"/>
  </si>
  <si>
    <t>978-4-8292-0062-9</t>
    <phoneticPr fontId="1"/>
  </si>
  <si>
    <t>978-4-487-27529-7</t>
    <phoneticPr fontId="1"/>
  </si>
  <si>
    <t>978-4-487-27509-0</t>
    <phoneticPr fontId="1"/>
  </si>
  <si>
    <t>C4381</t>
    <phoneticPr fontId="1"/>
  </si>
  <si>
    <t>2012/</t>
    <phoneticPr fontId="1"/>
  </si>
  <si>
    <t>978-4-8109-1258-6</t>
    <phoneticPr fontId="1"/>
  </si>
  <si>
    <t>subculture</t>
    <phoneticPr fontId="1"/>
  </si>
  <si>
    <t>978-4-7949-6708-4</t>
    <phoneticPr fontId="1"/>
  </si>
  <si>
    <t>2012/</t>
    <phoneticPr fontId="1"/>
  </si>
  <si>
    <t>978-4-416-71009-8</t>
    <phoneticPr fontId="1"/>
  </si>
  <si>
    <t>C0376</t>
    <phoneticPr fontId="1"/>
  </si>
  <si>
    <t>8398-135 601-1002</t>
    <phoneticPr fontId="1"/>
  </si>
  <si>
    <t>*</t>
    <phoneticPr fontId="1"/>
  </si>
  <si>
    <t>8331-135 724-1002</t>
    <phoneticPr fontId="1"/>
  </si>
  <si>
    <t>8345-135 719-1002</t>
    <phoneticPr fontId="1"/>
  </si>
  <si>
    <t>8322-135 716-1002</t>
    <phoneticPr fontId="1"/>
  </si>
  <si>
    <t>8345-135 714-1002</t>
    <phoneticPr fontId="1"/>
  </si>
  <si>
    <t>8376-135 713-1002</t>
    <phoneticPr fontId="1"/>
  </si>
  <si>
    <t>8340-135 711-1002</t>
    <phoneticPr fontId="1"/>
  </si>
  <si>
    <t>8376-735 709-1002</t>
    <phoneticPr fontId="1"/>
  </si>
  <si>
    <t>8376-735 708-1002</t>
    <phoneticPr fontId="1"/>
  </si>
  <si>
    <t>05913-8</t>
    <phoneticPr fontId="1"/>
  </si>
  <si>
    <t>ORANGE PAGE</t>
    <phoneticPr fontId="1"/>
  </si>
  <si>
    <t>4-544-02079-4</t>
    <phoneticPr fontId="1"/>
  </si>
  <si>
    <t>Goya, Francisco</t>
    <rPh sb="0" eb="4">
      <t>ゴヤ</t>
    </rPh>
    <rPh sb="6" eb="15">
      <t>フランシスコ</t>
    </rPh>
    <phoneticPr fontId="1"/>
  </si>
  <si>
    <t>ART &amp; Words</t>
    <phoneticPr fontId="1"/>
  </si>
  <si>
    <t>etc</t>
    <phoneticPr fontId="1"/>
  </si>
  <si>
    <t>8197-510433-2253(0)</t>
    <phoneticPr fontId="1"/>
  </si>
  <si>
    <t>8139-540061-2253(0)</t>
    <phoneticPr fontId="1"/>
  </si>
  <si>
    <t>8139-540140-2253(0)</t>
    <phoneticPr fontId="1"/>
  </si>
  <si>
    <t>1957,1973/05/24</t>
    <phoneticPr fontId="1"/>
  </si>
  <si>
    <t>8197-510318-2253(0)</t>
    <phoneticPr fontId="1"/>
  </si>
  <si>
    <t>8197-510309-2253(0)</t>
    <phoneticPr fontId="1"/>
  </si>
  <si>
    <t>Carr,John Dickson</t>
    <rPh sb="0" eb="4">
      <t>カー</t>
    </rPh>
    <rPh sb="5" eb="9">
      <t>ジョン</t>
    </rPh>
    <rPh sb="10" eb="17">
      <t>ディクスン</t>
    </rPh>
    <phoneticPr fontId="1"/>
  </si>
  <si>
    <t>1931,1973/04/20</t>
    <phoneticPr fontId="1"/>
  </si>
  <si>
    <t>8197-510295-2253(2)</t>
    <phoneticPr fontId="1"/>
  </si>
  <si>
    <t>Montgomery,Lucy Maude</t>
    <rPh sb="0" eb="10">
      <t>モンゴメリー</t>
    </rPh>
    <rPh sb="11" eb="15">
      <t>ルーシー</t>
    </rPh>
    <rPh sb="16" eb="21">
      <t>モード</t>
    </rPh>
    <phoneticPr fontId="1"/>
  </si>
  <si>
    <t>1908,1973/02/16</t>
    <phoneticPr fontId="1"/>
  </si>
  <si>
    <t>1968,1973/02/16</t>
    <phoneticPr fontId="1"/>
  </si>
  <si>
    <t>8197-510284-2253(0)</t>
    <phoneticPr fontId="1"/>
  </si>
  <si>
    <t>8195-510266-2253(0)</t>
    <phoneticPr fontId="1"/>
  </si>
  <si>
    <t>1948,1972/11/26</t>
    <phoneticPr fontId="1"/>
  </si>
  <si>
    <t>8193-510257-2253(0)</t>
    <phoneticPr fontId="1"/>
  </si>
  <si>
    <t>1198,1972/09/16</t>
    <phoneticPr fontId="1"/>
  </si>
  <si>
    <t>8193-510248-2253(0)</t>
    <phoneticPr fontId="1"/>
  </si>
  <si>
    <t>8193-510220-2253(0)</t>
    <phoneticPr fontId="1"/>
  </si>
  <si>
    <t>8197-510202-2253(0)</t>
    <phoneticPr fontId="1"/>
  </si>
  <si>
    <t>1939,1972/10/24</t>
    <phoneticPr fontId="1"/>
  </si>
  <si>
    <t>8197-510187-2253(0)</t>
    <phoneticPr fontId="1"/>
  </si>
  <si>
    <t>1917till,1972/09/30</t>
    <phoneticPr fontId="1"/>
  </si>
  <si>
    <t>8197-510150-2253(0)</t>
    <phoneticPr fontId="1"/>
  </si>
  <si>
    <t>1897,1972/07/12</t>
    <phoneticPr fontId="1"/>
  </si>
  <si>
    <t>8197-510141-2253(0)</t>
    <phoneticPr fontId="1"/>
  </si>
  <si>
    <t>8197-510132-2253(0)</t>
    <phoneticPr fontId="1"/>
  </si>
  <si>
    <t>Whilie &amp; E. Balmer</t>
    <rPh sb="0" eb="6">
      <t>ワイリー</t>
    </rPh>
    <phoneticPr fontId="1"/>
  </si>
  <si>
    <t>?,1972/07/12</t>
    <phoneticPr fontId="1"/>
  </si>
  <si>
    <t>8193-510105-2253(0)</t>
    <phoneticPr fontId="1"/>
  </si>
  <si>
    <t>etc,1972/07/12</t>
    <phoneticPr fontId="1"/>
  </si>
  <si>
    <t>1935etc,1972/09/25</t>
    <phoneticPr fontId="1"/>
  </si>
  <si>
    <t>8193-510099-2253(0)</t>
    <phoneticPr fontId="1"/>
  </si>
  <si>
    <t>8197-510062-2253(0)</t>
    <phoneticPr fontId="1"/>
  </si>
  <si>
    <t>1932,1937,1972/07/12</t>
    <phoneticPr fontId="1"/>
  </si>
  <si>
    <t>Buchan,John</t>
    <rPh sb="0" eb="6">
      <t>バッカン</t>
    </rPh>
    <rPh sb="7" eb="11">
      <t>ジョン</t>
    </rPh>
    <phoneticPr fontId="1"/>
  </si>
  <si>
    <t>8193-510053-2253(0)</t>
    <phoneticPr fontId="1"/>
  </si>
  <si>
    <t>1952,1972/07/12</t>
    <phoneticPr fontId="1"/>
  </si>
  <si>
    <t>8193-510044-2253(0)</t>
    <phoneticPr fontId="1"/>
  </si>
  <si>
    <t>1936,1972/07/12</t>
    <phoneticPr fontId="1"/>
  </si>
  <si>
    <t>1948,1972/07/12</t>
    <phoneticPr fontId="1"/>
  </si>
  <si>
    <t>8197-510026-2253(0)</t>
    <phoneticPr fontId="1"/>
  </si>
  <si>
    <t>Jansson,Tove</t>
    <rPh sb="0" eb="7">
      <t>ヤンソン</t>
    </rPh>
    <rPh sb="8" eb="12">
      <t>トーヴェ</t>
    </rPh>
    <phoneticPr fontId="1"/>
  </si>
  <si>
    <t>1960,1972/07/12</t>
    <phoneticPr fontId="1"/>
  </si>
  <si>
    <t>8193-510018-2253(1)</t>
    <phoneticPr fontId="1"/>
  </si>
  <si>
    <t>8397-716007-0049</t>
    <phoneticPr fontId="1"/>
  </si>
  <si>
    <t>Welles,Herbert George</t>
    <rPh sb="0" eb="6">
      <t>ウェルズ</t>
    </rPh>
    <rPh sb="7" eb="14">
      <t>ハーバート</t>
    </rPh>
    <rPh sb="15" eb="21">
      <t>ジョージ</t>
    </rPh>
    <phoneticPr fontId="1"/>
  </si>
  <si>
    <t>Doyle,Arthur Conan</t>
    <rPh sb="0" eb="5">
      <t>ドイル</t>
    </rPh>
    <rPh sb="6" eb="12">
      <t>アーサー</t>
    </rPh>
    <rPh sb="13" eb="18">
      <t>コナン</t>
    </rPh>
    <phoneticPr fontId="1"/>
  </si>
  <si>
    <t>1959,1972/11/15</t>
    <phoneticPr fontId="1"/>
  </si>
  <si>
    <t>Jackson,Shirley</t>
    <rPh sb="0" eb="7">
      <t>ジャクスン</t>
    </rPh>
    <rPh sb="8" eb="15">
      <t>シャーリー</t>
    </rPh>
    <phoneticPr fontId="1"/>
  </si>
  <si>
    <t>1972/</t>
    <phoneticPr fontId="1"/>
  </si>
  <si>
    <t>1956/</t>
    <phoneticPr fontId="1"/>
  </si>
  <si>
    <t>?</t>
    <phoneticPr fontId="1"/>
  </si>
  <si>
    <t>G14-111-01</t>
    <phoneticPr fontId="1"/>
  </si>
  <si>
    <t>G12-141-02</t>
    <phoneticPr fontId="1"/>
  </si>
  <si>
    <t>japan</t>
    <phoneticPr fontId="1"/>
  </si>
  <si>
    <t>1970/</t>
    <phoneticPr fontId="1"/>
  </si>
  <si>
    <t>0200-112800-3822</t>
    <phoneticPr fontId="1"/>
  </si>
  <si>
    <t>PLAY BOOKS P-128</t>
    <phoneticPr fontId="1"/>
  </si>
  <si>
    <t>2007/05/07 Mon ~ 2007/05/12 Sat</t>
    <phoneticPr fontId="1"/>
  </si>
  <si>
    <t>2005/06/20 Mon ~ 2005/07/02 Sat</t>
    <phoneticPr fontId="1"/>
  </si>
  <si>
    <t>2004/10/25 Mon ~ 2004/11/02 Tue</t>
    <phoneticPr fontId="1"/>
  </si>
  <si>
    <t>2003/08/18 Mon ~ 2003/08/23 Sat,2003/08/25 Mon~2003/09/07 Sun</t>
    <phoneticPr fontId="1"/>
  </si>
  <si>
    <t>2007/05/07 Mon</t>
    <phoneticPr fontId="1"/>
  </si>
  <si>
    <t>2012/06/25 Mon</t>
    <phoneticPr fontId="1"/>
  </si>
  <si>
    <t>2012/06/25 Mon ~ 2012/06/30 Sat</t>
    <phoneticPr fontId="1"/>
  </si>
  <si>
    <t>2012/12/</t>
    <phoneticPr fontId="1"/>
  </si>
  <si>
    <t>978-0-98207-758-0</t>
    <phoneticPr fontId="1"/>
  </si>
  <si>
    <t>Hoenigman,David</t>
    <rPh sb="0" eb="9">
      <t>ヘニグマン</t>
    </rPh>
    <rPh sb="10" eb="15">
      <t>デイヴィッド</t>
    </rPh>
    <phoneticPr fontId="1"/>
  </si>
  <si>
    <t>Burn Your Belongings</t>
    <phoneticPr fontId="1"/>
  </si>
  <si>
    <t>JIP</t>
    <phoneticPr fontId="1"/>
  </si>
  <si>
    <t>Jaded Ibis Press</t>
    <phoneticPr fontId="1"/>
  </si>
  <si>
    <t>Yoshida,Yasutoshi</t>
    <phoneticPr fontId="1"/>
  </si>
  <si>
    <t>SWASH</t>
    <phoneticPr fontId="1"/>
  </si>
  <si>
    <t>Sex Work &amp; Sexual Health</t>
    <phoneticPr fontId="1"/>
  </si>
  <si>
    <t>2011/12/</t>
    <phoneticPr fontId="1"/>
  </si>
  <si>
    <t>2011/12/</t>
    <phoneticPr fontId="1"/>
  </si>
  <si>
    <t>?</t>
    <phoneticPr fontId="1"/>
  </si>
  <si>
    <t>Sex &amp; Sexwork</t>
    <phoneticPr fontId="1"/>
  </si>
  <si>
    <t>001</t>
    <phoneticPr fontId="1"/>
  </si>
  <si>
    <t>002</t>
  </si>
  <si>
    <t>003</t>
  </si>
  <si>
    <t>2009/11/</t>
    <phoneticPr fontId="1"/>
  </si>
  <si>
    <t>2011/01/</t>
    <phoneticPr fontId="1"/>
  </si>
  <si>
    <t>BIPAF</t>
    <phoneticPr fontId="1"/>
  </si>
  <si>
    <t>2006 BUCHON INTERNATIONAL PERFORMANCE ART FESTINAL</t>
    <phoneticPr fontId="1"/>
  </si>
  <si>
    <t>03256-12/15</t>
    <phoneticPr fontId="1"/>
  </si>
  <si>
    <t>subculture/ethnic</t>
    <phoneticPr fontId="1"/>
  </si>
  <si>
    <t>978-4-03-343010-2</t>
    <phoneticPr fontId="1"/>
  </si>
  <si>
    <t>C8781</t>
    <phoneticPr fontId="1"/>
  </si>
  <si>
    <t>978-4-564-20128-8</t>
    <phoneticPr fontId="1"/>
  </si>
  <si>
    <t>C8640</t>
    <phoneticPr fontId="1"/>
  </si>
  <si>
    <t>1992/05/</t>
    <phoneticPr fontId="1"/>
  </si>
  <si>
    <t>978-4-03-222110-7</t>
    <phoneticPr fontId="1"/>
  </si>
  <si>
    <t>C8700</t>
    <phoneticPr fontId="1"/>
  </si>
  <si>
    <t>1998/11/</t>
    <phoneticPr fontId="1"/>
  </si>
  <si>
    <t>4-591-01994-2</t>
    <phoneticPr fontId="1"/>
  </si>
  <si>
    <t>C8772</t>
    <phoneticPr fontId="1"/>
  </si>
  <si>
    <t>1984/12/</t>
    <phoneticPr fontId="1"/>
  </si>
  <si>
    <t>978-4-265-90302-3</t>
    <phoneticPr fontId="1"/>
  </si>
  <si>
    <t>978-4-924710-34-4</t>
    <phoneticPr fontId="1"/>
  </si>
  <si>
    <t>1991/09/</t>
    <phoneticPr fontId="1"/>
  </si>
  <si>
    <t>978-4-8113-7442-0</t>
    <phoneticPr fontId="1"/>
  </si>
  <si>
    <t>C8373</t>
    <phoneticPr fontId="1"/>
  </si>
  <si>
    <t>978-4-7895-4714-7</t>
    <phoneticPr fontId="1"/>
  </si>
  <si>
    <t>C5077</t>
    <phoneticPr fontId="1"/>
  </si>
  <si>
    <t>2211-01269-8</t>
    <phoneticPr fontId="1"/>
  </si>
  <si>
    <t>Le roi Ferdinand</t>
    <phoneticPr fontId="1"/>
  </si>
  <si>
    <t>5.93/f34</t>
    <phoneticPr fontId="1"/>
  </si>
  <si>
    <t>4-276-34611-8</t>
    <phoneticPr fontId="1"/>
  </si>
  <si>
    <t>C1073</t>
    <phoneticPr fontId="1"/>
  </si>
  <si>
    <t>Desarthe,Agnes</t>
    <phoneticPr fontId="1"/>
  </si>
  <si>
    <t>Caron,Marjolaine</t>
    <phoneticPr fontId="1"/>
  </si>
  <si>
    <t>978-4-925064-52-1</t>
    <phoneticPr fontId="1"/>
  </si>
  <si>
    <t>Breithaupt,Don</t>
    <rPh sb="0" eb="10">
      <t>ブライトハウプト</t>
    </rPh>
    <rPh sb="11" eb="14">
      <t>ドン</t>
    </rPh>
    <phoneticPr fontId="1"/>
  </si>
  <si>
    <t>DU BOOKS</t>
    <phoneticPr fontId="1"/>
  </si>
  <si>
    <t>diskUnion</t>
    <rPh sb="0" eb="9">
      <t>ディスクユニオン</t>
    </rPh>
    <phoneticPr fontId="1"/>
  </si>
  <si>
    <t>Amazon</t>
    <rPh sb="0" eb="6">
      <t>アマゾン</t>
    </rPh>
    <phoneticPr fontId="1"/>
  </si>
  <si>
    <t>978-4-09-362191-5</t>
    <phoneticPr fontId="1"/>
  </si>
  <si>
    <t>C0393</t>
    <phoneticPr fontId="1"/>
  </si>
  <si>
    <t>978-4-334-73826-6</t>
    <phoneticPr fontId="1"/>
  </si>
  <si>
    <t>2014/</t>
    <phoneticPr fontId="1"/>
  </si>
  <si>
    <t>978-4-10-129242-7</t>
    <phoneticPr fontId="1"/>
  </si>
  <si>
    <t>978-4-12-205703-6</t>
    <phoneticPr fontId="1"/>
  </si>
  <si>
    <t>C1193</t>
    <phoneticPr fontId="1"/>
  </si>
  <si>
    <t>978-4-10-127951-0</t>
    <phoneticPr fontId="1"/>
  </si>
  <si>
    <t>C0111</t>
    <phoneticPr fontId="1"/>
  </si>
  <si>
    <t>4-06-213628-7</t>
    <phoneticPr fontId="1"/>
  </si>
  <si>
    <t>2014/06/23 Mon</t>
    <phoneticPr fontId="1"/>
  </si>
  <si>
    <t>978-4-566-00247-0</t>
    <phoneticPr fontId="1"/>
  </si>
  <si>
    <t>2013/12/</t>
    <phoneticPr fontId="1"/>
  </si>
  <si>
    <t>1986/10/</t>
    <phoneticPr fontId="1"/>
  </si>
  <si>
    <t>978-4-03-343060-7</t>
    <phoneticPr fontId="1"/>
  </si>
  <si>
    <t>978-4-03-016330-0</t>
    <phoneticPr fontId="1"/>
  </si>
  <si>
    <t>2000/09/</t>
    <phoneticPr fontId="1"/>
  </si>
  <si>
    <t>978-4-87110-012-0</t>
    <phoneticPr fontId="1"/>
  </si>
  <si>
    <t>1992/11/</t>
    <phoneticPr fontId="1"/>
  </si>
  <si>
    <t>4-591-00405-8</t>
    <phoneticPr fontId="1"/>
  </si>
  <si>
    <t>C8772</t>
    <phoneticPr fontId="1"/>
  </si>
  <si>
    <t>1979/12/</t>
    <phoneticPr fontId="1"/>
  </si>
  <si>
    <t>978-4-8292-0443-6</t>
    <phoneticPr fontId="1"/>
  </si>
  <si>
    <t>C8737</t>
    <phoneticPr fontId="1"/>
  </si>
  <si>
    <t>1972/10/</t>
    <phoneticPr fontId="1"/>
  </si>
  <si>
    <t>4-88991-346-7</t>
    <phoneticPr fontId="1"/>
  </si>
  <si>
    <t>Media Factory</t>
    <phoneticPr fontId="1"/>
  </si>
  <si>
    <t>2015/05/</t>
    <phoneticPr fontId="1"/>
  </si>
  <si>
    <t>4-88991-380-7</t>
    <phoneticPr fontId="1"/>
  </si>
  <si>
    <t>Book Off</t>
    <phoneticPr fontId="1"/>
  </si>
  <si>
    <t>4-12-202427-7</t>
    <phoneticPr fontId="1"/>
  </si>
  <si>
    <t>1990/</t>
    <phoneticPr fontId="1"/>
  </si>
  <si>
    <t>2015/</t>
    <phoneticPr fontId="1"/>
  </si>
  <si>
    <t>4-16-726714-4</t>
    <phoneticPr fontId="1"/>
  </si>
  <si>
    <t>4-08-785059-5</t>
    <phoneticPr fontId="1"/>
  </si>
  <si>
    <t>978-4-08-746022-3</t>
    <phoneticPr fontId="1"/>
  </si>
  <si>
    <t>978-4-08-746684-3</t>
    <phoneticPr fontId="1"/>
  </si>
  <si>
    <t>978-4-02-264511-1</t>
    <phoneticPr fontId="1"/>
  </si>
  <si>
    <t>4-344-40253-7</t>
    <phoneticPr fontId="1"/>
  </si>
  <si>
    <t>1999/02/</t>
    <phoneticPr fontId="1"/>
  </si>
  <si>
    <t>1955/</t>
    <phoneticPr fontId="1"/>
  </si>
  <si>
    <t>2014/</t>
    <phoneticPr fontId="1"/>
  </si>
  <si>
    <t>1976/</t>
    <phoneticPr fontId="1"/>
  </si>
  <si>
    <t>4-422-41014-8</t>
    <phoneticPr fontId="1"/>
  </si>
  <si>
    <t>4-344-00063-3</t>
    <phoneticPr fontId="1"/>
  </si>
  <si>
    <t>C0093</t>
    <phoneticPr fontId="1"/>
  </si>
  <si>
    <t>?</t>
    <phoneticPr fontId="1"/>
  </si>
  <si>
    <t>2015/06/</t>
  </si>
  <si>
    <t>4-8401-1714-4</t>
    <phoneticPr fontId="1"/>
  </si>
  <si>
    <t>4-8401-0614-2</t>
    <phoneticPr fontId="1"/>
  </si>
  <si>
    <t>978.2.35289.076.8</t>
    <phoneticPr fontId="1"/>
  </si>
  <si>
    <t>MeMo</t>
    <phoneticPr fontId="1"/>
  </si>
  <si>
    <t>20 euro</t>
    <phoneticPr fontId="1"/>
  </si>
  <si>
    <t>harmonia mundi</t>
    <phoneticPr fontId="1"/>
  </si>
  <si>
    <t>Mmonsieur cent te^tes</t>
    <phoneticPr fontId="1"/>
  </si>
  <si>
    <t>ghislaine herbe'ra</t>
    <phoneticPr fontId="1"/>
  </si>
  <si>
    <t>pour nino et ferran et un grand merci `a pascal</t>
    <phoneticPr fontId="1"/>
  </si>
  <si>
    <t>2015/07/08 ~ 2005/08/30</t>
    <phoneticPr fontId="1"/>
  </si>
  <si>
    <r>
      <t xml:space="preserve">Un petit mot de </t>
    </r>
    <r>
      <rPr>
        <sz val="11"/>
        <rFont val="Consolas"/>
        <family val="3"/>
      </rPr>
      <t>Brigitte</t>
    </r>
    <phoneticPr fontId="1"/>
  </si>
  <si>
    <r>
      <t xml:space="preserve">Un petit mot de </t>
    </r>
    <r>
      <rPr>
        <sz val="11"/>
        <rFont val="Consolas"/>
        <family val="3"/>
      </rPr>
      <t>Jacques</t>
    </r>
    <phoneticPr fontId="1"/>
  </si>
  <si>
    <r>
      <t xml:space="preserve">Un petit mot de </t>
    </r>
    <r>
      <rPr>
        <sz val="11"/>
        <rFont val="Consolas"/>
        <family val="3"/>
      </rPr>
      <t>Jeannine</t>
    </r>
    <phoneticPr fontId="1"/>
  </si>
  <si>
    <r>
      <t>CHARLIE BIRD</t>
    </r>
    <r>
      <rPr>
        <sz val="8"/>
        <rFont val="Consolas"/>
        <family val="3"/>
      </rPr>
      <t xml:space="preserve"> COUNTS the BEAT</t>
    </r>
    <phoneticPr fontId="1"/>
  </si>
  <si>
    <r>
      <t>DUCK ELLINGTON</t>
    </r>
    <r>
      <rPr>
        <sz val="8"/>
        <rFont val="Consolas"/>
        <family val="3"/>
      </rPr>
      <t xml:space="preserve"> SWINGS through the ZOO</t>
    </r>
    <phoneticPr fontId="1"/>
  </si>
  <si>
    <r>
      <t>ELLA ELEPHANT</t>
    </r>
    <r>
      <rPr>
        <sz val="8"/>
        <rFont val="Consolas"/>
        <family val="3"/>
      </rPr>
      <t xml:space="preserve"> SCATS like THAT</t>
    </r>
    <phoneticPr fontId="1"/>
  </si>
  <si>
    <r>
      <t>MILES the CROCODILE</t>
    </r>
    <r>
      <rPr>
        <sz val="8"/>
        <rFont val="Consolas"/>
        <family val="3"/>
      </rPr>
      <t xml:space="preserve"> PLAYS the COLORS of JAZZ</t>
    </r>
    <phoneticPr fontId="1"/>
  </si>
  <si>
    <r>
      <t>MEG and MOG</t>
    </r>
    <r>
      <rPr>
        <sz val="8"/>
        <rFont val="Consolas"/>
        <family val="3"/>
      </rPr>
      <t xml:space="preserve"> seven books complete and unabridged</t>
    </r>
    <phoneticPr fontId="1"/>
  </si>
  <si>
    <r>
      <t>Toccata and Fugue in D Minor</t>
    </r>
    <r>
      <rPr>
        <sz val="6"/>
        <rFont val="Consolas"/>
        <family val="3"/>
      </rPr>
      <t xml:space="preserve"> and the Other Bach Transcriptions for Solo Piano</t>
    </r>
    <phoneticPr fontId="1"/>
  </si>
  <si>
    <t>978-4-86435-158-4</t>
    <phoneticPr fontId="1"/>
  </si>
  <si>
    <t>C1095</t>
    <phoneticPr fontId="1"/>
  </si>
  <si>
    <t>Fondazione Versiliana</t>
    <phoneticPr fontId="1"/>
  </si>
  <si>
    <t>Teatro Comunale Pietrasanta - Stagione di Prosa 2015 - 2016</t>
    <phoneticPr fontId="1"/>
  </si>
  <si>
    <t>2016/01/</t>
    <phoneticPr fontId="1"/>
  </si>
  <si>
    <t>Wacoal Group</t>
    <phoneticPr fontId="1"/>
  </si>
  <si>
    <t>2016/05/</t>
    <phoneticPr fontId="1"/>
  </si>
  <si>
    <t>C0979</t>
    <phoneticPr fontId="1"/>
  </si>
  <si>
    <t>978-4-8458-4415-9</t>
    <phoneticPr fontId="1"/>
  </si>
  <si>
    <t>book express</t>
    <phoneticPr fontId="1"/>
  </si>
  <si>
    <t>2014/08~2015/07</t>
    <phoneticPr fontId="1"/>
  </si>
  <si>
    <t>978-4-12-206002-9</t>
    <phoneticPr fontId="1"/>
  </si>
  <si>
    <t>2011/08/</t>
    <phoneticPr fontId="1"/>
  </si>
  <si>
    <t>amazon</t>
    <phoneticPr fontId="1"/>
  </si>
  <si>
    <t>978-4-12-205974-0</t>
    <phoneticPr fontId="1"/>
  </si>
  <si>
    <t>978-4-12-205976-4</t>
    <phoneticPr fontId="1"/>
  </si>
  <si>
    <t>2011/06/</t>
    <phoneticPr fontId="1"/>
  </si>
  <si>
    <t>2011/04/</t>
    <phoneticPr fontId="1"/>
  </si>
  <si>
    <t>978-2-7324-3942-6</t>
    <phoneticPr fontId="1"/>
  </si>
  <si>
    <t>art/ethnic</t>
    <phoneticPr fontId="1"/>
  </si>
  <si>
    <t>39 euro</t>
    <phoneticPr fontId="1"/>
  </si>
  <si>
    <t>979-1-0204-0240-0</t>
    <phoneticPr fontId="1"/>
  </si>
  <si>
    <t>9 euro</t>
    <phoneticPr fontId="1"/>
  </si>
  <si>
    <t>978-2-330-03801-4</t>
    <phoneticPr fontId="1"/>
  </si>
  <si>
    <t>ACTES SUD</t>
    <phoneticPr fontId="1"/>
  </si>
  <si>
    <t>CNRS le journal</t>
    <phoneticPr fontId="1"/>
  </si>
  <si>
    <t>Trimestriel No.283 hiver 2016</t>
    <phoneticPr fontId="1"/>
  </si>
  <si>
    <t>0 euro</t>
    <phoneticPr fontId="1"/>
  </si>
  <si>
    <t>Petit guide du visiteur</t>
    <phoneticPr fontId="1"/>
  </si>
  <si>
    <t>universite rene descartes</t>
    <phoneticPr fontId="1"/>
  </si>
  <si>
    <t>2-9508470-2-1</t>
    <phoneticPr fontId="1"/>
  </si>
  <si>
    <t>1997/11/</t>
    <phoneticPr fontId="1"/>
  </si>
  <si>
    <t>Realization : La compagnie d'Hauteville, Paris/Direction artistique : Gilles Guinamard</t>
    <phoneticPr fontId="1"/>
  </si>
  <si>
    <t>2-911352-02-5</t>
    <phoneticPr fontId="1"/>
  </si>
  <si>
    <t>la compagnie d'Hauteville</t>
    <phoneticPr fontId="1"/>
  </si>
  <si>
    <t>2005/01/</t>
    <phoneticPr fontId="1"/>
  </si>
  <si>
    <t>4-480-03440-4</t>
    <phoneticPr fontId="1"/>
  </si>
  <si>
    <t>1965/</t>
    <phoneticPr fontId="1"/>
  </si>
  <si>
    <t>2016/02/</t>
    <phoneticPr fontId="1"/>
  </si>
  <si>
    <t>Musée du Quai Branly</t>
    <phoneticPr fontId="1"/>
  </si>
  <si>
    <t>Museé du Quai Branly</t>
    <phoneticPr fontId="1"/>
  </si>
  <si>
    <t>Museé du Quai Branly</t>
    <phoneticPr fontId="1"/>
  </si>
  <si>
    <t>Le Museé d'Histoire de la Me'decine de Paris</t>
    <phoneticPr fontId="1"/>
  </si>
  <si>
    <t>Le Museé d'Histoire de la Médecine de Paris</t>
    <phoneticPr fontId="1"/>
  </si>
  <si>
    <t>Le Musée d'Histoire de la Médecine de Paris</t>
    <phoneticPr fontId="1"/>
  </si>
  <si>
    <t>Le corps exploré</t>
    <phoneticPr fontId="1"/>
  </si>
  <si>
    <t>des amis du Musée d'Histoire de la Médecine</t>
    <phoneticPr fontId="1"/>
  </si>
  <si>
    <t>Musée d'Histoire de la Médecine</t>
    <phoneticPr fontId="1"/>
  </si>
  <si>
    <t>Académie Nationale de Chirurgie</t>
    <phoneticPr fontId="1"/>
  </si>
  <si>
    <t>Le corps Méce`ne</t>
    <phoneticPr fontId="1"/>
  </si>
  <si>
    <t>PERSONA / étrangement humain</t>
    <phoneticPr fontId="1"/>
  </si>
  <si>
    <t>PERSONA / étrangement humain</t>
    <phoneticPr fontId="1"/>
  </si>
  <si>
    <t>éditions de la Martinie`re</t>
    <phoneticPr fontId="1"/>
  </si>
  <si>
    <t>BeauxArts éditions/la` ou` dialoguent les cultures</t>
    <phoneticPr fontId="1"/>
  </si>
  <si>
    <t>chefs-d'oevre de la Faculte' de Médecine</t>
    <phoneticPr fontId="1"/>
  </si>
  <si>
    <t>Museée du Quai Branly</t>
    <phoneticPr fontId="1"/>
  </si>
  <si>
    <t>Le Musée d'Histoire de la Médecine de Paris</t>
    <phoneticPr fontId="1"/>
  </si>
  <si>
    <t>Musée du Quai Branly</t>
    <phoneticPr fontId="1"/>
  </si>
  <si>
    <t>978-4-02-333020-7</t>
    <phoneticPr fontId="1"/>
  </si>
  <si>
    <t>2016/04/</t>
    <phoneticPr fontId="1"/>
  </si>
  <si>
    <t>978-4-560-08494-6</t>
    <phoneticPr fontId="1"/>
  </si>
  <si>
    <t>C0095</t>
    <phoneticPr fontId="1"/>
  </si>
  <si>
    <t>2016/06/</t>
    <phoneticPr fontId="1"/>
  </si>
  <si>
    <t>4-11-765190-0</t>
    <phoneticPr fontId="1"/>
  </si>
  <si>
    <t>various</t>
    <phoneticPr fontId="1"/>
  </si>
  <si>
    <t>vocal</t>
    <phoneticPr fontId="1"/>
  </si>
  <si>
    <t>foreign</t>
    <phoneticPr fontId="1"/>
  </si>
  <si>
    <t>1980/</t>
    <phoneticPr fontId="1"/>
  </si>
  <si>
    <t>4-33-65108-2</t>
    <phoneticPr fontId="1"/>
  </si>
  <si>
    <t>978-4-8079-0853-0</t>
    <phoneticPr fontId="1"/>
  </si>
  <si>
    <t>Jong,Erica/Smith,Josepf A.</t>
    <rPh sb="0" eb="4">
      <t>ジョング</t>
    </rPh>
    <rPh sb="5" eb="10">
      <t>エリカ</t>
    </rPh>
    <rPh sb="11" eb="16">
      <t>スミス</t>
    </rPh>
    <rPh sb="17" eb="23">
      <t>ジョゼフ</t>
    </rPh>
    <phoneticPr fontId="1"/>
  </si>
  <si>
    <t>1981/</t>
    <phoneticPr fontId="1"/>
  </si>
  <si>
    <t>C3347</t>
    <phoneticPr fontId="1"/>
  </si>
  <si>
    <t>0398-82003-2831/B000J7R1YM</t>
    <phoneticPr fontId="1"/>
  </si>
  <si>
    <t>4-87728-648-9</t>
    <phoneticPr fontId="1"/>
  </si>
  <si>
    <t>68932-45</t>
    <phoneticPr fontId="1"/>
  </si>
  <si>
    <t>2016/</t>
    <phoneticPr fontId="1"/>
  </si>
  <si>
    <t>2016/</t>
    <phoneticPr fontId="1"/>
  </si>
  <si>
    <t>etc.</t>
    <phoneticPr fontId="1"/>
  </si>
  <si>
    <t>APL</t>
    <phoneticPr fontId="1"/>
  </si>
  <si>
    <t>68932-03</t>
    <phoneticPr fontId="1"/>
  </si>
  <si>
    <t>4-04-185125-4</t>
    <phoneticPr fontId="1"/>
  </si>
  <si>
    <t>1953/11/05,1951/01/10,1953/05</t>
    <phoneticPr fontId="1"/>
  </si>
  <si>
    <t>4-652-07805-6</t>
    <phoneticPr fontId="1"/>
  </si>
  <si>
    <t>C0330</t>
    <phoneticPr fontId="1"/>
  </si>
  <si>
    <t>net</t>
    <phoneticPr fontId="1"/>
  </si>
  <si>
    <t>4-09-193171-5</t>
    <phoneticPr fontId="1"/>
  </si>
  <si>
    <t>4-09-193172-3</t>
    <phoneticPr fontId="1"/>
  </si>
  <si>
    <t>4-09-193173-1</t>
    <phoneticPr fontId="1"/>
  </si>
  <si>
    <t>4-09-193174-X</t>
    <phoneticPr fontId="1"/>
  </si>
  <si>
    <t>4-09-193175-8</t>
    <phoneticPr fontId="1"/>
  </si>
  <si>
    <t>4-09-193176-6</t>
    <phoneticPr fontId="1"/>
  </si>
  <si>
    <t>4-89386-402-5</t>
    <phoneticPr fontId="1"/>
  </si>
  <si>
    <t>4-89386-403-3</t>
    <phoneticPr fontId="1"/>
  </si>
  <si>
    <t>Hamlet</t>
    <rPh sb="0" eb="6">
      <t>ハムレット</t>
    </rPh>
    <phoneticPr fontId="1"/>
  </si>
  <si>
    <t>2017/06/</t>
    <phoneticPr fontId="1"/>
  </si>
  <si>
    <t>978-4-10-202003-6</t>
    <phoneticPr fontId="1"/>
  </si>
  <si>
    <t>1600-1601</t>
    <phoneticPr fontId="1"/>
  </si>
  <si>
    <t>NB/new bible</t>
    <phoneticPr fontId="1"/>
  </si>
  <si>
    <t>Shakespeare,William</t>
    <rPh sb="0" eb="11">
      <t>シェイクスピア</t>
    </rPh>
    <rPh sb="12" eb="19">
      <t>ウィリアム</t>
    </rPh>
    <phoneticPr fontId="1"/>
  </si>
  <si>
    <t>978-4-16-390601-0</t>
    <phoneticPr fontId="1"/>
  </si>
  <si>
    <t>Wilcox,Christie</t>
    <rPh sb="0" eb="6">
      <t>ウィルコックス</t>
    </rPh>
    <rPh sb="7" eb="15">
      <t>クリスティー</t>
    </rPh>
    <phoneticPr fontId="1"/>
  </si>
  <si>
    <t>978-4-7906-0347-4</t>
    <phoneticPr fontId="1"/>
  </si>
  <si>
    <t>C0092</t>
    <phoneticPr fontId="1"/>
  </si>
  <si>
    <t>Book Off</t>
    <rPh sb="0" eb="8">
      <t>ブックオフ</t>
    </rPh>
    <phoneticPr fontId="1"/>
  </si>
  <si>
    <t>2017/</t>
    <phoneticPr fontId="1"/>
  </si>
  <si>
    <t>978-4-12-206419-5</t>
    <phoneticPr fontId="1"/>
  </si>
  <si>
    <t>C1195</t>
    <phoneticPr fontId="1"/>
  </si>
  <si>
    <t>978-4-06-276923-5</t>
    <phoneticPr fontId="1"/>
  </si>
  <si>
    <t>2007/06/</t>
    <phoneticPr fontId="1"/>
  </si>
  <si>
    <t>2013/01/</t>
    <phoneticPr fontId="1"/>
  </si>
  <si>
    <t>978-4-12-203905-5</t>
    <phoneticPr fontId="1"/>
  </si>
  <si>
    <t>978-4-12-203495-7</t>
    <phoneticPr fontId="1"/>
  </si>
  <si>
    <t>1996/08/</t>
    <phoneticPr fontId="1"/>
  </si>
  <si>
    <t>1998/09/</t>
    <phoneticPr fontId="1"/>
  </si>
  <si>
    <t>978-4-344-41378-8</t>
    <phoneticPr fontId="1"/>
  </si>
  <si>
    <t>978-4-7837-3266-2</t>
    <phoneticPr fontId="1"/>
  </si>
  <si>
    <t>2004/10 - 2005/06</t>
    <phoneticPr fontId="1"/>
  </si>
  <si>
    <t>978-4-87944-292-5</t>
    <phoneticPr fontId="1"/>
  </si>
  <si>
    <t>978-4-12-004831-9</t>
    <phoneticPr fontId="1"/>
  </si>
  <si>
    <t>19691-03</t>
    <phoneticPr fontId="1"/>
  </si>
  <si>
    <t>2014/03/</t>
    <phoneticPr fontId="1"/>
  </si>
  <si>
    <t>No.42</t>
    <phoneticPr fontId="1"/>
  </si>
  <si>
    <t>978-4-12-205431-8</t>
    <phoneticPr fontId="1"/>
  </si>
  <si>
    <t>4-10-117502-0</t>
    <phoneticPr fontId="1"/>
  </si>
  <si>
    <t>4-08-618265-3</t>
    <phoneticPr fontId="1"/>
  </si>
  <si>
    <t>japan</t>
  </si>
  <si>
    <t>1995/07|1995/09</t>
    <phoneticPr fontId="1"/>
  </si>
  <si>
    <t>4-06-260463-9</t>
    <phoneticPr fontId="1"/>
  </si>
  <si>
    <t>2018/</t>
    <phoneticPr fontId="1"/>
  </si>
  <si>
    <t>4-06-260464-7</t>
    <phoneticPr fontId="1"/>
  </si>
  <si>
    <t>4-16-660441-4</t>
    <phoneticPr fontId="1"/>
  </si>
  <si>
    <t xml:space="preserve">4-7739-9705-2 </t>
    <phoneticPr fontId="1"/>
  </si>
  <si>
    <t>???</t>
    <phoneticPr fontId="1"/>
  </si>
  <si>
    <t>1997/08/14</t>
    <phoneticPr fontId="1"/>
  </si>
  <si>
    <t>1997?</t>
    <phoneticPr fontId="1"/>
  </si>
  <si>
    <t>C1230</t>
    <phoneticPr fontId="1"/>
  </si>
  <si>
    <t>978-4-04-867241-2</t>
    <phoneticPr fontId="1"/>
  </si>
  <si>
    <t>0?</t>
    <phoneticPr fontId="1"/>
  </si>
  <si>
    <t>978-4-434-25148-1</t>
    <phoneticPr fontId="1"/>
  </si>
  <si>
    <t>C0074</t>
    <phoneticPr fontId="1"/>
  </si>
  <si>
    <t>space 142</t>
    <phoneticPr fontId="1"/>
  </si>
  <si>
    <t>space 141</t>
  </si>
  <si>
    <t>978-4-04-107392-6</t>
    <phoneticPr fontId="1"/>
  </si>
  <si>
    <t>2019/01/</t>
    <phoneticPr fontId="1"/>
  </si>
  <si>
    <t>978-4-04-103007-3</t>
    <phoneticPr fontId="1"/>
  </si>
  <si>
    <t>2008/04|2010/03/25</t>
    <phoneticPr fontId="1"/>
  </si>
  <si>
    <t>4-11-765200-1</t>
    <phoneticPr fontId="1"/>
  </si>
  <si>
    <t>1978|1990</t>
    <phoneticPr fontId="1"/>
  </si>
  <si>
    <t>978-4-06-260333-1</t>
    <phoneticPr fontId="1"/>
  </si>
  <si>
    <t>Amazon</t>
    <phoneticPr fontId="1"/>
  </si>
  <si>
    <t>978-4-87525-250-4</t>
    <phoneticPr fontId="1"/>
  </si>
  <si>
    <t>C0040</t>
    <phoneticPr fontId="1"/>
  </si>
  <si>
    <t>978-4-642-08040-8</t>
    <phoneticPr fontId="1"/>
  </si>
  <si>
    <t>C1014</t>
    <phoneticPr fontId="1"/>
  </si>
  <si>
    <t>978-4-13-060222-8</t>
    <phoneticPr fontId="1"/>
  </si>
  <si>
    <t>C3045</t>
    <phoneticPr fontId="1"/>
  </si>
  <si>
    <t>4-594-04666-5</t>
    <phoneticPr fontId="1"/>
  </si>
  <si>
    <t>978-4-8387-3010-0</t>
    <phoneticPr fontId="1"/>
  </si>
  <si>
    <t>C1321</t>
    <phoneticPr fontId="1"/>
  </si>
  <si>
    <t>978-4-642-06275-6</t>
    <phoneticPr fontId="1"/>
  </si>
  <si>
    <t>978-4-642-06278-7</t>
    <phoneticPr fontId="1"/>
  </si>
  <si>
    <t>4-902055-00-7</t>
    <phoneticPr fontId="1"/>
  </si>
  <si>
    <t>2019/07/</t>
    <phoneticPr fontId="1"/>
  </si>
  <si>
    <t>2019/10/</t>
    <phoneticPr fontId="1"/>
  </si>
  <si>
    <t>NATURE EARTH ORIGIN</t>
    <phoneticPr fontId="1"/>
  </si>
  <si>
    <t>978-4-8024-0084-8</t>
    <phoneticPr fontId="1"/>
  </si>
  <si>
    <t>2019/10/07</t>
    <phoneticPr fontId="1"/>
  </si>
  <si>
    <t>resume</t>
    <phoneticPr fontId="1"/>
  </si>
  <si>
    <t>Thematic Apperception Test MANUAL</t>
    <phoneticPr fontId="1"/>
  </si>
  <si>
    <t>Henry A. Murray, M.D.</t>
    <phoneticPr fontId="1"/>
  </si>
  <si>
    <t>the Staff of the Harvard Psychological Clinic</t>
    <phoneticPr fontId="1"/>
  </si>
  <si>
    <t>HYPOGLYCEMIA</t>
    <phoneticPr fontId="1"/>
  </si>
  <si>
    <t>1527 CM:pa 771</t>
    <phoneticPr fontId="1"/>
  </si>
  <si>
    <t>6343 DS:zd 172</t>
    <phoneticPr fontId="1"/>
  </si>
  <si>
    <t>978-4-02-333164-8</t>
    <phoneticPr fontId="1"/>
  </si>
  <si>
    <t>C2022</t>
    <phoneticPr fontId="1"/>
  </si>
  <si>
    <t>2017/07/</t>
    <phoneticPr fontId="1"/>
  </si>
  <si>
    <t>2015/04/</t>
    <phoneticPr fontId="1"/>
  </si>
  <si>
    <t>4-480-02881-1</t>
    <phoneticPr fontId="1"/>
  </si>
  <si>
    <t>1986/12/</t>
    <phoneticPr fontId="1"/>
  </si>
  <si>
    <t>2020/03/</t>
    <phoneticPr fontId="1"/>
  </si>
  <si>
    <t>4-88991-573-7</t>
    <phoneticPr fontId="1"/>
  </si>
  <si>
    <t>4-88991-864-7</t>
    <phoneticPr fontId="1"/>
  </si>
  <si>
    <t>GEKIPA</t>
    <phoneticPr fontId="1"/>
  </si>
  <si>
    <t>2020/03/01 - 05/31</t>
    <phoneticPr fontId="1"/>
  </si>
  <si>
    <t>1978|2014/09/13</t>
    <phoneticPr fontId="1"/>
  </si>
  <si>
    <t>978-4-385-14047-6</t>
    <phoneticPr fontId="1"/>
  </si>
  <si>
    <t>978-4-385-13107-8</t>
    <phoneticPr fontId="1"/>
  </si>
  <si>
    <t>978-4-385-13870-1</t>
    <phoneticPr fontId="1"/>
  </si>
  <si>
    <t>9-007720</t>
    <phoneticPr fontId="1"/>
  </si>
  <si>
    <t>978-4-89995-812-3</t>
    <phoneticPr fontId="1"/>
  </si>
  <si>
    <t>interzoo</t>
    <phoneticPr fontId="1"/>
  </si>
  <si>
    <t>2019/04/</t>
    <phoneticPr fontId="1"/>
  </si>
  <si>
    <t>978-4-89995-809-3</t>
    <phoneticPr fontId="1"/>
  </si>
  <si>
    <t>978-4-89995-858-1</t>
    <phoneticPr fontId="1"/>
  </si>
  <si>
    <t>978-4-89995-822-2</t>
    <phoneticPr fontId="1"/>
  </si>
  <si>
    <t>978-4-89995-860-4</t>
    <phoneticPr fontId="1"/>
  </si>
  <si>
    <t>978-4-89995-816-1</t>
    <phoneticPr fontId="1"/>
  </si>
  <si>
    <t>978-4-89995-821-5</t>
    <phoneticPr fontId="1"/>
  </si>
  <si>
    <t>978-4-89995-817-8</t>
    <phoneticPr fontId="1"/>
  </si>
  <si>
    <t>978-4-89995-818-5</t>
    <phoneticPr fontId="1"/>
  </si>
  <si>
    <t>978-4-89995-815-4</t>
    <phoneticPr fontId="1"/>
  </si>
  <si>
    <t>978-4-89995-810-9</t>
    <phoneticPr fontId="1"/>
  </si>
  <si>
    <t>COPY</t>
    <phoneticPr fontId="1"/>
  </si>
  <si>
    <t>978-4-86382-033-3</t>
    <phoneticPr fontId="1"/>
  </si>
  <si>
    <t>2017/03/</t>
    <phoneticPr fontId="1"/>
  </si>
  <si>
    <t>978-4-89531-255-4</t>
    <phoneticPr fontId="1"/>
  </si>
  <si>
    <t>978-4-87362-144-9</t>
    <phoneticPr fontId="1"/>
  </si>
  <si>
    <t>C3061</t>
    <phoneticPr fontId="1"/>
  </si>
  <si>
    <t>Kainer,Robert A.|McCracken,Thomas O.</t>
    <phoneticPr fontId="1"/>
  </si>
  <si>
    <t>978-4-86382-044-9</t>
    <phoneticPr fontId="1"/>
  </si>
  <si>
    <t>978-4-524-26154-3</t>
    <phoneticPr fontId="1"/>
  </si>
  <si>
    <t>978-4-7827-0400-4</t>
    <phoneticPr fontId="1"/>
  </si>
  <si>
    <t>2012/03/</t>
    <phoneticPr fontId="1"/>
  </si>
  <si>
    <t>978-4-254-45026-2</t>
    <phoneticPr fontId="1"/>
  </si>
  <si>
    <t>978-4-938807-86-3</t>
    <phoneticPr fontId="1"/>
  </si>
  <si>
    <t>978-4-8222-9573-8</t>
    <phoneticPr fontId="1"/>
  </si>
  <si>
    <t>C0037</t>
    <phoneticPr fontId="1"/>
  </si>
  <si>
    <t>978-4-89995-580-1</t>
    <phoneticPr fontId="1"/>
  </si>
  <si>
    <t>C3547</t>
    <phoneticPr fontId="1"/>
  </si>
  <si>
    <t>978-4-411-04030-5</t>
    <phoneticPr fontId="1"/>
  </si>
  <si>
    <t>978-4-7628-2503-3</t>
    <phoneticPr fontId="1"/>
  </si>
  <si>
    <t>C1011</t>
    <phoneticPr fontId="1"/>
  </si>
  <si>
    <t>978-4-89628-899-5</t>
    <phoneticPr fontId="1"/>
  </si>
  <si>
    <t>C2032</t>
    <phoneticPr fontId="1"/>
  </si>
  <si>
    <t>978-4-86085-121-7</t>
    <phoneticPr fontId="1"/>
  </si>
  <si>
    <t>978-4-00-431413-4</t>
    <phoneticPr fontId="1"/>
  </si>
  <si>
    <t>C0210</t>
    <phoneticPr fontId="1"/>
  </si>
  <si>
    <t>2020/</t>
    <phoneticPr fontId="1"/>
  </si>
  <si>
    <t>978-4-09-138181-1</t>
    <phoneticPr fontId="1"/>
  </si>
  <si>
    <t>4-8401-0027-6</t>
    <phoneticPr fontId="1"/>
  </si>
  <si>
    <t>2019/??</t>
    <phoneticPr fontId="1"/>
  </si>
  <si>
    <t>4-938620-20-0</t>
    <phoneticPr fontId="1"/>
  </si>
  <si>
    <t>978-4-06-219965-0</t>
    <phoneticPr fontId="1"/>
  </si>
  <si>
    <t>978-4-344-03504-1</t>
    <phoneticPr fontId="1"/>
  </si>
  <si>
    <t>978-4-532-17144-5</t>
    <phoneticPr fontId="1"/>
  </si>
  <si>
    <t>978-4-89995-607-5</t>
    <phoneticPr fontId="1"/>
  </si>
  <si>
    <t>0197 621-24 0724</t>
    <phoneticPr fontId="1"/>
  </si>
  <si>
    <t>1607/11/26</t>
    <phoneticPr fontId="1"/>
  </si>
  <si>
    <t>1973/02/10 501-7</t>
    <phoneticPr fontId="1"/>
  </si>
  <si>
    <t>0197 620-64</t>
    <phoneticPr fontId="1"/>
  </si>
  <si>
    <t>1968/02/20 B64</t>
    <phoneticPr fontId="1"/>
  </si>
  <si>
    <t>1606 ?</t>
    <phoneticPr fontId="1"/>
  </si>
  <si>
    <t>978-4-89684-198-5</t>
    <phoneticPr fontId="1"/>
  </si>
  <si>
    <t>Brace, Michael</t>
    <phoneticPr fontId="1"/>
  </si>
  <si>
    <t>translated and retold</t>
    <phoneticPr fontId="1"/>
  </si>
  <si>
    <t>japan|foreign</t>
    <phoneticPr fontId="1"/>
  </si>
  <si>
    <t>LADDER SERIES LEVEL 1</t>
    <phoneticPr fontId="1"/>
  </si>
  <si>
    <t>978-4-560-06083-4</t>
    <phoneticPr fontId="1"/>
  </si>
  <si>
    <t>C3885</t>
    <phoneticPr fontId="1"/>
  </si>
  <si>
    <t>978-4-469-36426-2</t>
    <phoneticPr fontId="1"/>
  </si>
  <si>
    <t>pamphlet</t>
  </si>
  <si>
    <t>2020/04/</t>
  </si>
  <si>
    <t>2020/04/</t>
    <phoneticPr fontId="1"/>
  </si>
  <si>
    <t>4-480-81625-9</t>
    <phoneticPr fontId="1"/>
  </si>
  <si>
    <t>978-4-905319-32-0</t>
    <phoneticPr fontId="1"/>
  </si>
  <si>
    <t>C0033</t>
    <phoneticPr fontId="1"/>
  </si>
  <si>
    <t>978-4863102293</t>
    <phoneticPr fontId="1"/>
  </si>
  <si>
    <t>C0241</t>
    <phoneticPr fontId="1"/>
  </si>
  <si>
    <t>978-4-575-71428-9</t>
    <phoneticPr fontId="1"/>
  </si>
  <si>
    <t>10</t>
  </si>
  <si>
    <t>2012/09-2013/01</t>
    <phoneticPr fontId="1"/>
  </si>
  <si>
    <t>flowers</t>
    <rPh sb="0" eb="7">
      <t>フラワーズ</t>
    </rPh>
    <phoneticPr fontId="1"/>
  </si>
  <si>
    <t>978-4-09-135077-0</t>
    <phoneticPr fontId="1"/>
  </si>
  <si>
    <t>978-4-09-135340-5</t>
    <phoneticPr fontId="1"/>
  </si>
  <si>
    <t>978-4-09-135588-1</t>
    <phoneticPr fontId="1"/>
  </si>
  <si>
    <t>978-4-09-136108-0</t>
    <phoneticPr fontId="1"/>
  </si>
  <si>
    <t>978-4-09-136108-3</t>
  </si>
  <si>
    <t>978-4-09-136246-9</t>
    <phoneticPr fontId="1"/>
  </si>
  <si>
    <t>978-4-09-136805-8</t>
    <phoneticPr fontId="1"/>
  </si>
  <si>
    <t>978-4-09-137774-6</t>
    <phoneticPr fontId="1"/>
  </si>
  <si>
    <t>978-4-09-138397-6</t>
    <phoneticPr fontId="1"/>
  </si>
  <si>
    <t>978-4-09-138397-10</t>
  </si>
  <si>
    <t>978-4-09-138677-9</t>
    <phoneticPr fontId="1"/>
  </si>
  <si>
    <t>978-4-09-139426-2</t>
    <phoneticPr fontId="1"/>
  </si>
  <si>
    <t>978-4-09-870034-9</t>
    <phoneticPr fontId="1"/>
  </si>
  <si>
    <t>978-4-89444-878-0</t>
    <phoneticPr fontId="1"/>
  </si>
  <si>
    <t>PIE BOOKS</t>
    <rPh sb="0" eb="9">
      <t>ピエ・ブックス</t>
    </rPh>
    <phoneticPr fontId="1"/>
  </si>
  <si>
    <t>978-4-58285447-3</t>
    <phoneticPr fontId="1"/>
  </si>
  <si>
    <t>C0172</t>
    <phoneticPr fontId="1"/>
  </si>
  <si>
    <t>978-4309418513</t>
    <phoneticPr fontId="1"/>
  </si>
  <si>
    <t>C1179</t>
  </si>
  <si>
    <t>??</t>
  </si>
  <si>
    <t>??</t>
    <phoneticPr fontId="1"/>
  </si>
  <si>
    <t>S 19 1</t>
    <phoneticPr fontId="1"/>
  </si>
  <si>
    <t>S 19 2</t>
  </si>
  <si>
    <t>S 19 3</t>
  </si>
  <si>
    <t>S 19 4</t>
  </si>
  <si>
    <t>S 19 5</t>
  </si>
  <si>
    <t>S 19 6</t>
  </si>
  <si>
    <t>S 19 7</t>
  </si>
  <si>
    <t>S 19 8</t>
  </si>
  <si>
    <t>978-4122042964</t>
    <phoneticPr fontId="1"/>
  </si>
  <si>
    <t>978-4122043213</t>
    <phoneticPr fontId="1"/>
  </si>
  <si>
    <t>978-4122043343</t>
    <phoneticPr fontId="1"/>
  </si>
  <si>
    <t>978-4122043466</t>
    <phoneticPr fontId="1"/>
  </si>
  <si>
    <t>978-4122043596</t>
    <phoneticPr fontId="1"/>
  </si>
  <si>
    <t>978-4122043886</t>
    <phoneticPr fontId="1"/>
  </si>
  <si>
    <t>978-4791750825</t>
    <phoneticPr fontId="1"/>
  </si>
  <si>
    <t>978-4299002921</t>
    <phoneticPr fontId="1"/>
  </si>
  <si>
    <t>C3011</t>
    <phoneticPr fontId="1"/>
  </si>
  <si>
    <t>978-4414403077</t>
    <phoneticPr fontId="1"/>
  </si>
  <si>
    <t>978-4775300350</t>
    <phoneticPr fontId="1"/>
  </si>
  <si>
    <t>978-4-09-362192-2</t>
    <phoneticPr fontId="1"/>
  </si>
  <si>
    <t>2021 about</t>
    <phoneticPr fontId="1"/>
  </si>
  <si>
    <t>2022 summer</t>
    <phoneticPr fontId="1"/>
  </si>
  <si>
    <t>Brontë,Charlotte</t>
    <rPh sb="0" eb="6">
      <t>プロンテ</t>
    </rPh>
    <rPh sb="7" eb="16">
      <t>シャーロット</t>
    </rPh>
    <phoneticPr fontId="1"/>
  </si>
  <si>
    <t>2022 Autumn</t>
    <phoneticPr fontId="1"/>
  </si>
  <si>
    <t>2022/</t>
    <phoneticPr fontId="1"/>
  </si>
  <si>
    <t>4-487-79073-5</t>
    <phoneticPr fontId="1"/>
  </si>
  <si>
    <t>978-4-8163-3735-2</t>
    <phoneticPr fontId="1"/>
  </si>
  <si>
    <t>1997/</t>
    <phoneticPr fontId="1"/>
  </si>
  <si>
    <t>978-4-06-276735-4</t>
    <phoneticPr fontId="1"/>
  </si>
  <si>
    <t>1992/01/</t>
    <phoneticPr fontId="1"/>
  </si>
  <si>
    <t>978-4-480-42893-6</t>
    <phoneticPr fontId="1"/>
  </si>
  <si>
    <t>C0174</t>
    <phoneticPr fontId="1"/>
  </si>
  <si>
    <t>4-04-121207-3</t>
    <phoneticPr fontId="1"/>
  </si>
  <si>
    <t>1999/12/01-2022/04/26</t>
    <phoneticPr fontId="1"/>
  </si>
  <si>
    <t>978-4-8459-1584-2</t>
    <phoneticPr fontId="1"/>
  </si>
  <si>
    <t>C0090</t>
    <phoneticPr fontId="1"/>
  </si>
  <si>
    <t>Angela Ackermam + Becca Puglisi</t>
    <rPh sb="0" eb="15">
      <t>アンジェラ・アッカーマン</t>
    </rPh>
    <rPh sb="18" eb="31">
      <t>ベッカ・パグリッシ</t>
    </rPh>
    <phoneticPr fontId="1"/>
  </si>
  <si>
    <t>FILM ART</t>
    <phoneticPr fontId="1"/>
  </si>
  <si>
    <t>2377-959211-3062</t>
    <phoneticPr fontId="1"/>
  </si>
  <si>
    <t>1991/12/</t>
    <phoneticPr fontId="1"/>
  </si>
  <si>
    <t>1996/12/</t>
    <phoneticPr fontId="1"/>
  </si>
  <si>
    <t>1993/08/</t>
    <phoneticPr fontId="1"/>
  </si>
  <si>
    <t>C0014</t>
    <phoneticPr fontId="1"/>
  </si>
  <si>
    <t>978-4-8454-2360-6</t>
    <phoneticPr fontId="1"/>
  </si>
  <si>
    <t>????/??/??</t>
    <phoneticPr fontId="1"/>
  </si>
  <si>
    <t>2013/09|2018/10/25</t>
    <phoneticPr fontId="1"/>
  </si>
  <si>
    <t>2018 ? 2019 ?</t>
    <phoneticPr fontId="1"/>
  </si>
  <si>
    <t>2023/</t>
    <phoneticPr fontId="1"/>
  </si>
  <si>
    <t>978-4-04-113704-8</t>
    <phoneticPr fontId="1"/>
  </si>
  <si>
    <t>KABA-4701|NOT FOR SALE</t>
    <phoneticPr fontId="1"/>
  </si>
  <si>
    <t>01-32,11.5</t>
    <phoneticPr fontId="1"/>
  </si>
  <si>
    <t>KADOKAWA COMICS A|KCA21-36</t>
    <phoneticPr fontId="1"/>
  </si>
  <si>
    <t>KADOKAWA COMICS A</t>
    <phoneticPr fontId="1"/>
  </si>
  <si>
    <t>22.5</t>
    <phoneticPr fontId="1"/>
  </si>
  <si>
    <t>978-4-04-631006-4</t>
    <phoneticPr fontId="1"/>
  </si>
  <si>
    <t>C8293</t>
    <phoneticPr fontId="1"/>
  </si>
  <si>
    <t>2006/01/|2009/06/15 Mon</t>
    <phoneticPr fontId="1"/>
  </si>
  <si>
    <t>978-4-04-854085-8</t>
    <phoneticPr fontId="1"/>
  </si>
  <si>
    <t>978-4-04-854168-8</t>
    <phoneticPr fontId="1"/>
  </si>
  <si>
    <t>1</t>
    <phoneticPr fontId="1"/>
  </si>
  <si>
    <t>978-4-04-108230-0</t>
    <phoneticPr fontId="1"/>
  </si>
  <si>
    <t>978-4-04-120171-8</t>
    <phoneticPr fontId="1"/>
  </si>
  <si>
    <t>978-4-04-108850-0</t>
    <phoneticPr fontId="1"/>
  </si>
  <si>
    <t>AJAC 45th</t>
    <phoneticPr fontId="1"/>
  </si>
  <si>
    <t>AJAC</t>
    <phoneticPr fontId="1"/>
  </si>
  <si>
    <t>AJAC 47th</t>
    <phoneticPr fontId="1"/>
  </si>
  <si>
    <t>AJAC 49th</t>
    <phoneticPr fontId="1"/>
  </si>
  <si>
    <t>2006/05/10 Wed ~ 2006/05/19 Fri</t>
    <phoneticPr fontId="1"/>
  </si>
  <si>
    <t>2009/06/29 Mon ~ 2009/07/04 Sat</t>
    <phoneticPr fontId="1"/>
  </si>
  <si>
    <t>2010/08/02 Mon ~ 2010/08/07 Sat</t>
    <phoneticPr fontId="1"/>
  </si>
  <si>
    <t>2011/06/27 Mon ~ 2011/07/02 Sat</t>
    <phoneticPr fontId="1"/>
  </si>
  <si>
    <t>2013/06/24 Mon ~ 2013/06/29 Sat</t>
    <phoneticPr fontId="1"/>
  </si>
  <si>
    <t>2015/06/22 Mon ~ 2015/06/27 Sat</t>
    <phoneticPr fontId="1"/>
  </si>
  <si>
    <t>2014/06/23 Mon ~ 2014/06/28 Sat</t>
    <phoneticPr fontId="1"/>
  </si>
  <si>
    <t>2016/06/20 Mon ~ 2016/06/26 Sat</t>
    <phoneticPr fontId="1"/>
  </si>
  <si>
    <t>2023 ?</t>
    <phoneticPr fontId="1"/>
  </si>
  <si>
    <t>978-4-12-207041-7</t>
    <phoneticPr fontId="1"/>
  </si>
  <si>
    <t>978-4-12-207135-3</t>
    <phoneticPr fontId="1"/>
  </si>
  <si>
    <t>978-4-309-41493-5</t>
    <phoneticPr fontId="1"/>
  </si>
  <si>
    <t>AJAC 48th</t>
    <phoneticPr fontId="1"/>
  </si>
  <si>
    <t>978-4-10-113485-7</t>
    <phoneticPr fontId="1"/>
  </si>
  <si>
    <t>Degan,Rolf</t>
    <rPh sb="0" eb="5">
      <t>デーゲン</t>
    </rPh>
    <rPh sb="6" eb="10">
      <t>ロルフ</t>
    </rPh>
    <phoneticPr fontId="1"/>
  </si>
  <si>
    <t>4-16-765160-2</t>
    <phoneticPr fontId="1"/>
  </si>
  <si>
    <t>2022 ?</t>
    <phoneticPr fontId="1"/>
  </si>
  <si>
    <t>2004|2006/6/10</t>
    <phoneticPr fontId="1"/>
  </si>
  <si>
    <t>978-4-476-03390-8</t>
    <phoneticPr fontId="1"/>
  </si>
  <si>
    <t>978-4-582-28445-4</t>
    <phoneticPr fontId="1"/>
  </si>
  <si>
    <t>978-4-14-223121-8</t>
    <phoneticPr fontId="1"/>
  </si>
  <si>
    <t>C9433</t>
    <phoneticPr fontId="1"/>
  </si>
  <si>
    <t>2021 ?</t>
    <phoneticPr fontId="1"/>
  </si>
  <si>
    <t>Gilles Néret</t>
    <phoneticPr fontId="1"/>
  </si>
  <si>
    <t>3-8228-2460-7</t>
    <phoneticPr fontId="1"/>
  </si>
  <si>
    <t>PUSSYCATS</t>
    <phoneticPr fontId="1"/>
  </si>
  <si>
    <t>ICONS</t>
    <phoneticPr fontId="1"/>
  </si>
  <si>
    <t>2021/03/</t>
    <phoneticPr fontId="1"/>
  </si>
  <si>
    <t>978-480970334-8</t>
    <phoneticPr fontId="1"/>
  </si>
  <si>
    <t>2018/01/18 - 2018/05/27</t>
    <phoneticPr fontId="1"/>
  </si>
  <si>
    <t>978-4-8097-0323-9</t>
    <phoneticPr fontId="1"/>
  </si>
  <si>
    <t>SHOW-OFF</t>
    <phoneticPr fontId="1"/>
  </si>
  <si>
    <t>2023/09/</t>
    <phoneticPr fontId="1"/>
  </si>
  <si>
    <t>978-4-634-64811-1</t>
    <phoneticPr fontId="1"/>
  </si>
  <si>
    <t>MUSAECA JAPONICA 8</t>
    <phoneticPr fontId="1"/>
  </si>
  <si>
    <t>978-480970351-5</t>
    <phoneticPr fontId="1"/>
  </si>
  <si>
    <t>2023/10/04 - 2024/01/14</t>
    <phoneticPr fontId="1"/>
  </si>
  <si>
    <t>978-480970335-5</t>
    <phoneticPr fontId="1"/>
  </si>
  <si>
    <t>2018/06/06 - 2018/09/05</t>
    <phoneticPr fontId="1"/>
  </si>
  <si>
    <t>2023/08/</t>
    <phoneticPr fontId="1"/>
  </si>
  <si>
    <t>978-4-09-217227-2</t>
    <phoneticPr fontId="1"/>
  </si>
  <si>
    <t>C8673</t>
    <phoneticPr fontId="1"/>
  </si>
  <si>
    <t>27</t>
    <phoneticPr fontId="1"/>
  </si>
  <si>
    <t>IKEBUKURO LIVING LOOP</t>
    <phoneticPr fontId="1"/>
  </si>
  <si>
    <t>2023/12/</t>
    <phoneticPr fontId="1"/>
  </si>
  <si>
    <r>
      <rPr>
        <u/>
        <sz val="12"/>
        <color indexed="12"/>
        <rFont val="游ゴシック Medium"/>
        <family val="3"/>
        <charset val="128"/>
      </rPr>
      <t>散文</t>
    </r>
    <phoneticPr fontId="1"/>
  </si>
  <si>
    <r>
      <rPr>
        <sz val="12"/>
        <rFont val="游ゴシック Medium"/>
        <family val="3"/>
        <charset val="128"/>
      </rPr>
      <t>新書</t>
    </r>
    <phoneticPr fontId="1"/>
  </si>
  <si>
    <r>
      <rPr>
        <sz val="12"/>
        <rFont val="游ゴシック Medium"/>
        <family val="3"/>
        <charset val="128"/>
      </rPr>
      <t>文庫</t>
    </r>
    <phoneticPr fontId="1"/>
  </si>
  <si>
    <r>
      <rPr>
        <u/>
        <sz val="12"/>
        <color indexed="12"/>
        <rFont val="游ゴシック Medium"/>
        <family val="3"/>
        <charset val="128"/>
      </rPr>
      <t>文学</t>
    </r>
    <phoneticPr fontId="1"/>
  </si>
  <si>
    <r>
      <rPr>
        <u/>
        <sz val="12"/>
        <color indexed="12"/>
        <rFont val="游ゴシック Medium"/>
        <family val="3"/>
        <charset val="128"/>
      </rPr>
      <t>詩</t>
    </r>
    <phoneticPr fontId="1"/>
  </si>
  <si>
    <r>
      <rPr>
        <sz val="12"/>
        <rFont val="游ゴシック Medium"/>
        <family val="3"/>
        <charset val="128"/>
      </rPr>
      <t>準新書</t>
    </r>
    <phoneticPr fontId="1"/>
  </si>
  <si>
    <r>
      <rPr>
        <sz val="12"/>
        <rFont val="游ゴシック Medium"/>
        <family val="3"/>
        <charset val="128"/>
      </rPr>
      <t>絵本</t>
    </r>
    <phoneticPr fontId="1"/>
  </si>
  <si>
    <r>
      <rPr>
        <u/>
        <sz val="12"/>
        <color indexed="12"/>
        <rFont val="游ゴシック Medium"/>
        <family val="3"/>
        <charset val="128"/>
      </rPr>
      <t>絵本</t>
    </r>
    <phoneticPr fontId="1"/>
  </si>
  <si>
    <r>
      <rPr>
        <u/>
        <sz val="12"/>
        <color indexed="12"/>
        <rFont val="游ゴシック Medium"/>
        <family val="3"/>
        <charset val="128"/>
      </rPr>
      <t>童話</t>
    </r>
    <phoneticPr fontId="1"/>
  </si>
  <si>
    <r>
      <rPr>
        <sz val="12"/>
        <rFont val="游ゴシック Medium"/>
        <family val="3"/>
        <charset val="128"/>
      </rPr>
      <t>画集</t>
    </r>
    <phoneticPr fontId="1"/>
  </si>
  <si>
    <r>
      <rPr>
        <u/>
        <sz val="12"/>
        <color indexed="12"/>
        <rFont val="游ゴシック Medium"/>
        <family val="3"/>
        <charset val="128"/>
      </rPr>
      <t>画集</t>
    </r>
    <phoneticPr fontId="1"/>
  </si>
  <si>
    <r>
      <rPr>
        <u/>
        <sz val="12"/>
        <color indexed="12"/>
        <rFont val="游ゴシック Medium"/>
        <family val="3"/>
        <charset val="128"/>
      </rPr>
      <t>身内</t>
    </r>
    <rPh sb="0" eb="2">
      <t>ミウチ</t>
    </rPh>
    <phoneticPr fontId="1"/>
  </si>
  <si>
    <r>
      <rPr>
        <sz val="12"/>
        <rFont val="游ゴシック Medium"/>
        <family val="3"/>
        <charset val="128"/>
      </rPr>
      <t>身内・私家版</t>
    </r>
    <phoneticPr fontId="1"/>
  </si>
  <si>
    <r>
      <rPr>
        <u/>
        <sz val="12"/>
        <color indexed="12"/>
        <rFont val="游ゴシック Medium"/>
        <family val="3"/>
        <charset val="128"/>
      </rPr>
      <t>図鑑</t>
    </r>
    <rPh sb="0" eb="2">
      <t>ズカン</t>
    </rPh>
    <phoneticPr fontId="1"/>
  </si>
  <si>
    <r>
      <rPr>
        <sz val="12"/>
        <rFont val="游ゴシック Medium"/>
        <family val="3"/>
        <charset val="128"/>
      </rPr>
      <t>雑誌</t>
    </r>
    <phoneticPr fontId="1"/>
  </si>
  <si>
    <r>
      <rPr>
        <u/>
        <sz val="12"/>
        <color indexed="12"/>
        <rFont val="游ゴシック Medium"/>
        <family val="3"/>
        <charset val="128"/>
      </rPr>
      <t>雑誌</t>
    </r>
    <phoneticPr fontId="1"/>
  </si>
  <si>
    <r>
      <rPr>
        <sz val="12"/>
        <rFont val="游ゴシック Medium"/>
        <family val="3"/>
        <charset val="128"/>
      </rPr>
      <t>辞典</t>
    </r>
    <phoneticPr fontId="1"/>
  </si>
  <si>
    <r>
      <rPr>
        <u/>
        <sz val="12"/>
        <color indexed="12"/>
        <rFont val="游ゴシック Medium"/>
        <family val="3"/>
        <charset val="128"/>
      </rPr>
      <t>辞典</t>
    </r>
    <phoneticPr fontId="1"/>
  </si>
  <si>
    <r>
      <rPr>
        <u/>
        <sz val="12"/>
        <color indexed="12"/>
        <rFont val="游ゴシック Medium"/>
        <family val="3"/>
        <charset val="128"/>
      </rPr>
      <t>私家版</t>
    </r>
    <phoneticPr fontId="1"/>
  </si>
  <si>
    <r>
      <rPr>
        <sz val="12"/>
        <rFont val="游ゴシック Medium"/>
        <family val="3"/>
        <charset val="128"/>
      </rPr>
      <t>楽譜</t>
    </r>
    <phoneticPr fontId="1"/>
  </si>
  <si>
    <r>
      <rPr>
        <u/>
        <sz val="12"/>
        <color indexed="12"/>
        <rFont val="游ゴシック Medium"/>
        <family val="3"/>
        <charset val="128"/>
      </rPr>
      <t>楽譜</t>
    </r>
    <phoneticPr fontId="1"/>
  </si>
  <si>
    <r>
      <t xml:space="preserve">book </t>
    </r>
    <r>
      <rPr>
        <sz val="11"/>
        <rFont val="游ゴシック Medium"/>
        <family val="3"/>
        <charset val="128"/>
      </rPr>
      <t>の</t>
    </r>
    <r>
      <rPr>
        <sz val="11"/>
        <rFont val="Consolas"/>
        <family val="3"/>
      </rPr>
      <t xml:space="preserve"> Library </t>
    </r>
    <r>
      <rPr>
        <sz val="11"/>
        <rFont val="游ゴシック Medium"/>
        <family val="3"/>
        <charset val="128"/>
      </rPr>
      <t>は</t>
    </r>
    <r>
      <rPr>
        <sz val="11"/>
        <rFont val="Consolas"/>
        <family val="3"/>
      </rPr>
      <t xml:space="preserve"> </t>
    </r>
    <r>
      <rPr>
        <sz val="11"/>
        <rFont val="游ゴシック Medium"/>
        <family val="3"/>
        <charset val="128"/>
      </rPr>
      <t>こちら。</t>
    </r>
    <phoneticPr fontId="1"/>
  </si>
  <si>
    <r>
      <rPr>
        <sz val="8"/>
        <rFont val="游ゴシック Medium"/>
        <family val="3"/>
        <charset val="128"/>
      </rPr>
      <t>生没年などのデータベース。</t>
    </r>
    <r>
      <rPr>
        <sz val="8"/>
        <rFont val="Consolas"/>
        <family val="3"/>
      </rPr>
      <t xml:space="preserve">Excel </t>
    </r>
    <r>
      <rPr>
        <sz val="8"/>
        <rFont val="游ゴシック Medium"/>
        <family val="3"/>
        <charset val="128"/>
      </rPr>
      <t>お持ちの方のみ。</t>
    </r>
    <phoneticPr fontId="1"/>
  </si>
  <si>
    <r>
      <t>Live</t>
    </r>
    <r>
      <rPr>
        <u/>
        <sz val="11"/>
        <color indexed="12"/>
        <rFont val="游ゴシック Medium"/>
        <family val="3"/>
        <charset val="128"/>
      </rPr>
      <t>情報</t>
    </r>
    <phoneticPr fontId="1"/>
  </si>
  <si>
    <r>
      <rPr>
        <u/>
        <sz val="11"/>
        <color indexed="12"/>
        <rFont val="游ゴシック Medium"/>
        <family val="3"/>
        <charset val="128"/>
      </rPr>
      <t>変拍子</t>
    </r>
    <r>
      <rPr>
        <u/>
        <sz val="11"/>
        <color indexed="12"/>
        <rFont val="Consolas"/>
        <family val="3"/>
      </rPr>
      <t xml:space="preserve"> &amp; </t>
    </r>
    <r>
      <rPr>
        <u/>
        <sz val="11"/>
        <color indexed="12"/>
        <rFont val="游ゴシック Medium"/>
        <family val="3"/>
        <charset val="128"/>
      </rPr>
      <t>ポリリズム・アカペラ・アンサンブル</t>
    </r>
    <phoneticPr fontId="1"/>
  </si>
  <si>
    <r>
      <t>[Shirami-tsubushi]
[</t>
    </r>
    <r>
      <rPr>
        <u/>
        <sz val="11"/>
        <color indexed="12"/>
        <rFont val="游ゴシック Medium"/>
        <family val="3"/>
        <charset val="128"/>
      </rPr>
      <t>しらみつぶし</t>
    </r>
    <r>
      <rPr>
        <u/>
        <sz val="11"/>
        <color indexed="12"/>
        <rFont val="Consolas"/>
        <family val="3"/>
      </rPr>
      <t>]</t>
    </r>
    <phoneticPr fontId="1"/>
  </si>
  <si>
    <r>
      <rPr>
        <sz val="11"/>
        <color indexed="8"/>
        <rFont val="游ゴシック Medium"/>
        <family val="3"/>
        <charset val="128"/>
      </rPr>
      <t>ドラえもん不思議サイエンス</t>
    </r>
  </si>
  <si>
    <r>
      <rPr>
        <sz val="11"/>
        <color indexed="8"/>
        <rFont val="游ゴシック Medium"/>
        <family val="3"/>
        <charset val="128"/>
      </rPr>
      <t>ハリー・ポッターと死の秘宝　上</t>
    </r>
  </si>
  <si>
    <r>
      <rPr>
        <sz val="11"/>
        <color indexed="8"/>
        <rFont val="游ゴシック Medium"/>
        <family val="3"/>
        <charset val="128"/>
      </rPr>
      <t>綿引勝美編</t>
    </r>
  </si>
  <si>
    <r>
      <rPr>
        <sz val="11"/>
        <color indexed="8"/>
        <rFont val="游ゴシック Medium"/>
        <family val="3"/>
        <charset val="128"/>
      </rPr>
      <t>Ｊ．Ｋ．ローリング作　松岡佑子訳</t>
    </r>
  </si>
  <si>
    <r>
      <rPr>
        <sz val="11"/>
        <color indexed="8"/>
        <rFont val="游ゴシック Medium"/>
        <family val="3"/>
        <charset val="128"/>
      </rPr>
      <t>東京　小学館</t>
    </r>
  </si>
  <si>
    <r>
      <rPr>
        <sz val="11"/>
        <color indexed="8"/>
        <rFont val="游ゴシック Medium"/>
        <family val="3"/>
        <charset val="128"/>
      </rPr>
      <t>東京　静山社</t>
    </r>
  </si>
  <si>
    <r>
      <rPr>
        <sz val="11"/>
        <color indexed="8"/>
        <rFont val="游ゴシック Medium"/>
        <family val="3"/>
        <charset val="128"/>
      </rPr>
      <t>８５４円</t>
    </r>
  </si>
  <si>
    <r>
      <rPr>
        <sz val="11"/>
        <color indexed="8"/>
        <rFont val="游ゴシック Medium"/>
        <family val="3"/>
        <charset val="128"/>
      </rPr>
      <t>１９００円</t>
    </r>
  </si>
  <si>
    <r>
      <rPr>
        <sz val="11"/>
        <color indexed="8"/>
        <rFont val="游ゴシック Medium"/>
        <family val="3"/>
        <charset val="128"/>
      </rPr>
      <t>２５８ｐ</t>
    </r>
  </si>
  <si>
    <r>
      <rPr>
        <sz val="11"/>
        <color indexed="8"/>
        <rFont val="游ゴシック Medium"/>
        <family val="3"/>
        <charset val="128"/>
      </rPr>
      <t>５６５ｐ</t>
    </r>
  </si>
  <si>
    <r>
      <rPr>
        <sz val="11"/>
        <color indexed="8"/>
        <rFont val="游ゴシック Medium"/>
        <family val="3"/>
        <charset val="128"/>
      </rPr>
      <t>１９ｃｍ</t>
    </r>
  </si>
  <si>
    <r>
      <rPr>
        <sz val="11"/>
        <color indexed="8"/>
        <rFont val="游ゴシック Medium"/>
        <family val="3"/>
        <charset val="128"/>
      </rPr>
      <t>２２ｃｍ</t>
    </r>
  </si>
  <si>
    <r>
      <rPr>
        <sz val="11"/>
        <color indexed="8"/>
        <rFont val="游ゴシック Medium"/>
        <family val="3"/>
        <charset val="128"/>
      </rPr>
      <t>ビッグ・コロタン　６０</t>
    </r>
  </si>
  <si>
    <r>
      <rPr>
        <sz val="11"/>
        <color indexed="8"/>
        <rFont val="游ゴシック Medium"/>
        <family val="3"/>
        <charset val="128"/>
      </rPr>
      <t>Ｈａｒｒｙ　Ｐｏｔｔｅｒ　ａｎｄ　ｔｈｅ　ｄｅａｔｈｌｙ　ｈａｌｌｏｗｓ</t>
    </r>
  </si>
  <si>
    <r>
      <rPr>
        <sz val="11"/>
        <color indexed="8"/>
        <rFont val="游ゴシック Medium"/>
        <family val="3"/>
        <charset val="128"/>
      </rPr>
      <t>科学</t>
    </r>
  </si>
  <si>
    <r>
      <rPr>
        <sz val="11"/>
        <color indexed="8"/>
        <rFont val="游ゴシック Medium"/>
        <family val="3"/>
        <charset val="128"/>
      </rPr>
      <t>監修：藤子・Ｆ・不二雄</t>
    </r>
  </si>
  <si>
    <r>
      <rPr>
        <sz val="11"/>
        <color indexed="8"/>
        <rFont val="游ゴシック Medium"/>
        <family val="3"/>
        <charset val="128"/>
      </rPr>
      <t>全２巻セット￥３８００　★</t>
    </r>
  </si>
  <si>
    <r>
      <rPr>
        <sz val="11"/>
        <color indexed="8"/>
        <rFont val="游ゴシック Medium"/>
        <family val="3"/>
        <charset val="128"/>
      </rPr>
      <t>「ドラえもん」は身近な科学から無限の宇宙までやさしくわかる、科学の宝庫なのだ。身の回りに起こる不思議、身近なことからわかる科学をドラえもんのコミックからひもといて、やさしく解説する。</t>
    </r>
  </si>
  <si>
    <r>
      <rPr>
        <sz val="11"/>
        <color indexed="8"/>
        <rFont val="游ゴシック Medium"/>
        <family val="3"/>
        <charset val="128"/>
      </rPr>
      <t>１７歳の誕生日に、母親の血の護りが消える。「不死鳥の騎士団」に護衛されてプリベット通りを飛び立ったハリーに、どこまでもついていくロンとハーマイオニー。一方、ダンブルドアには思いがけない過去が。シリーズ第７弾。</t>
    </r>
  </si>
  <si>
    <r>
      <rPr>
        <sz val="11"/>
        <color indexed="8"/>
        <rFont val="游ゴシック Medium"/>
        <family val="3"/>
        <charset val="128"/>
      </rPr>
      <t>〈Ｊ．Ｋ．ローリング〉１９６５年英国生まれ。エクスター大学卒業。「ハリーポッターと賢者の石」にはじまるシリーズが世界で超ベストセラーとなる。２０００年、英国女王からＯ．Ｂ．Ｅ．勲章の称号を授与される。</t>
    </r>
  </si>
  <si>
    <r>
      <rPr>
        <sz val="11"/>
        <color indexed="8"/>
        <rFont val="游ゴシック Medium"/>
        <family val="3"/>
        <charset val="128"/>
      </rPr>
      <t>本</t>
    </r>
  </si>
  <si>
    <r>
      <rPr>
        <sz val="11"/>
        <color indexed="8"/>
        <rFont val="游ゴシック Medium"/>
        <family val="3"/>
        <charset val="128"/>
      </rPr>
      <t>日本語</t>
    </r>
  </si>
  <si>
    <r>
      <rPr>
        <b/>
        <sz val="11"/>
        <rFont val="游ゴシック Medium"/>
        <family val="3"/>
        <charset val="128"/>
      </rPr>
      <t>書　名</t>
    </r>
    <phoneticPr fontId="1"/>
  </si>
  <si>
    <r>
      <rPr>
        <sz val="11"/>
        <rFont val="游ゴシック Medium"/>
        <family val="3"/>
        <charset val="128"/>
      </rPr>
      <t>絵で見るある町の歴史－タイムトラベラーと旅する１２，０００年－</t>
    </r>
    <phoneticPr fontId="1"/>
  </si>
  <si>
    <r>
      <rPr>
        <sz val="11"/>
        <rFont val="游ゴシック Medium"/>
        <family val="3"/>
        <charset val="128"/>
      </rPr>
      <t>絵で見るある港の歴史－ささやかな交易の場から港湾都市への１０，０００年－</t>
    </r>
    <phoneticPr fontId="1"/>
  </si>
  <si>
    <r>
      <rPr>
        <sz val="11"/>
        <rFont val="游ゴシック Medium"/>
        <family val="3"/>
        <charset val="128"/>
      </rPr>
      <t>ダリ－絵本画集－</t>
    </r>
    <phoneticPr fontId="1"/>
  </si>
  <si>
    <r>
      <rPr>
        <sz val="11"/>
        <rFont val="游ゴシック Medium"/>
        <family val="3"/>
        <charset val="128"/>
      </rPr>
      <t>魔女たち</t>
    </r>
    <phoneticPr fontId="1"/>
  </si>
  <si>
    <r>
      <rPr>
        <sz val="11"/>
        <rFont val="游ゴシック Medium"/>
        <family val="3"/>
        <charset val="128"/>
      </rPr>
      <t>神々と英雄－世界の神話と伝説－</t>
    </r>
    <phoneticPr fontId="1"/>
  </si>
  <si>
    <r>
      <rPr>
        <sz val="11"/>
        <rFont val="游ゴシック Medium"/>
        <family val="3"/>
        <charset val="128"/>
      </rPr>
      <t>うみでみつけたいろいろなかたち</t>
    </r>
    <phoneticPr fontId="1"/>
  </si>
  <si>
    <r>
      <rPr>
        <sz val="11"/>
        <rFont val="游ゴシック Medium"/>
        <family val="3"/>
        <charset val="128"/>
      </rPr>
      <t>光る生物</t>
    </r>
    <phoneticPr fontId="1"/>
  </si>
  <si>
    <r>
      <rPr>
        <sz val="11"/>
        <rFont val="游ゴシック Medium"/>
        <family val="3"/>
        <charset val="128"/>
      </rPr>
      <t>ふうせんねこ</t>
    </r>
    <phoneticPr fontId="1"/>
  </si>
  <si>
    <r>
      <rPr>
        <sz val="11"/>
        <rFont val="游ゴシック Medium"/>
        <family val="3"/>
        <charset val="128"/>
      </rPr>
      <t>ポケモンをさがせ！金銀</t>
    </r>
    <phoneticPr fontId="1"/>
  </si>
  <si>
    <r>
      <rPr>
        <sz val="11"/>
        <rFont val="游ゴシック Medium"/>
        <family val="3"/>
        <charset val="128"/>
      </rPr>
      <t>いたずら王子バートラム</t>
    </r>
    <phoneticPr fontId="1"/>
  </si>
  <si>
    <r>
      <rPr>
        <sz val="11"/>
        <rFont val="游ゴシック Medium"/>
        <family val="3"/>
        <charset val="128"/>
      </rPr>
      <t>立体造形を学ぶ－「彫刻からの展開」発見・素材・技法・空間－</t>
    </r>
    <phoneticPr fontId="1"/>
  </si>
  <si>
    <r>
      <rPr>
        <sz val="11"/>
        <rFont val="游ゴシック Medium"/>
        <family val="3"/>
        <charset val="128"/>
      </rPr>
      <t>少年少女世界文学館　１４</t>
    </r>
    <phoneticPr fontId="1"/>
  </si>
  <si>
    <r>
      <rPr>
        <sz val="11"/>
        <rFont val="游ゴシック Medium"/>
        <family val="3"/>
        <charset val="128"/>
      </rPr>
      <t>少年少女日本文学館　２</t>
    </r>
    <phoneticPr fontId="1"/>
  </si>
  <si>
    <r>
      <rPr>
        <sz val="11"/>
        <rFont val="游ゴシック Medium"/>
        <family val="3"/>
        <charset val="128"/>
      </rPr>
      <t>椋鳩十のクマ物語</t>
    </r>
    <phoneticPr fontId="1"/>
  </si>
  <si>
    <r>
      <rPr>
        <sz val="11"/>
        <rFont val="游ゴシック Medium"/>
        <family val="3"/>
        <charset val="128"/>
      </rPr>
      <t>少年少女世界文学館　１７</t>
    </r>
    <phoneticPr fontId="1"/>
  </si>
  <si>
    <r>
      <rPr>
        <sz val="11"/>
        <rFont val="游ゴシック Medium"/>
        <family val="3"/>
        <charset val="128"/>
      </rPr>
      <t>少年少女世界文学館　５</t>
    </r>
    <phoneticPr fontId="1"/>
  </si>
  <si>
    <r>
      <rPr>
        <sz val="11"/>
        <rFont val="游ゴシック Medium"/>
        <family val="3"/>
        <charset val="128"/>
      </rPr>
      <t>小公女　上</t>
    </r>
    <phoneticPr fontId="1"/>
  </si>
  <si>
    <r>
      <rPr>
        <sz val="11"/>
        <rFont val="游ゴシック Medium"/>
        <family val="3"/>
        <charset val="128"/>
      </rPr>
      <t>小公女　下</t>
    </r>
    <phoneticPr fontId="1"/>
  </si>
  <si>
    <r>
      <rPr>
        <sz val="11"/>
        <rFont val="游ゴシック Medium"/>
        <family val="3"/>
        <charset val="128"/>
      </rPr>
      <t>国民の歴史</t>
    </r>
    <phoneticPr fontId="1"/>
  </si>
  <si>
    <r>
      <rPr>
        <sz val="11"/>
        <rFont val="游ゴシック Medium"/>
        <family val="3"/>
        <charset val="128"/>
      </rPr>
      <t>サーブレット＆ＪＳＰ逆引き大全６００の極意　増補改訂版</t>
    </r>
    <phoneticPr fontId="1"/>
  </si>
  <si>
    <r>
      <rPr>
        <sz val="11"/>
        <rFont val="游ゴシック Medium"/>
        <family val="3"/>
        <charset val="128"/>
      </rPr>
      <t>標準ＪＳＰ／サーブレット教科書</t>
    </r>
    <phoneticPr fontId="1"/>
  </si>
  <si>
    <r>
      <rPr>
        <sz val="11"/>
        <rFont val="游ゴシック Medium"/>
        <family val="3"/>
        <charset val="128"/>
      </rPr>
      <t>ＨＴＭＬ＆ＣＳＳ</t>
    </r>
    <phoneticPr fontId="1"/>
  </si>
  <si>
    <r>
      <rPr>
        <sz val="11"/>
        <rFont val="游ゴシック Medium"/>
        <family val="3"/>
        <charset val="128"/>
      </rPr>
      <t>Ｅｃｌｉｐｓｅ　３．２完全攻略</t>
    </r>
    <phoneticPr fontId="1"/>
  </si>
  <si>
    <r>
      <rPr>
        <sz val="11"/>
        <rFont val="游ゴシック Medium"/>
        <family val="3"/>
        <charset val="128"/>
      </rPr>
      <t>モモ</t>
    </r>
    <phoneticPr fontId="1"/>
  </si>
  <si>
    <r>
      <rPr>
        <sz val="11"/>
        <rFont val="游ゴシック Medium"/>
        <family val="3"/>
        <charset val="128"/>
      </rPr>
      <t>ハリー・ポッターと賢者の石</t>
    </r>
    <phoneticPr fontId="1"/>
  </si>
  <si>
    <r>
      <rPr>
        <sz val="11"/>
        <rFont val="游ゴシック Medium"/>
        <family val="3"/>
        <charset val="128"/>
      </rPr>
      <t>ハリー・ポッターと秘密の部屋</t>
    </r>
    <phoneticPr fontId="1"/>
  </si>
  <si>
    <r>
      <rPr>
        <sz val="11"/>
        <rFont val="游ゴシック Medium"/>
        <family val="3"/>
        <charset val="128"/>
      </rPr>
      <t>ハリー・ポッターとアズカバンの囚人</t>
    </r>
  </si>
  <si>
    <r>
      <rPr>
        <sz val="11"/>
        <rFont val="游ゴシック Medium"/>
        <family val="3"/>
        <charset val="128"/>
      </rPr>
      <t>ハリー・ポッターと炎のゴブレット　上</t>
    </r>
  </si>
  <si>
    <r>
      <rPr>
        <sz val="11"/>
        <rFont val="游ゴシック Medium"/>
        <family val="3"/>
        <charset val="128"/>
      </rPr>
      <t>ハリー・ポッターと炎のゴブレット　下</t>
    </r>
  </si>
  <si>
    <r>
      <rPr>
        <sz val="11"/>
        <rFont val="游ゴシック Medium"/>
        <family val="3"/>
        <charset val="128"/>
      </rPr>
      <t>ハリー・ポッターと不死鳥の騎士団　上</t>
    </r>
    <phoneticPr fontId="1"/>
  </si>
  <si>
    <r>
      <rPr>
        <sz val="11"/>
        <rFont val="游ゴシック Medium"/>
        <family val="3"/>
        <charset val="128"/>
      </rPr>
      <t>ハリー・ポッターと不死鳥の騎士団　下</t>
    </r>
  </si>
  <si>
    <r>
      <rPr>
        <sz val="11"/>
        <rFont val="游ゴシック Medium"/>
        <family val="3"/>
        <charset val="128"/>
      </rPr>
      <t>ハリー・ポッターと謎のプリンス　上</t>
    </r>
  </si>
  <si>
    <r>
      <rPr>
        <sz val="11"/>
        <rFont val="游ゴシック Medium"/>
        <family val="3"/>
        <charset val="128"/>
      </rPr>
      <t>ハリー・ポッターと謎のプリンス　下</t>
    </r>
  </si>
  <si>
    <r>
      <rPr>
        <sz val="11"/>
        <rFont val="游ゴシック Medium"/>
        <family val="3"/>
        <charset val="128"/>
      </rPr>
      <t>ハリー・ポッターと死の秘宝　下</t>
    </r>
  </si>
  <si>
    <r>
      <rPr>
        <sz val="11"/>
        <rFont val="游ゴシック Medium"/>
        <family val="3"/>
        <charset val="128"/>
      </rPr>
      <t>幻の動物とその生息地</t>
    </r>
    <phoneticPr fontId="1"/>
  </si>
  <si>
    <r>
      <rPr>
        <b/>
        <sz val="11"/>
        <rFont val="游ゴシック Medium"/>
        <family val="3"/>
        <charset val="128"/>
      </rPr>
      <t>著者名</t>
    </r>
    <phoneticPr fontId="1"/>
  </si>
  <si>
    <r>
      <rPr>
        <sz val="11"/>
        <rFont val="游ゴシック Medium"/>
        <family val="3"/>
        <charset val="128"/>
      </rPr>
      <t>アン・ミラード文　スティーブ・ヌーン絵　松沢あさか訳　高岡メルヘンの会訳</t>
    </r>
    <phoneticPr fontId="1"/>
  </si>
  <si>
    <r>
      <rPr>
        <sz val="11"/>
        <rFont val="游ゴシック Medium"/>
        <family val="3"/>
        <charset val="128"/>
      </rPr>
      <t>アン・ミラード文　スティーブ・ヌーン絵　松沢あさか訳</t>
    </r>
    <phoneticPr fontId="1"/>
  </si>
  <si>
    <r>
      <rPr>
        <sz val="11"/>
        <rFont val="游ゴシック Medium"/>
        <family val="3"/>
        <charset val="128"/>
      </rPr>
      <t>ダリ〔画〕　森田義之監修</t>
    </r>
    <phoneticPr fontId="1"/>
  </si>
  <si>
    <r>
      <rPr>
        <sz val="11"/>
        <rFont val="游ゴシック Medium"/>
        <family val="3"/>
        <charset val="128"/>
      </rPr>
      <t>エリカ・ジョング著　柳瀬尚紀訳　ジョゼフ・Ａ・スミス絵</t>
    </r>
    <phoneticPr fontId="1"/>
  </si>
  <si>
    <r>
      <rPr>
        <sz val="11"/>
        <rFont val="游ゴシック Medium"/>
        <family val="3"/>
        <charset val="128"/>
      </rPr>
      <t>槇朝子訳　ニール・フィリップ文　ニーレシュ・ミッストリ絵</t>
    </r>
    <phoneticPr fontId="1"/>
  </si>
  <si>
    <r>
      <rPr>
        <sz val="11"/>
        <rFont val="游ゴシック Medium"/>
        <family val="3"/>
        <charset val="128"/>
      </rPr>
      <t>スーズ・マクドナルドさく　富山房編集部訳</t>
    </r>
    <phoneticPr fontId="1"/>
  </si>
  <si>
    <r>
      <rPr>
        <sz val="11"/>
        <rFont val="游ゴシック Medium"/>
        <family val="3"/>
        <charset val="128"/>
      </rPr>
      <t>アニタ・ガネリ著　オービン〔ほか〕画　中川美和子訳</t>
    </r>
    <phoneticPr fontId="1"/>
  </si>
  <si>
    <r>
      <rPr>
        <sz val="11"/>
        <rFont val="游ゴシック Medium"/>
        <family val="3"/>
        <charset val="128"/>
      </rPr>
      <t>せなけいこさく・え</t>
    </r>
    <phoneticPr fontId="1"/>
  </si>
  <si>
    <r>
      <rPr>
        <sz val="11"/>
        <rFont val="游ゴシック Medium"/>
        <family val="3"/>
        <charset val="128"/>
      </rPr>
      <t>相原和典画</t>
    </r>
    <phoneticPr fontId="1"/>
  </si>
  <si>
    <r>
      <rPr>
        <sz val="11"/>
        <rFont val="游ゴシック Medium"/>
        <family val="3"/>
        <charset val="128"/>
      </rPr>
      <t>アーノルド・ローベルさく　ゆもとかずみやく</t>
    </r>
    <phoneticPr fontId="1"/>
  </si>
  <si>
    <r>
      <rPr>
        <sz val="11"/>
        <rFont val="游ゴシック Medium"/>
        <family val="3"/>
        <charset val="128"/>
      </rPr>
      <t>京都造形芸術大学編</t>
    </r>
    <phoneticPr fontId="1"/>
  </si>
  <si>
    <r>
      <rPr>
        <sz val="11"/>
        <rFont val="游ゴシック Medium"/>
        <family val="3"/>
        <charset val="128"/>
      </rPr>
      <t>ルーシー＝モード＝モンゴメリー著　村岡花子訳</t>
    </r>
    <phoneticPr fontId="1"/>
  </si>
  <si>
    <r>
      <rPr>
        <sz val="11"/>
        <rFont val="游ゴシック Medium"/>
        <family val="3"/>
        <charset val="128"/>
      </rPr>
      <t>夏目漱石著</t>
    </r>
    <phoneticPr fontId="1"/>
  </si>
  <si>
    <r>
      <rPr>
        <sz val="11"/>
        <rFont val="游ゴシック Medium"/>
        <family val="3"/>
        <charset val="128"/>
      </rPr>
      <t>椋鳩十著　菅輝男絵</t>
    </r>
  </si>
  <si>
    <r>
      <rPr>
        <sz val="11"/>
        <rFont val="游ゴシック Medium"/>
        <family val="3"/>
        <charset val="128"/>
      </rPr>
      <t>ビクトル・ユーゴー〔著〕　塚原亮一訳</t>
    </r>
    <phoneticPr fontId="1"/>
  </si>
  <si>
    <r>
      <rPr>
        <sz val="11"/>
        <rFont val="游ゴシック Medium"/>
        <family val="3"/>
        <charset val="128"/>
      </rPr>
      <t>バーネット作　谷村まち子訳</t>
    </r>
  </si>
  <si>
    <r>
      <rPr>
        <sz val="11"/>
        <rFont val="游ゴシック Medium"/>
        <family val="3"/>
        <charset val="128"/>
      </rPr>
      <t>西尾幹二著　新しい歴史教科書をつくる会編</t>
    </r>
  </si>
  <si>
    <r>
      <rPr>
        <sz val="11"/>
        <rFont val="游ゴシック Medium"/>
        <family val="3"/>
        <charset val="128"/>
      </rPr>
      <t>川崎克巳著</t>
    </r>
  </si>
  <si>
    <r>
      <rPr>
        <sz val="11"/>
        <rFont val="游ゴシック Medium"/>
        <family val="3"/>
        <charset val="128"/>
      </rPr>
      <t>片山幸雄著</t>
    </r>
  </si>
  <si>
    <r>
      <rPr>
        <sz val="11"/>
        <rFont val="游ゴシック Medium"/>
        <family val="3"/>
        <charset val="128"/>
      </rPr>
      <t>佐藤和人著　できるシリーズ編集部著</t>
    </r>
  </si>
  <si>
    <r>
      <rPr>
        <sz val="11"/>
        <rFont val="游ゴシック Medium"/>
        <family val="3"/>
        <charset val="128"/>
      </rPr>
      <t>宮本信二著</t>
    </r>
  </si>
  <si>
    <r>
      <rPr>
        <sz val="11"/>
        <rFont val="游ゴシック Medium"/>
        <family val="3"/>
        <charset val="128"/>
      </rPr>
      <t>ミヒャエル・エンデ作　大島かおり訳</t>
    </r>
  </si>
  <si>
    <r>
      <rPr>
        <sz val="11"/>
        <rFont val="游ゴシック Medium"/>
        <family val="3"/>
        <charset val="128"/>
      </rPr>
      <t>Ｊ．Ｋ．ローリング作　松岡佑子訳　ダン・シュレシンジャー画</t>
    </r>
  </si>
  <si>
    <r>
      <rPr>
        <sz val="11"/>
        <rFont val="游ゴシック Medium"/>
        <family val="3"/>
        <charset val="128"/>
      </rPr>
      <t>Ｊ．Ｋ．ローリング作　松岡佑子訳</t>
    </r>
  </si>
  <si>
    <r>
      <rPr>
        <sz val="11"/>
        <rFont val="游ゴシック Medium"/>
        <family val="3"/>
        <charset val="128"/>
      </rPr>
      <t>Ｊ．Ｋ．ローリング著　松岡佑子訳</t>
    </r>
  </si>
  <si>
    <r>
      <rPr>
        <b/>
        <sz val="11"/>
        <rFont val="游ゴシック Medium"/>
        <family val="3"/>
        <charset val="128"/>
      </rPr>
      <t>出版社</t>
    </r>
    <phoneticPr fontId="1"/>
  </si>
  <si>
    <r>
      <rPr>
        <sz val="11"/>
        <rFont val="游ゴシック Medium"/>
        <family val="3"/>
        <charset val="128"/>
      </rPr>
      <t>東京　さ・え・ら書房</t>
    </r>
    <phoneticPr fontId="1"/>
  </si>
  <si>
    <r>
      <rPr>
        <sz val="11"/>
        <rFont val="游ゴシック Medium"/>
        <family val="3"/>
        <charset val="128"/>
      </rPr>
      <t>東京　博雅堂出版</t>
    </r>
    <phoneticPr fontId="1"/>
  </si>
  <si>
    <r>
      <rPr>
        <sz val="11"/>
        <rFont val="游ゴシック Medium"/>
        <family val="3"/>
        <charset val="128"/>
      </rPr>
      <t>東京　サンリオ</t>
    </r>
    <phoneticPr fontId="1"/>
  </si>
  <si>
    <r>
      <rPr>
        <sz val="11"/>
        <rFont val="游ゴシック Medium"/>
        <family val="3"/>
        <charset val="128"/>
      </rPr>
      <t>東京　小学館</t>
    </r>
    <phoneticPr fontId="1"/>
  </si>
  <si>
    <r>
      <rPr>
        <sz val="11"/>
        <rFont val="游ゴシック Medium"/>
        <family val="3"/>
        <charset val="128"/>
      </rPr>
      <t>東京　富山房</t>
    </r>
    <phoneticPr fontId="1"/>
  </si>
  <si>
    <r>
      <rPr>
        <sz val="11"/>
        <rFont val="游ゴシック Medium"/>
        <family val="3"/>
        <charset val="128"/>
      </rPr>
      <t>東京　白水社</t>
    </r>
    <phoneticPr fontId="1"/>
  </si>
  <si>
    <r>
      <rPr>
        <sz val="11"/>
        <rFont val="游ゴシック Medium"/>
        <family val="3"/>
        <charset val="128"/>
      </rPr>
      <t>東京　福音館書店</t>
    </r>
    <phoneticPr fontId="1"/>
  </si>
  <si>
    <r>
      <rPr>
        <sz val="11"/>
        <rFont val="游ゴシック Medium"/>
        <family val="3"/>
        <charset val="128"/>
      </rPr>
      <t>東京　偕成社</t>
    </r>
    <phoneticPr fontId="1"/>
  </si>
  <si>
    <r>
      <rPr>
        <sz val="11"/>
        <rFont val="游ゴシック Medium"/>
        <family val="3"/>
        <charset val="128"/>
      </rPr>
      <t>東京　角川書店</t>
    </r>
    <phoneticPr fontId="1"/>
  </si>
  <si>
    <r>
      <rPr>
        <sz val="11"/>
        <rFont val="游ゴシック Medium"/>
        <family val="3"/>
        <charset val="128"/>
      </rPr>
      <t>東京　講談社</t>
    </r>
    <phoneticPr fontId="1"/>
  </si>
  <si>
    <r>
      <rPr>
        <sz val="11"/>
        <rFont val="游ゴシック Medium"/>
        <family val="3"/>
        <charset val="128"/>
      </rPr>
      <t>東京　理論社</t>
    </r>
    <phoneticPr fontId="1"/>
  </si>
  <si>
    <r>
      <rPr>
        <sz val="11"/>
        <rFont val="游ゴシック Medium"/>
        <family val="3"/>
        <charset val="128"/>
      </rPr>
      <t>東京　産経新聞ニュースサービス</t>
    </r>
    <phoneticPr fontId="1"/>
  </si>
  <si>
    <r>
      <rPr>
        <sz val="11"/>
        <rFont val="游ゴシック Medium"/>
        <family val="3"/>
        <charset val="128"/>
      </rPr>
      <t>東京　秀和システム</t>
    </r>
    <phoneticPr fontId="1"/>
  </si>
  <si>
    <r>
      <rPr>
        <sz val="11"/>
        <rFont val="游ゴシック Medium"/>
        <family val="3"/>
        <charset val="128"/>
      </rPr>
      <t>東京　ソフトバンククリエイティブ</t>
    </r>
    <phoneticPr fontId="1"/>
  </si>
  <si>
    <r>
      <rPr>
        <sz val="11"/>
        <rFont val="游ゴシック Medium"/>
        <family val="3"/>
        <charset val="128"/>
      </rPr>
      <t>東京　インプレスジャパン</t>
    </r>
    <phoneticPr fontId="1"/>
  </si>
  <si>
    <r>
      <rPr>
        <sz val="11"/>
        <rFont val="游ゴシック Medium"/>
        <family val="3"/>
        <charset val="128"/>
      </rPr>
      <t>東京　岩波書店</t>
    </r>
    <phoneticPr fontId="1"/>
  </si>
  <si>
    <r>
      <rPr>
        <sz val="11"/>
        <rFont val="游ゴシック Medium"/>
        <family val="3"/>
        <charset val="128"/>
      </rPr>
      <t>東京　静山社</t>
    </r>
    <phoneticPr fontId="1"/>
  </si>
  <si>
    <r>
      <rPr>
        <sz val="11"/>
        <rFont val="游ゴシック Medium"/>
        <family val="3"/>
        <charset val="128"/>
      </rPr>
      <t>東京　静山社</t>
    </r>
  </si>
  <si>
    <r>
      <rPr>
        <b/>
        <sz val="11"/>
        <rFont val="游ゴシック Medium"/>
        <family val="3"/>
        <charset val="128"/>
      </rPr>
      <t>発売社</t>
    </r>
    <phoneticPr fontId="1"/>
  </si>
  <si>
    <r>
      <rPr>
        <sz val="11"/>
        <rFont val="游ゴシック Medium"/>
        <family val="3"/>
        <charset val="128"/>
      </rPr>
      <t>扶桑社</t>
    </r>
  </si>
  <si>
    <r>
      <rPr>
        <sz val="11"/>
        <rFont val="游ゴシック Medium"/>
        <family val="3"/>
        <charset val="128"/>
      </rPr>
      <t>東京　インプレスコミュニケーションズ</t>
    </r>
  </si>
  <si>
    <r>
      <rPr>
        <b/>
        <sz val="11"/>
        <rFont val="游ゴシック Medium"/>
        <family val="3"/>
        <charset val="128"/>
      </rPr>
      <t>出版年月</t>
    </r>
    <phoneticPr fontId="1"/>
  </si>
  <si>
    <r>
      <rPr>
        <b/>
        <sz val="11"/>
        <rFont val="游ゴシック Medium"/>
        <family val="3"/>
        <charset val="128"/>
      </rPr>
      <t>価　格</t>
    </r>
    <phoneticPr fontId="1"/>
  </si>
  <si>
    <r>
      <rPr>
        <sz val="11"/>
        <rFont val="游ゴシック Medium"/>
        <family val="3"/>
        <charset val="128"/>
      </rPr>
      <t>２２００円</t>
    </r>
    <phoneticPr fontId="1"/>
  </si>
  <si>
    <r>
      <rPr>
        <sz val="11"/>
        <rFont val="游ゴシック Medium"/>
        <family val="3"/>
        <charset val="128"/>
      </rPr>
      <t>３２００円</t>
    </r>
    <phoneticPr fontId="1"/>
  </si>
  <si>
    <r>
      <rPr>
        <sz val="11"/>
        <rFont val="游ゴシック Medium"/>
        <family val="3"/>
        <charset val="128"/>
      </rPr>
      <t>４８００円</t>
    </r>
    <phoneticPr fontId="1"/>
  </si>
  <si>
    <r>
      <rPr>
        <sz val="11"/>
        <rFont val="游ゴシック Medium"/>
        <family val="3"/>
        <charset val="128"/>
      </rPr>
      <t>２８００円</t>
    </r>
    <phoneticPr fontId="1"/>
  </si>
  <si>
    <r>
      <rPr>
        <sz val="11"/>
        <rFont val="游ゴシック Medium"/>
        <family val="3"/>
        <charset val="128"/>
      </rPr>
      <t>１３５９円</t>
    </r>
    <phoneticPr fontId="1"/>
  </si>
  <si>
    <r>
      <rPr>
        <sz val="11"/>
        <rFont val="游ゴシック Medium"/>
        <family val="3"/>
        <charset val="128"/>
      </rPr>
      <t>１９００円</t>
    </r>
    <phoneticPr fontId="1"/>
  </si>
  <si>
    <r>
      <rPr>
        <sz val="11"/>
        <rFont val="游ゴシック Medium"/>
        <family val="3"/>
        <charset val="128"/>
      </rPr>
      <t>３００円</t>
    </r>
    <phoneticPr fontId="1"/>
  </si>
  <si>
    <r>
      <rPr>
        <sz val="11"/>
        <rFont val="游ゴシック Medium"/>
        <family val="3"/>
        <charset val="128"/>
      </rPr>
      <t>９００円</t>
    </r>
    <phoneticPr fontId="1"/>
  </si>
  <si>
    <r>
      <rPr>
        <sz val="11"/>
        <rFont val="游ゴシック Medium"/>
        <family val="3"/>
        <charset val="128"/>
      </rPr>
      <t>１２００円</t>
    </r>
    <phoneticPr fontId="1"/>
  </si>
  <si>
    <r>
      <rPr>
        <sz val="11"/>
        <rFont val="游ゴシック Medium"/>
        <family val="3"/>
        <charset val="128"/>
      </rPr>
      <t>３８００円</t>
    </r>
    <phoneticPr fontId="1"/>
  </si>
  <si>
    <r>
      <rPr>
        <sz val="11"/>
        <rFont val="游ゴシック Medium"/>
        <family val="3"/>
        <charset val="128"/>
      </rPr>
      <t>１４００円</t>
    </r>
  </si>
  <si>
    <r>
      <rPr>
        <sz val="11"/>
        <rFont val="游ゴシック Medium"/>
        <family val="3"/>
        <charset val="128"/>
      </rPr>
      <t>１４５６円</t>
    </r>
  </si>
  <si>
    <r>
      <rPr>
        <sz val="11"/>
        <rFont val="游ゴシック Medium"/>
        <family val="3"/>
        <charset val="128"/>
      </rPr>
      <t>４５０円</t>
    </r>
  </si>
  <si>
    <r>
      <rPr>
        <sz val="11"/>
        <rFont val="游ゴシック Medium"/>
        <family val="3"/>
        <charset val="128"/>
      </rPr>
      <t>１９０５円</t>
    </r>
  </si>
  <si>
    <r>
      <rPr>
        <sz val="11"/>
        <rFont val="游ゴシック Medium"/>
        <family val="3"/>
        <charset val="128"/>
      </rPr>
      <t>３０００円</t>
    </r>
  </si>
  <si>
    <r>
      <rPr>
        <sz val="11"/>
        <rFont val="游ゴシック Medium"/>
        <family val="3"/>
        <charset val="128"/>
      </rPr>
      <t>２８００円</t>
    </r>
  </si>
  <si>
    <r>
      <rPr>
        <sz val="11"/>
        <rFont val="游ゴシック Medium"/>
        <family val="3"/>
        <charset val="128"/>
      </rPr>
      <t>２６００円</t>
    </r>
  </si>
  <si>
    <r>
      <rPr>
        <sz val="11"/>
        <rFont val="游ゴシック Medium"/>
        <family val="3"/>
        <charset val="128"/>
      </rPr>
      <t>１６００円</t>
    </r>
  </si>
  <si>
    <r>
      <rPr>
        <sz val="11"/>
        <rFont val="游ゴシック Medium"/>
        <family val="3"/>
        <charset val="128"/>
      </rPr>
      <t>９５０円</t>
    </r>
  </si>
  <si>
    <r>
      <rPr>
        <sz val="11"/>
        <rFont val="游ゴシック Medium"/>
        <family val="3"/>
        <charset val="128"/>
      </rPr>
      <t>１９００円</t>
    </r>
  </si>
  <si>
    <r>
      <rPr>
        <sz val="11"/>
        <rFont val="游ゴシック Medium"/>
        <family val="3"/>
        <charset val="128"/>
      </rPr>
      <t>１０００円</t>
    </r>
  </si>
  <si>
    <r>
      <rPr>
        <sz val="11"/>
        <rFont val="游ゴシック Medium"/>
        <family val="3"/>
        <charset val="128"/>
      </rPr>
      <t>２０００円</t>
    </r>
  </si>
  <si>
    <r>
      <rPr>
        <sz val="11"/>
        <rFont val="游ゴシック Medium"/>
        <family val="3"/>
        <charset val="128"/>
      </rPr>
      <t>８５０円</t>
    </r>
  </si>
  <si>
    <r>
      <rPr>
        <sz val="11"/>
        <rFont val="游ゴシック Medium"/>
        <family val="3"/>
        <charset val="128"/>
      </rPr>
      <t>９００円</t>
    </r>
  </si>
  <si>
    <r>
      <rPr>
        <b/>
        <sz val="11"/>
        <rFont val="游ゴシック Medium"/>
        <family val="3"/>
        <charset val="128"/>
      </rPr>
      <t>ページ数</t>
    </r>
    <phoneticPr fontId="1"/>
  </si>
  <si>
    <r>
      <rPr>
        <sz val="11"/>
        <rFont val="游ゴシック Medium"/>
        <family val="3"/>
        <charset val="128"/>
      </rPr>
      <t>３２ｐ</t>
    </r>
    <phoneticPr fontId="1"/>
  </si>
  <si>
    <r>
      <rPr>
        <sz val="11"/>
        <rFont val="游ゴシック Medium"/>
        <family val="3"/>
        <charset val="128"/>
      </rPr>
      <t>１冊</t>
    </r>
    <phoneticPr fontId="1"/>
  </si>
  <si>
    <r>
      <rPr>
        <sz val="11"/>
        <rFont val="游ゴシック Medium"/>
        <family val="3"/>
        <charset val="128"/>
      </rPr>
      <t>１７１ｐ</t>
    </r>
    <phoneticPr fontId="1"/>
  </si>
  <si>
    <r>
      <rPr>
        <sz val="11"/>
        <rFont val="游ゴシック Medium"/>
        <family val="3"/>
        <charset val="128"/>
      </rPr>
      <t>１９２ｐ</t>
    </r>
    <phoneticPr fontId="1"/>
  </si>
  <si>
    <r>
      <rPr>
        <sz val="11"/>
        <rFont val="游ゴシック Medium"/>
        <family val="3"/>
        <charset val="128"/>
      </rPr>
      <t>３０ｐ</t>
    </r>
    <phoneticPr fontId="1"/>
  </si>
  <si>
    <r>
      <rPr>
        <sz val="11"/>
        <rFont val="游ゴシック Medium"/>
        <family val="3"/>
        <charset val="128"/>
      </rPr>
      <t>３１ｐ</t>
    </r>
    <phoneticPr fontId="1"/>
  </si>
  <si>
    <r>
      <rPr>
        <sz val="11"/>
        <rFont val="游ゴシック Medium"/>
        <family val="3"/>
        <charset val="128"/>
      </rPr>
      <t>２１９ｐ</t>
    </r>
    <phoneticPr fontId="1"/>
  </si>
  <si>
    <r>
      <rPr>
        <sz val="11"/>
        <rFont val="游ゴシック Medium"/>
        <family val="3"/>
        <charset val="128"/>
      </rPr>
      <t>３７２ｐ</t>
    </r>
    <phoneticPr fontId="1"/>
  </si>
  <si>
    <r>
      <rPr>
        <sz val="11"/>
        <rFont val="游ゴシック Medium"/>
        <family val="3"/>
        <charset val="128"/>
      </rPr>
      <t>２６９ｐ</t>
    </r>
    <phoneticPr fontId="1"/>
  </si>
  <si>
    <r>
      <rPr>
        <sz val="11"/>
        <rFont val="游ゴシック Medium"/>
        <family val="3"/>
        <charset val="128"/>
      </rPr>
      <t>２２１ｐ</t>
    </r>
    <phoneticPr fontId="1"/>
  </si>
  <si>
    <r>
      <rPr>
        <sz val="11"/>
        <rFont val="游ゴシック Medium"/>
        <family val="3"/>
        <charset val="128"/>
      </rPr>
      <t>３００ｐ</t>
    </r>
    <phoneticPr fontId="1"/>
  </si>
  <si>
    <r>
      <rPr>
        <sz val="11"/>
        <rFont val="游ゴシック Medium"/>
        <family val="3"/>
        <charset val="128"/>
      </rPr>
      <t>３２７ｐ</t>
    </r>
    <phoneticPr fontId="1"/>
  </si>
  <si>
    <r>
      <rPr>
        <sz val="11"/>
        <rFont val="游ゴシック Medium"/>
        <family val="3"/>
        <charset val="128"/>
      </rPr>
      <t>２４９ｐ</t>
    </r>
    <phoneticPr fontId="1"/>
  </si>
  <si>
    <r>
      <rPr>
        <sz val="11"/>
        <rFont val="游ゴシック Medium"/>
        <family val="3"/>
        <charset val="128"/>
      </rPr>
      <t>２４３ｐ</t>
    </r>
    <phoneticPr fontId="1"/>
  </si>
  <si>
    <r>
      <rPr>
        <sz val="11"/>
        <rFont val="游ゴシック Medium"/>
        <family val="3"/>
        <charset val="128"/>
      </rPr>
      <t>７７４ｐ　図版１２枚</t>
    </r>
    <phoneticPr fontId="1"/>
  </si>
  <si>
    <r>
      <rPr>
        <sz val="11"/>
        <rFont val="游ゴシック Medium"/>
        <family val="3"/>
        <charset val="128"/>
      </rPr>
      <t>９４３ｐ</t>
    </r>
    <phoneticPr fontId="1"/>
  </si>
  <si>
    <r>
      <rPr>
        <sz val="11"/>
        <rFont val="游ゴシック Medium"/>
        <family val="3"/>
        <charset val="128"/>
      </rPr>
      <t>４３５ｐ</t>
    </r>
    <phoneticPr fontId="1"/>
  </si>
  <si>
    <r>
      <rPr>
        <sz val="11"/>
        <rFont val="游ゴシック Medium"/>
        <family val="3"/>
        <charset val="128"/>
      </rPr>
      <t>７９８ｐ</t>
    </r>
    <phoneticPr fontId="1"/>
  </si>
  <si>
    <r>
      <rPr>
        <sz val="11"/>
        <rFont val="游ゴシック Medium"/>
        <family val="3"/>
        <charset val="128"/>
      </rPr>
      <t>５３３ｐ</t>
    </r>
    <phoneticPr fontId="1"/>
  </si>
  <si>
    <r>
      <rPr>
        <sz val="11"/>
        <rFont val="游ゴシック Medium"/>
        <family val="3"/>
        <charset val="128"/>
      </rPr>
      <t>３６０ｐ</t>
    </r>
    <phoneticPr fontId="1"/>
  </si>
  <si>
    <r>
      <rPr>
        <sz val="11"/>
        <rFont val="游ゴシック Medium"/>
        <family val="3"/>
        <charset val="128"/>
      </rPr>
      <t>４６７ｐ</t>
    </r>
    <phoneticPr fontId="1"/>
  </si>
  <si>
    <r>
      <rPr>
        <sz val="11"/>
        <rFont val="游ゴシック Medium"/>
        <family val="3"/>
        <charset val="128"/>
      </rPr>
      <t>５０９ｐ</t>
    </r>
    <phoneticPr fontId="1"/>
  </si>
  <si>
    <r>
      <rPr>
        <sz val="11"/>
        <rFont val="游ゴシック Medium"/>
        <family val="3"/>
        <charset val="128"/>
      </rPr>
      <t>６４９ｐ</t>
    </r>
  </si>
  <si>
    <r>
      <rPr>
        <sz val="11"/>
        <rFont val="游ゴシック Medium"/>
        <family val="3"/>
        <charset val="128"/>
      </rPr>
      <t>５５７ｐ</t>
    </r>
  </si>
  <si>
    <r>
      <rPr>
        <sz val="11"/>
        <rFont val="游ゴシック Medium"/>
        <family val="3"/>
        <charset val="128"/>
      </rPr>
      <t>５８２ｐ</t>
    </r>
  </si>
  <si>
    <r>
      <rPr>
        <sz val="11"/>
        <rFont val="游ゴシック Medium"/>
        <family val="3"/>
        <charset val="128"/>
      </rPr>
      <t>６６１ｐ</t>
    </r>
    <phoneticPr fontId="1"/>
  </si>
  <si>
    <r>
      <rPr>
        <sz val="11"/>
        <rFont val="游ゴシック Medium"/>
        <family val="3"/>
        <charset val="128"/>
      </rPr>
      <t>７０１ｐ</t>
    </r>
  </si>
  <si>
    <r>
      <rPr>
        <sz val="11"/>
        <rFont val="游ゴシック Medium"/>
        <family val="3"/>
        <charset val="128"/>
      </rPr>
      <t>４９３ｐ</t>
    </r>
  </si>
  <si>
    <r>
      <rPr>
        <sz val="11"/>
        <rFont val="游ゴシック Medium"/>
        <family val="3"/>
        <charset val="128"/>
      </rPr>
      <t>５０９ｐ</t>
    </r>
  </si>
  <si>
    <r>
      <rPr>
        <sz val="11"/>
        <rFont val="游ゴシック Medium"/>
        <family val="3"/>
        <charset val="128"/>
      </rPr>
      <t>５６５ｐ</t>
    </r>
  </si>
  <si>
    <r>
      <rPr>
        <sz val="11"/>
        <rFont val="游ゴシック Medium"/>
        <family val="3"/>
        <charset val="128"/>
      </rPr>
      <t>１００ｐ</t>
    </r>
    <phoneticPr fontId="1"/>
  </si>
  <si>
    <r>
      <rPr>
        <b/>
        <sz val="11"/>
        <rFont val="游ゴシック Medium"/>
        <family val="3"/>
        <charset val="128"/>
      </rPr>
      <t>大きさ</t>
    </r>
    <phoneticPr fontId="1"/>
  </si>
  <si>
    <r>
      <rPr>
        <sz val="11"/>
        <rFont val="游ゴシック Medium"/>
        <family val="3"/>
        <charset val="128"/>
      </rPr>
      <t>２７</t>
    </r>
    <r>
      <rPr>
        <sz val="11"/>
        <rFont val="Consolas"/>
        <family val="3"/>
      </rPr>
      <t>×</t>
    </r>
    <r>
      <rPr>
        <sz val="11"/>
        <rFont val="游ゴシック Medium"/>
        <family val="3"/>
        <charset val="128"/>
      </rPr>
      <t>３６ｃｍ</t>
    </r>
    <phoneticPr fontId="1"/>
  </si>
  <si>
    <r>
      <rPr>
        <sz val="11"/>
        <rFont val="游ゴシック Medium"/>
        <family val="3"/>
        <charset val="128"/>
      </rPr>
      <t>２８</t>
    </r>
    <r>
      <rPr>
        <sz val="11"/>
        <rFont val="Consolas"/>
        <family val="3"/>
      </rPr>
      <t>×</t>
    </r>
    <r>
      <rPr>
        <sz val="11"/>
        <rFont val="游ゴシック Medium"/>
        <family val="3"/>
        <charset val="128"/>
      </rPr>
      <t>３６ｃｍ</t>
    </r>
    <phoneticPr fontId="1"/>
  </si>
  <si>
    <r>
      <rPr>
        <sz val="11"/>
        <rFont val="游ゴシック Medium"/>
        <family val="3"/>
        <charset val="128"/>
      </rPr>
      <t>３４ｃｍ</t>
    </r>
    <phoneticPr fontId="1"/>
  </si>
  <si>
    <r>
      <rPr>
        <sz val="11"/>
        <rFont val="游ゴシック Medium"/>
        <family val="3"/>
        <charset val="128"/>
      </rPr>
      <t>３１ｃｍ</t>
    </r>
    <phoneticPr fontId="1"/>
  </si>
  <si>
    <r>
      <rPr>
        <sz val="11"/>
        <rFont val="游ゴシック Medium"/>
        <family val="3"/>
        <charset val="128"/>
      </rPr>
      <t>２７ｃｍ</t>
    </r>
    <phoneticPr fontId="1"/>
  </si>
  <si>
    <r>
      <rPr>
        <sz val="11"/>
        <rFont val="游ゴシック Medium"/>
        <family val="3"/>
        <charset val="128"/>
      </rPr>
      <t>２４</t>
    </r>
    <r>
      <rPr>
        <sz val="11"/>
        <rFont val="Consolas"/>
        <family val="3"/>
      </rPr>
      <t>×</t>
    </r>
    <r>
      <rPr>
        <sz val="11"/>
        <rFont val="游ゴシック Medium"/>
        <family val="3"/>
        <charset val="128"/>
      </rPr>
      <t>２９ｃｍ</t>
    </r>
    <phoneticPr fontId="1"/>
  </si>
  <si>
    <r>
      <rPr>
        <sz val="11"/>
        <rFont val="游ゴシック Medium"/>
        <family val="3"/>
        <charset val="128"/>
      </rPr>
      <t>１７</t>
    </r>
    <r>
      <rPr>
        <sz val="11"/>
        <rFont val="Consolas"/>
        <family val="3"/>
      </rPr>
      <t>×</t>
    </r>
    <r>
      <rPr>
        <sz val="11"/>
        <rFont val="游ゴシック Medium"/>
        <family val="3"/>
        <charset val="128"/>
      </rPr>
      <t>１７ｃｍ</t>
    </r>
    <phoneticPr fontId="1"/>
  </si>
  <si>
    <r>
      <rPr>
        <sz val="11"/>
        <rFont val="游ゴシック Medium"/>
        <family val="3"/>
        <charset val="128"/>
      </rPr>
      <t>２６ｃｍ</t>
    </r>
    <phoneticPr fontId="1"/>
  </si>
  <si>
    <r>
      <rPr>
        <sz val="11"/>
        <rFont val="游ゴシック Medium"/>
        <family val="3"/>
        <charset val="128"/>
      </rPr>
      <t>３０ｃｍ</t>
    </r>
    <phoneticPr fontId="1"/>
  </si>
  <si>
    <r>
      <rPr>
        <sz val="11"/>
        <rFont val="游ゴシック Medium"/>
        <family val="3"/>
        <charset val="128"/>
      </rPr>
      <t>２２ｃｍ</t>
    </r>
    <phoneticPr fontId="1"/>
  </si>
  <si>
    <r>
      <rPr>
        <sz val="11"/>
        <rFont val="游ゴシック Medium"/>
        <family val="3"/>
        <charset val="128"/>
      </rPr>
      <t>２１ｃｍ</t>
    </r>
    <phoneticPr fontId="1"/>
  </si>
  <si>
    <r>
      <rPr>
        <sz val="11"/>
        <rFont val="游ゴシック Medium"/>
        <family val="3"/>
        <charset val="128"/>
      </rPr>
      <t>１９ｃｍ</t>
    </r>
    <phoneticPr fontId="1"/>
  </si>
  <si>
    <r>
      <rPr>
        <sz val="11"/>
        <rFont val="游ゴシック Medium"/>
        <family val="3"/>
        <charset val="128"/>
      </rPr>
      <t>２４ｃｍ</t>
    </r>
    <phoneticPr fontId="1"/>
  </si>
  <si>
    <r>
      <rPr>
        <sz val="11"/>
        <rFont val="游ゴシック Medium"/>
        <family val="3"/>
        <charset val="128"/>
      </rPr>
      <t>１８ｃｍ</t>
    </r>
    <phoneticPr fontId="1"/>
  </si>
  <si>
    <r>
      <rPr>
        <sz val="11"/>
        <rFont val="游ゴシック Medium"/>
        <family val="3"/>
        <charset val="128"/>
      </rPr>
      <t>１８ｃｍ</t>
    </r>
  </si>
  <si>
    <r>
      <rPr>
        <sz val="11"/>
        <rFont val="游ゴシック Medium"/>
        <family val="3"/>
        <charset val="128"/>
      </rPr>
      <t>２２ｃｍ</t>
    </r>
  </si>
  <si>
    <r>
      <rPr>
        <b/>
        <sz val="11"/>
        <rFont val="游ゴシック Medium"/>
        <family val="3"/>
        <charset val="128"/>
      </rPr>
      <t xml:space="preserve">シリーズ名
</t>
    </r>
    <r>
      <rPr>
        <b/>
        <sz val="11"/>
        <rFont val="Consolas"/>
        <family val="3"/>
      </rPr>
      <t>or</t>
    </r>
    <r>
      <rPr>
        <b/>
        <sz val="11"/>
        <rFont val="游ゴシック Medium"/>
        <family val="3"/>
        <charset val="128"/>
      </rPr>
      <t>各巻書名</t>
    </r>
    <phoneticPr fontId="1"/>
  </si>
  <si>
    <r>
      <rPr>
        <sz val="11"/>
        <rFont val="游ゴシック Medium"/>
        <family val="3"/>
        <charset val="128"/>
      </rPr>
      <t>おはなし名画シリーズ　１６</t>
    </r>
    <phoneticPr fontId="1"/>
  </si>
  <si>
    <r>
      <rPr>
        <sz val="11"/>
        <rFont val="游ゴシック Medium"/>
        <family val="3"/>
        <charset val="128"/>
      </rPr>
      <t>あーんあんの絵本　２</t>
    </r>
    <phoneticPr fontId="1"/>
  </si>
  <si>
    <r>
      <rPr>
        <sz val="11"/>
        <rFont val="游ゴシック Medium"/>
        <family val="3"/>
        <charset val="128"/>
      </rPr>
      <t>コミュニティー絵本</t>
    </r>
    <phoneticPr fontId="1"/>
  </si>
  <si>
    <r>
      <rPr>
        <sz val="11"/>
        <rFont val="游ゴシック Medium"/>
        <family val="3"/>
        <charset val="128"/>
      </rPr>
      <t>美と創作シリーズ</t>
    </r>
  </si>
  <si>
    <r>
      <rPr>
        <sz val="11"/>
        <rFont val="游ゴシック Medium"/>
        <family val="3"/>
        <charset val="128"/>
      </rPr>
      <t>赤毛のアン　ルーシー＝モード＝モンゴメリー著　村岡花子訳</t>
    </r>
    <phoneticPr fontId="1"/>
  </si>
  <si>
    <r>
      <rPr>
        <sz val="11"/>
        <rFont val="游ゴシック Medium"/>
        <family val="3"/>
        <charset val="128"/>
      </rPr>
      <t>坊っちゃん　夏目漱石著</t>
    </r>
    <phoneticPr fontId="1"/>
  </si>
  <si>
    <r>
      <rPr>
        <sz val="11"/>
        <rFont val="游ゴシック Medium"/>
        <family val="3"/>
        <charset val="128"/>
      </rPr>
      <t>椋鳩十まるごと動物ものがたり　５</t>
    </r>
    <phoneticPr fontId="1"/>
  </si>
  <si>
    <r>
      <rPr>
        <sz val="11"/>
        <rFont val="游ゴシック Medium"/>
        <family val="3"/>
        <charset val="128"/>
      </rPr>
      <t>ああ無情　ビクトル・ユーゴー〔著〕　塚原亮一訳</t>
    </r>
    <phoneticPr fontId="1"/>
  </si>
  <si>
    <r>
      <rPr>
        <sz val="11"/>
        <rFont val="游ゴシック Medium"/>
        <family val="3"/>
        <charset val="128"/>
      </rPr>
      <t>ロビンソン漂流記　ダニエル＝デフォー著　飯島淳秀訳</t>
    </r>
    <phoneticPr fontId="1"/>
  </si>
  <si>
    <r>
      <rPr>
        <sz val="11"/>
        <rFont val="游ゴシック Medium"/>
        <family val="3"/>
        <charset val="128"/>
      </rPr>
      <t>偕成社文庫　３１３０</t>
    </r>
    <phoneticPr fontId="1"/>
  </si>
  <si>
    <r>
      <rPr>
        <sz val="11"/>
        <rFont val="游ゴシック Medium"/>
        <family val="3"/>
        <charset val="128"/>
      </rPr>
      <t>偕成社文庫　３１３１</t>
    </r>
    <phoneticPr fontId="1"/>
  </si>
  <si>
    <r>
      <rPr>
        <sz val="11"/>
        <rFont val="游ゴシック Medium"/>
        <family val="3"/>
        <charset val="128"/>
      </rPr>
      <t>できる大事典</t>
    </r>
  </si>
  <si>
    <r>
      <rPr>
        <sz val="11"/>
        <rFont val="游ゴシック Medium"/>
        <family val="3"/>
        <charset val="128"/>
      </rPr>
      <t>ああ無情　ビクトル・ユーゴー〔著〕　塚原亮一訳</t>
    </r>
  </si>
  <si>
    <r>
      <rPr>
        <sz val="11"/>
        <rFont val="游ゴシック Medium"/>
        <family val="3"/>
        <charset val="128"/>
      </rPr>
      <t>ホグワーツ校指定教科書　１</t>
    </r>
  </si>
  <si>
    <r>
      <rPr>
        <b/>
        <sz val="11"/>
        <rFont val="游ゴシック Medium"/>
        <family val="3"/>
        <charset val="128"/>
      </rPr>
      <t>原書名</t>
    </r>
    <phoneticPr fontId="1"/>
  </si>
  <si>
    <r>
      <rPr>
        <sz val="11"/>
        <rFont val="游ゴシック Medium"/>
        <family val="3"/>
        <charset val="128"/>
      </rPr>
      <t>Ａ　ｓｔｒｅｅｔ　ｔｈｒｏｕｇｈ　ｔｉｍｅ</t>
    </r>
    <phoneticPr fontId="1"/>
  </si>
  <si>
    <r>
      <rPr>
        <sz val="11"/>
        <rFont val="游ゴシック Medium"/>
        <family val="3"/>
        <charset val="128"/>
      </rPr>
      <t>Ａ　ｐｏｒｔ　ｔｈｒｏｕｇｈ　ｔｉｍｅ</t>
    </r>
  </si>
  <si>
    <r>
      <rPr>
        <sz val="11"/>
        <rFont val="游ゴシック Medium"/>
        <family val="3"/>
        <charset val="128"/>
      </rPr>
      <t>Ｗｉｔｃｈｅｓ</t>
    </r>
    <phoneticPr fontId="1"/>
  </si>
  <si>
    <r>
      <rPr>
        <sz val="11"/>
        <rFont val="游ゴシック Medium"/>
        <family val="3"/>
        <charset val="128"/>
      </rPr>
      <t>Ｔｈｅ　ｉｌｌｕｓｔｒａｔｅｄ　ｂｏｏｋ　ｏｆ　ｍｙｔｈｓ</t>
    </r>
    <phoneticPr fontId="1"/>
  </si>
  <si>
    <r>
      <rPr>
        <sz val="11"/>
        <rFont val="游ゴシック Medium"/>
        <family val="3"/>
        <charset val="128"/>
      </rPr>
      <t>Ｃｒｅａｔｕｒｅｓ　ｔｈａｔ　ｇｌｏｗ</t>
    </r>
    <phoneticPr fontId="1"/>
  </si>
  <si>
    <r>
      <rPr>
        <sz val="11"/>
        <rFont val="游ゴシック Medium"/>
        <family val="3"/>
        <charset val="128"/>
      </rPr>
      <t>Ｐｒｉｎｃｅ　Ｂｅｒｔｒａｍ　ｔｈｅ　ｂａｄ</t>
    </r>
    <phoneticPr fontId="1"/>
  </si>
  <si>
    <r>
      <rPr>
        <sz val="11"/>
        <rFont val="游ゴシック Medium"/>
        <family val="3"/>
        <charset val="128"/>
      </rPr>
      <t>初版のタイトル：サーブレット＆ＪＳＰ逆引き大全５００の極意
欧文タイトル：６００　ｔｉｐｓ　ｔｏ　ｕｓｅ　ｓｅｒｖｌｅｔ　＆　ＪＳＰ　ｂｅｔｔｅｒ！</t>
    </r>
    <phoneticPr fontId="1"/>
  </si>
  <si>
    <r>
      <rPr>
        <sz val="11"/>
        <rFont val="游ゴシック Medium"/>
        <family val="3"/>
        <charset val="128"/>
      </rPr>
      <t>Ｈａｒｒｙ　Ｐｏｔｔｅｒ　ａｎｄ　ｔｈｅ　ｐｈｉｌｏｓｏｐｈｅｒ</t>
    </r>
    <r>
      <rPr>
        <sz val="11"/>
        <rFont val="Consolas"/>
        <family val="3"/>
      </rPr>
      <t>’</t>
    </r>
    <r>
      <rPr>
        <sz val="11"/>
        <rFont val="游ゴシック Medium"/>
        <family val="3"/>
        <charset val="128"/>
      </rPr>
      <t>ｓ　ｓｔｏｎｅ</t>
    </r>
  </si>
  <si>
    <r>
      <rPr>
        <sz val="11"/>
        <rFont val="游ゴシック Medium"/>
        <family val="3"/>
        <charset val="128"/>
      </rPr>
      <t>Ｈａｒｒｙ　Ｐｏｔｔｅｒ　ａｎｄ　ｔｈｅ　ｃｈａｍｂｅｒ　ｏｆ　ｓｅｃｒｅｔｓ</t>
    </r>
  </si>
  <si>
    <r>
      <rPr>
        <sz val="11"/>
        <rFont val="游ゴシック Medium"/>
        <family val="3"/>
        <charset val="128"/>
      </rPr>
      <t>Ｈａｒｒｙ　Ｐｏｔｔｅｒ　ａｎｄ　ｔｈｅ　ｐｒｉｓｏｎｅｒ　ｏｆ　Ａｚｋａｂａｎ</t>
    </r>
  </si>
  <si>
    <r>
      <rPr>
        <sz val="11"/>
        <rFont val="游ゴシック Medium"/>
        <family val="3"/>
        <charset val="128"/>
      </rPr>
      <t>Ｈａｒｒｙ　Ｐｏｔｔｅｒ　ａｎｄ　ｔｈｅ　ｇｏｂｌｅｔ　ｏｆ　ｆｉｒｅ</t>
    </r>
  </si>
  <si>
    <r>
      <rPr>
        <sz val="11"/>
        <rFont val="游ゴシック Medium"/>
        <family val="3"/>
        <charset val="128"/>
      </rPr>
      <t>Ｈａｒｒｙ　Ｐｏｔｔｅｒ　ａｎｄ　ｔｈｅ　Ｏｒｄｅｒ　ｏｆ　ｔｈｅ　Ｐｈｏｅｎｉｘ</t>
    </r>
  </si>
  <si>
    <r>
      <rPr>
        <sz val="11"/>
        <rFont val="游ゴシック Medium"/>
        <family val="3"/>
        <charset val="128"/>
      </rPr>
      <t>Ｈａｒｒｙ　Ｐｏｔｔｅｒ　ａｎｄ　ｔｈｅ　Ｈａｌｆ‐Ｂｌｏｏｄ　Ｐｒｉｎｃｅ</t>
    </r>
  </si>
  <si>
    <r>
      <rPr>
        <sz val="11"/>
        <rFont val="游ゴシック Medium"/>
        <family val="3"/>
        <charset val="128"/>
      </rPr>
      <t>Ｈａｒｒｙ　Ｐｏｔｔｅｒ　ａｎｄ　ｔｈｅ　ｄｅａｔｈｌｙ　ｈａｌｌｏｗｓ</t>
    </r>
  </si>
  <si>
    <r>
      <rPr>
        <sz val="11"/>
        <rFont val="游ゴシック Medium"/>
        <family val="3"/>
        <charset val="128"/>
      </rPr>
      <t>Ｆａｎｔａｓｔｉｃ　ｂｅａｓｔｓ　＆　ｗｈｅｒｅ　ｔｏ　ｆｉｎｄ　ｔｈｅｍ</t>
    </r>
  </si>
  <si>
    <r>
      <rPr>
        <b/>
        <sz val="11"/>
        <rFont val="游ゴシック Medium"/>
        <family val="3"/>
        <charset val="128"/>
      </rPr>
      <t>ＩＳＢＮ</t>
    </r>
    <phoneticPr fontId="1"/>
  </si>
  <si>
    <r>
      <rPr>
        <b/>
        <sz val="11"/>
        <rFont val="游ゴシック Medium"/>
        <family val="3"/>
        <charset val="128"/>
      </rPr>
      <t>件　名</t>
    </r>
    <phoneticPr fontId="1"/>
  </si>
  <si>
    <r>
      <rPr>
        <sz val="11"/>
        <rFont val="游ゴシック Medium"/>
        <family val="3"/>
        <charset val="128"/>
      </rPr>
      <t>イギリス－歴史　イギリス　西洋史　くらしの移り変わり</t>
    </r>
    <phoneticPr fontId="1"/>
  </si>
  <si>
    <r>
      <rPr>
        <sz val="11"/>
        <rFont val="游ゴシック Medium"/>
        <family val="3"/>
        <charset val="128"/>
      </rPr>
      <t>西洋史　港湾－歴史</t>
    </r>
  </si>
  <si>
    <r>
      <rPr>
        <sz val="11"/>
        <rFont val="游ゴシック Medium"/>
        <family val="3"/>
        <charset val="128"/>
      </rPr>
      <t>魔女</t>
    </r>
    <phoneticPr fontId="1"/>
  </si>
  <si>
    <r>
      <rPr>
        <sz val="11"/>
        <rFont val="游ゴシック Medium"/>
        <family val="3"/>
        <charset val="128"/>
      </rPr>
      <t>神話　伝説　伝説－外国</t>
    </r>
    <phoneticPr fontId="1"/>
  </si>
  <si>
    <r>
      <rPr>
        <sz val="11"/>
        <rFont val="游ゴシック Medium"/>
        <family val="3"/>
        <charset val="128"/>
      </rPr>
      <t>発光生物</t>
    </r>
    <phoneticPr fontId="1"/>
  </si>
  <si>
    <r>
      <rPr>
        <sz val="11"/>
        <rFont val="游ゴシック Medium"/>
        <family val="3"/>
        <charset val="128"/>
      </rPr>
      <t>彫刻　塑造</t>
    </r>
  </si>
  <si>
    <r>
      <rPr>
        <sz val="11"/>
        <rFont val="游ゴシック Medium"/>
        <family val="3"/>
        <charset val="128"/>
      </rPr>
      <t>日本－歴史</t>
    </r>
  </si>
  <si>
    <r>
      <rPr>
        <sz val="11"/>
        <rFont val="游ゴシック Medium"/>
        <family val="3"/>
        <charset val="128"/>
      </rPr>
      <t>ＷＷＷ　プログラミング（コンピュータ）</t>
    </r>
  </si>
  <si>
    <r>
      <rPr>
        <sz val="11"/>
        <rFont val="游ゴシック Medium"/>
        <family val="3"/>
        <charset val="128"/>
      </rPr>
      <t>ホームページ　ＷＷＷ　プログラミング（コンピュータ）</t>
    </r>
  </si>
  <si>
    <r>
      <rPr>
        <sz val="11"/>
        <rFont val="游ゴシック Medium"/>
        <family val="3"/>
        <charset val="128"/>
      </rPr>
      <t>プログラミング（コンピュータ）</t>
    </r>
  </si>
  <si>
    <r>
      <rPr>
        <sz val="11"/>
        <rFont val="游ゴシック Medium"/>
        <family val="3"/>
        <charset val="128"/>
      </rPr>
      <t>第</t>
    </r>
    <r>
      <rPr>
        <sz val="11"/>
        <rFont val="Consolas"/>
        <family val="3"/>
      </rPr>
      <t>1</t>
    </r>
    <r>
      <rPr>
        <sz val="11"/>
        <rFont val="游ゴシック Medium"/>
        <family val="3"/>
        <charset val="128"/>
      </rPr>
      <t>巻</t>
    </r>
    <r>
      <rPr>
        <sz val="11"/>
        <rFont val="ＭＳ Ｐ明朝"/>
        <family val="1"/>
        <charset val="128"/>
      </rPr>
      <t/>
    </r>
    <rPh sb="0" eb="1">
      <t>ダイ</t>
    </rPh>
    <rPh sb="2" eb="3">
      <t>カン</t>
    </rPh>
    <phoneticPr fontId="1"/>
  </si>
  <si>
    <r>
      <rPr>
        <sz val="11"/>
        <rFont val="游ゴシック Medium"/>
        <family val="3"/>
        <charset val="128"/>
      </rPr>
      <t>第</t>
    </r>
    <r>
      <rPr>
        <sz val="11"/>
        <rFont val="Consolas"/>
        <family val="3"/>
      </rPr>
      <t>2</t>
    </r>
    <r>
      <rPr>
        <sz val="11"/>
        <rFont val="游ゴシック Medium"/>
        <family val="3"/>
        <charset val="128"/>
      </rPr>
      <t>巻</t>
    </r>
    <rPh sb="0" eb="1">
      <t>ダイ</t>
    </rPh>
    <rPh sb="2" eb="3">
      <t>カン</t>
    </rPh>
    <phoneticPr fontId="1"/>
  </si>
  <si>
    <r>
      <rPr>
        <sz val="11"/>
        <rFont val="游ゴシック Medium"/>
        <family val="3"/>
        <charset val="128"/>
      </rPr>
      <t>第</t>
    </r>
    <r>
      <rPr>
        <sz val="11"/>
        <rFont val="Consolas"/>
        <family val="3"/>
      </rPr>
      <t>3</t>
    </r>
    <r>
      <rPr>
        <sz val="11"/>
        <rFont val="游ゴシック Medium"/>
        <family val="3"/>
        <charset val="128"/>
      </rPr>
      <t>巻</t>
    </r>
    <r>
      <rPr>
        <sz val="11"/>
        <rFont val="ＭＳ Ｐゴシック"/>
        <family val="3"/>
        <charset val="128"/>
      </rPr>
      <t/>
    </r>
    <rPh sb="0" eb="1">
      <t>ダイ</t>
    </rPh>
    <rPh sb="2" eb="3">
      <t>カン</t>
    </rPh>
    <phoneticPr fontId="1"/>
  </si>
  <si>
    <r>
      <rPr>
        <sz val="11"/>
        <rFont val="游ゴシック Medium"/>
        <family val="3"/>
        <charset val="128"/>
      </rPr>
      <t>第</t>
    </r>
    <r>
      <rPr>
        <sz val="11"/>
        <rFont val="Consolas"/>
        <family val="3"/>
      </rPr>
      <t>4</t>
    </r>
    <r>
      <rPr>
        <sz val="11"/>
        <rFont val="游ゴシック Medium"/>
        <family val="3"/>
        <charset val="128"/>
      </rPr>
      <t>巻</t>
    </r>
    <r>
      <rPr>
        <sz val="11"/>
        <rFont val="ＭＳ Ｐゴシック"/>
        <family val="3"/>
        <charset val="128"/>
      </rPr>
      <t/>
    </r>
    <rPh sb="0" eb="1">
      <t>ダイ</t>
    </rPh>
    <rPh sb="2" eb="3">
      <t>カン</t>
    </rPh>
    <phoneticPr fontId="1"/>
  </si>
  <si>
    <r>
      <rPr>
        <sz val="11"/>
        <rFont val="游ゴシック Medium"/>
        <family val="3"/>
        <charset val="128"/>
      </rPr>
      <t>第</t>
    </r>
    <r>
      <rPr>
        <sz val="11"/>
        <rFont val="Consolas"/>
        <family val="3"/>
      </rPr>
      <t>5</t>
    </r>
    <r>
      <rPr>
        <sz val="11"/>
        <rFont val="游ゴシック Medium"/>
        <family val="3"/>
        <charset val="128"/>
      </rPr>
      <t>巻</t>
    </r>
    <r>
      <rPr>
        <sz val="11"/>
        <rFont val="ＭＳ Ｐゴシック"/>
        <family val="3"/>
        <charset val="128"/>
      </rPr>
      <t/>
    </r>
    <rPh sb="0" eb="1">
      <t>ダイ</t>
    </rPh>
    <rPh sb="2" eb="3">
      <t>カン</t>
    </rPh>
    <phoneticPr fontId="1"/>
  </si>
  <si>
    <r>
      <rPr>
        <sz val="11"/>
        <rFont val="游ゴシック Medium"/>
        <family val="3"/>
        <charset val="128"/>
      </rPr>
      <t>第</t>
    </r>
    <r>
      <rPr>
        <sz val="11"/>
        <rFont val="Consolas"/>
        <family val="3"/>
      </rPr>
      <t>6</t>
    </r>
    <r>
      <rPr>
        <sz val="11"/>
        <rFont val="游ゴシック Medium"/>
        <family val="3"/>
        <charset val="128"/>
      </rPr>
      <t>巻</t>
    </r>
    <r>
      <rPr>
        <sz val="11"/>
        <rFont val="ＭＳ Ｐゴシック"/>
        <family val="3"/>
        <charset val="128"/>
      </rPr>
      <t/>
    </r>
    <rPh sb="0" eb="1">
      <t>ダイ</t>
    </rPh>
    <rPh sb="2" eb="3">
      <t>カン</t>
    </rPh>
    <phoneticPr fontId="1"/>
  </si>
  <si>
    <r>
      <rPr>
        <sz val="11"/>
        <rFont val="游ゴシック Medium"/>
        <family val="3"/>
        <charset val="128"/>
      </rPr>
      <t>第</t>
    </r>
    <r>
      <rPr>
        <sz val="11"/>
        <rFont val="Consolas"/>
        <family val="3"/>
      </rPr>
      <t>7</t>
    </r>
    <r>
      <rPr>
        <sz val="11"/>
        <rFont val="游ゴシック Medium"/>
        <family val="3"/>
        <charset val="128"/>
      </rPr>
      <t>巻</t>
    </r>
    <r>
      <rPr>
        <sz val="11"/>
        <rFont val="ＭＳ Ｐゴシック"/>
        <family val="3"/>
        <charset val="128"/>
      </rPr>
      <t/>
    </r>
    <rPh sb="0" eb="1">
      <t>ダイ</t>
    </rPh>
    <rPh sb="2" eb="3">
      <t>カン</t>
    </rPh>
    <phoneticPr fontId="1"/>
  </si>
  <si>
    <r>
      <rPr>
        <b/>
        <sz val="11"/>
        <rFont val="游ゴシック Medium"/>
        <family val="3"/>
        <charset val="128"/>
      </rPr>
      <t>ＮＤＣ９</t>
    </r>
    <phoneticPr fontId="1"/>
  </si>
  <si>
    <r>
      <rPr>
        <b/>
        <sz val="11"/>
        <rFont val="游ゴシック Medium"/>
        <family val="3"/>
        <charset val="128"/>
      </rPr>
      <t>注　記・内容</t>
    </r>
    <phoneticPr fontId="1"/>
  </si>
  <si>
    <r>
      <rPr>
        <sz val="11"/>
        <rFont val="游ゴシック Medium"/>
        <family val="3"/>
        <charset val="128"/>
      </rPr>
      <t>ダリ年譜：巻末</t>
    </r>
    <phoneticPr fontId="1"/>
  </si>
  <si>
    <r>
      <rPr>
        <sz val="11"/>
        <rFont val="游ゴシック Medium"/>
        <family val="3"/>
        <charset val="128"/>
      </rPr>
      <t>監修：大林太良</t>
    </r>
    <phoneticPr fontId="1"/>
  </si>
  <si>
    <r>
      <rPr>
        <sz val="11"/>
        <rFont val="游ゴシック Medium"/>
        <family val="3"/>
        <charset val="128"/>
      </rPr>
      <t>クマの親子　あばれグマ金こぶ　母グマ子グマ　クマほえる　クマとスズメバチ　アルプスのクマ　月の輪グマ　山の太郎グマ　三頭のクマ</t>
    </r>
  </si>
  <si>
    <r>
      <rPr>
        <sz val="11"/>
        <rFont val="游ゴシック Medium"/>
        <family val="3"/>
        <charset val="128"/>
      </rPr>
      <t>付属資料：ＣＤ－ＲＯＭ（１枚　１２ｃｍ）</t>
    </r>
    <phoneticPr fontId="1"/>
  </si>
  <si>
    <r>
      <rPr>
        <sz val="11"/>
        <rFont val="游ゴシック Medium"/>
        <family val="3"/>
        <charset val="128"/>
      </rPr>
      <t>本文は日本語
ＨＴＭＬ　４．０１＆ＸＨＴＭＬ　１．１／１．０｜ＣＳＳ　２対応</t>
    </r>
    <phoneticPr fontId="1"/>
  </si>
  <si>
    <r>
      <rPr>
        <sz val="11"/>
        <rFont val="游ゴシック Medium"/>
        <family val="3"/>
        <charset val="128"/>
      </rPr>
      <t>付属資料：ＣＤ－ＲＯＭ（１枚　１２ｃｍ）
文献：ｐ５１２～５１３</t>
    </r>
    <phoneticPr fontId="1"/>
  </si>
  <si>
    <r>
      <rPr>
        <sz val="11"/>
        <rFont val="游ゴシック Medium"/>
        <family val="3"/>
        <charset val="128"/>
      </rPr>
      <t>携帯版</t>
    </r>
  </si>
  <si>
    <r>
      <rPr>
        <sz val="11"/>
        <rFont val="游ゴシック Medium"/>
        <family val="3"/>
        <charset val="128"/>
      </rPr>
      <t>新学期が始まったホグワーツ校を襲う姿なき声。次々と犠牲者が出て、ハリーに疑いがかかる。果たしてハリーはスリザリン寮に入るべきだったのだろうか。「ハリー・ポッターと賢者の石」に続くシリーズ第二作目。</t>
    </r>
  </si>
  <si>
    <r>
      <rPr>
        <sz val="11"/>
        <rFont val="游ゴシック Medium"/>
        <family val="3"/>
        <charset val="128"/>
      </rPr>
      <t>全２巻セット￥３８００　★</t>
    </r>
  </si>
  <si>
    <r>
      <rPr>
        <sz val="11"/>
        <rFont val="游ゴシック Medium"/>
        <family val="3"/>
        <charset val="128"/>
      </rPr>
      <t>全２巻セット￥４０００　★</t>
    </r>
  </si>
  <si>
    <r>
      <rPr>
        <sz val="11"/>
        <rFont val="游ゴシック Medium"/>
        <family val="3"/>
        <charset val="128"/>
      </rPr>
      <t>全２巻セット￥１７００　★
携帯版</t>
    </r>
    <phoneticPr fontId="1"/>
  </si>
  <si>
    <r>
      <rPr>
        <sz val="11"/>
        <rFont val="游ゴシック Medium"/>
        <family val="3"/>
        <charset val="128"/>
      </rPr>
      <t>標題紙等の著者表示：ニュート・スキャマンダー</t>
    </r>
  </si>
  <si>
    <r>
      <rPr>
        <b/>
        <sz val="11"/>
        <rFont val="游ゴシック Medium"/>
        <family val="3"/>
        <charset val="128"/>
      </rPr>
      <t>抄　録</t>
    </r>
    <phoneticPr fontId="1"/>
  </si>
  <si>
    <r>
      <rPr>
        <sz val="11"/>
        <rFont val="游ゴシック Medium"/>
        <family val="3"/>
        <charset val="128"/>
      </rPr>
      <t>はじまりは石器時代。川のほとりの小さな集落が、１２，０００年の歳月を経て、賑やかな都会の中心へ。ある町の誕生から現在までを時代順に辿り、時代ごとの昔の人間の生活ぶりを鮮やかに見せてくれる美しい歴史絵本。</t>
    </r>
    <phoneticPr fontId="1"/>
  </si>
  <si>
    <r>
      <rPr>
        <sz val="11"/>
        <rFont val="游ゴシック Medium"/>
        <family val="3"/>
        <charset val="128"/>
      </rPr>
      <t>数千年のむかし、自然の入り江は小さな漁村にとって理想的な交易の場でした。その同じ場所が現在の活気あふれる港湾都市になるまでに、どんな変化が起こったのでしょう？　港の歴史を迫力ある細密画で描きます。</t>
    </r>
    <phoneticPr fontId="1"/>
  </si>
  <si>
    <r>
      <rPr>
        <sz val="11"/>
        <rFont val="游ゴシック Medium"/>
        <family val="3"/>
        <charset val="128"/>
      </rPr>
      <t>奇抜な発想で人びとを驚かせたダリは、奇想天外な作品で私たちを楽しませてくれます。ダリの作品を紹介しながらそのユニークな人生をつづる、子どもから大人まで楽しめる絵本。</t>
    </r>
    <phoneticPr fontId="1"/>
  </si>
  <si>
    <r>
      <rPr>
        <sz val="11"/>
        <rFont val="游ゴシック Medium"/>
        <family val="3"/>
        <charset val="128"/>
      </rPr>
      <t>世界中から最もよく知られている神話・伝説６７話を収録し、わかりやすい語り口と、話の展開にそったイラストで紹介。神話に出てくる神や人物、場所なども紹介した、大人も子供も楽しめる神話の絵物語集。</t>
    </r>
    <phoneticPr fontId="1"/>
  </si>
  <si>
    <r>
      <rPr>
        <sz val="11"/>
        <rFont val="游ゴシック Medium"/>
        <family val="3"/>
        <charset val="128"/>
      </rPr>
      <t>タコ、ウミガメ、エイなど、なじみのある海の生き物たちが、カラフルなペーパー・コラージュで描かれる。ページをめくりながら、海の中から、いろいろなかたちを見つける作業が楽しめる絵本。＊</t>
    </r>
    <phoneticPr fontId="1"/>
  </si>
  <si>
    <r>
      <rPr>
        <sz val="11"/>
        <rFont val="游ゴシック Medium"/>
        <family val="3"/>
        <charset val="128"/>
      </rPr>
      <t>生物発光の現象の秘密を探る絵本。本文では、ある種の生物の発光の目的や仕組みをわかりやすく解説し、それらの不思議な生態を明らかにする。何より生物たちの精密なイラストは、迫力がある。</t>
    </r>
    <phoneticPr fontId="1"/>
  </si>
  <si>
    <r>
      <rPr>
        <sz val="11"/>
        <rFont val="游ゴシック Medium"/>
        <family val="3"/>
        <charset val="128"/>
      </rPr>
      <t>「ポケモン金銀」のゲームに沿って構成。新ポケモン１００匹が増え、合計２５１匹が画面に登場！　「さがしっこ」の面白さを堪能できます。</t>
    </r>
    <phoneticPr fontId="1"/>
  </si>
  <si>
    <r>
      <rPr>
        <sz val="11"/>
        <rFont val="游ゴシック Medium"/>
        <family val="3"/>
        <charset val="128"/>
      </rPr>
      <t>いたずらっ子のバートラム王子は、ある日怒った魔女に竜にされてしまう</t>
    </r>
    <r>
      <rPr>
        <sz val="11"/>
        <rFont val="Consolas"/>
        <family val="3"/>
      </rPr>
      <t>…</t>
    </r>
    <r>
      <rPr>
        <sz val="11"/>
        <rFont val="游ゴシック Medium"/>
        <family val="3"/>
        <charset val="128"/>
      </rPr>
      <t>。王子とまわりの大人たちを愛情をこめて描き、ローベルの魅力が生き生きと発揮されたクラシック絵本。</t>
    </r>
    <phoneticPr fontId="1"/>
  </si>
  <si>
    <r>
      <rPr>
        <sz val="11"/>
        <rFont val="游ゴシック Medium"/>
        <family val="3"/>
        <charset val="128"/>
      </rPr>
      <t>道具は何を揃えたらいいのか、土でどんなマチエールを出せるのか、彫刻に適した木材は何なのか、石ノミを使うときのポイント、金属を素材にどんな表現が出来るのか</t>
    </r>
    <r>
      <rPr>
        <sz val="11"/>
        <rFont val="Consolas"/>
        <family val="3"/>
      </rPr>
      <t>…</t>
    </r>
    <r>
      <rPr>
        <sz val="11"/>
        <rFont val="游ゴシック Medium"/>
        <family val="3"/>
        <charset val="128"/>
      </rPr>
      <t>芸術大学彫刻科の授業内容をまとめた本。〈ソフトカバー〉</t>
    </r>
    <phoneticPr fontId="1"/>
  </si>
  <si>
    <r>
      <rPr>
        <sz val="11"/>
        <rFont val="游ゴシック Medium"/>
        <family val="3"/>
        <charset val="128"/>
      </rPr>
      <t>坊っちゃん　文鳥　永日小品</t>
    </r>
  </si>
  <si>
    <r>
      <rPr>
        <sz val="11"/>
        <rFont val="游ゴシック Medium"/>
        <family val="3"/>
        <charset val="128"/>
      </rPr>
      <t>冬は穴のなかで過ごし、春になると山に暮らす、そんなクマの親子の四季を描いた「クマの親子」をはじめとして、クマと人間たちの触れ合いや争いを描いた童話９話をおさめた作品集。＊</t>
    </r>
  </si>
  <si>
    <r>
      <rPr>
        <sz val="11"/>
        <rFont val="游ゴシック Medium"/>
        <family val="3"/>
        <charset val="128"/>
      </rPr>
      <t>「新しい歴史教科書をつくる会」会長が日本の歴史を通史的に辿り、魏志倭人伝は歴史資料に値しない、平安京の落日と中世ヨーロッパ、終戦の日など、テーマ別に具体的な疑問に焦点を絞り、率直かつストレートに著した論集。</t>
    </r>
    <phoneticPr fontId="1"/>
  </si>
  <si>
    <r>
      <rPr>
        <sz val="11"/>
        <rFont val="游ゴシック Medium"/>
        <family val="3"/>
        <charset val="128"/>
      </rPr>
      <t>企業アプリケーションから趣味でサーブレット＆ＪＳＰを使いたい人まで、パーフェクトにカバーしたバイブル。掲載アイテムを６００にパワーアップし、最新のＪＤＫ１．５とＴｏｍｃａｔ５．５にに対応した増補改訂版。</t>
    </r>
    <phoneticPr fontId="1"/>
  </si>
  <si>
    <r>
      <rPr>
        <sz val="11"/>
        <rFont val="游ゴシック Medium"/>
        <family val="3"/>
        <charset val="128"/>
      </rPr>
      <t>Ｊａｖａ言語をベースにしたサーバサイドプログラムの入門書。Ｊａｖａの文法を学んだ人に向け、サーバサイドプログラム（Ｗｅｂアプリケーション）の基本から具体的なプログラムの作成例まで順を追って説明。</t>
    </r>
    <phoneticPr fontId="1"/>
  </si>
  <si>
    <r>
      <rPr>
        <sz val="11"/>
        <rFont val="游ゴシック Medium"/>
        <family val="3"/>
        <charset val="128"/>
      </rPr>
      <t>ＨＴＭＬとＣＳＳのすべての項目を概要から使い方まで詳しく解説する。関連ＨＴＭＬやＣＳＳも参照でき、Ｗ３Ｃ準拠、ウェブ制作の業界標準に完全対応。リリース予定のＩＥ　７の対応状況も掲載する。</t>
    </r>
    <phoneticPr fontId="1"/>
  </si>
  <si>
    <r>
      <rPr>
        <sz val="11"/>
        <rFont val="游ゴシック Medium"/>
        <family val="3"/>
        <charset val="128"/>
      </rPr>
      <t>Ｊａｖａ用ＩＤＥのデファクト・スタンダード「Ｅｃｌｉｐｓｅ」。最新バージョン３．２の基本機能から、ＷＴＰを使ったＷｅｂアプリケーションの作成、プラグインの開発までを完全解説。</t>
    </r>
    <phoneticPr fontId="1"/>
  </si>
  <si>
    <r>
      <rPr>
        <sz val="11"/>
        <rFont val="游ゴシック Medium"/>
        <family val="3"/>
        <charset val="128"/>
      </rPr>
      <t>緑の眼に黒い髪、そして額に稲妻型の傷を持つ、魔法学校１年生のハリー・ポッターが、邪悪な力との運命の対決に打ち勝って行く、夢と冒険、友情の物語。スマーティーズ賞ほか受賞作。９９年刊の携帯版。</t>
    </r>
  </si>
  <si>
    <r>
      <rPr>
        <sz val="11"/>
        <rFont val="游ゴシック Medium"/>
        <family val="3"/>
        <charset val="128"/>
      </rPr>
      <t>〈ローリング〉１９６５年生まれ。エクスター大学で仏語と古典を専攻。シリーズ第一作目「ハリーポッターと賢者の石」がベストセラーになる。２０００年６月英国女王よりＯ．Ｂ．Ｅ．勲章授与。</t>
    </r>
  </si>
  <si>
    <r>
      <rPr>
        <sz val="11"/>
        <rFont val="游ゴシック Medium"/>
        <family val="3"/>
        <charset val="128"/>
      </rPr>
      <t>夏休みのある日、１３歳の誕生日を迎えたハリーに、恐ろしい事件がふりかかる。脱獄不可能のアズカバンから脱走した囚人がハリーの命を狙っているという。ハリー・ポッターシリーズ第３巻。２００１年刊の携帯版。</t>
    </r>
  </si>
  <si>
    <r>
      <rPr>
        <sz val="11"/>
        <rFont val="游ゴシック Medium"/>
        <family val="3"/>
        <charset val="128"/>
      </rPr>
      <t>クィディッチ・ワールドカップの決勝戦のあと、恐ろしい事件がおきる。そして、三大魔法学校対抗試合にヴォルデモートが仕掛けた罠は</t>
    </r>
    <r>
      <rPr>
        <sz val="11"/>
        <rFont val="Consolas"/>
        <family val="3"/>
      </rPr>
      <t>…</t>
    </r>
    <r>
      <rPr>
        <sz val="11"/>
        <rFont val="游ゴシック Medium"/>
        <family val="3"/>
        <charset val="128"/>
      </rPr>
      <t>。親友・ロンの異変、ハリーの初々しい恋、シリーズ第４弾。</t>
    </r>
  </si>
  <si>
    <r>
      <rPr>
        <sz val="11"/>
        <rFont val="游ゴシック Medium"/>
        <family val="3"/>
        <charset val="128"/>
      </rPr>
      <t>〈ローリング〉１９６５年英国生まれ。生活保護を受けながら書いた「ハリーポッターと賢者の石」がベストセラーになる。２０００年６月英国女王よりＯ．Ｂ．Ｅ．勲章授与。</t>
    </r>
  </si>
  <si>
    <r>
      <rPr>
        <sz val="11"/>
        <rFont val="游ゴシック Medium"/>
        <family val="3"/>
        <charset val="128"/>
      </rPr>
      <t>復活したヴォルデモートとの戦いはいつ始まるのか？　吸魂鬼に襲われ、「不死鳥の騎士団」に助け出されたハリーは、騎士団が重大な秘密を守っていることを知る。真実が明かされるシリーズ第５弾。</t>
    </r>
  </si>
  <si>
    <r>
      <rPr>
        <sz val="11"/>
        <rFont val="游ゴシック Medium"/>
        <family val="3"/>
        <charset val="128"/>
      </rPr>
      <t>１７年前の予言は、ハリーとヴォルデモートとの対決を避けられないものにした。過酷な運命に立ち向かうハリーに、ダンブルドアの個人教授が始まる。予言は実現するのか？　ヴォルデモートの過去に迫るシリーズ第６弾。</t>
    </r>
  </si>
  <si>
    <r>
      <rPr>
        <sz val="11"/>
        <rFont val="游ゴシック Medium"/>
        <family val="3"/>
        <charset val="128"/>
      </rPr>
      <t>新しい「闇の魔術に対する防衛術」の先生は、思いもかけない人物だった。突然「魔法薬」の才能を発揮するハリーに新しい恋人が現れ、ロンとハーマイオニーは仲たがいする</t>
    </r>
    <r>
      <rPr>
        <sz val="11"/>
        <rFont val="Consolas"/>
        <family val="3"/>
      </rPr>
      <t>…</t>
    </r>
    <r>
      <rPr>
        <sz val="11"/>
        <rFont val="游ゴシック Medium"/>
        <family val="3"/>
        <charset val="128"/>
      </rPr>
      <t>。ヴォルデモートの過去に迫るシリーズ第６弾携帯版。</t>
    </r>
  </si>
  <si>
    <r>
      <rPr>
        <sz val="11"/>
        <rFont val="游ゴシック Medium"/>
        <family val="3"/>
        <charset val="128"/>
      </rPr>
      <t>求めるべきは「分霊箱」か「死の秘宝」か？　ダンブルドアの真意はどこに？　最後の分霊箱を求めて、ハリーたちはホグワーツへ。ついに明かされる驚くべきハリーの運命とは？　最後の壮絶な戦いが始まる。シリーズ第７弾。</t>
    </r>
  </si>
  <si>
    <r>
      <rPr>
        <sz val="11"/>
        <rFont val="游ゴシック Medium"/>
        <family val="3"/>
        <charset val="128"/>
      </rPr>
      <t>大人気ベストセラー「ハリー・ポッター」に登場する、ホグワーツ魔法魔術学校の指定教科書。ハリーと同じ教科書、ダンブルドア校長イチオシの１冊。売上金は慈善団体に寄附されるハリー・ポッター特別基金を行っている。</t>
    </r>
  </si>
  <si>
    <r>
      <rPr>
        <b/>
        <sz val="11"/>
        <rFont val="游ゴシック Medium"/>
        <family val="3"/>
        <charset val="128"/>
      </rPr>
      <t>著者紹介</t>
    </r>
    <phoneticPr fontId="1"/>
  </si>
  <si>
    <r>
      <rPr>
        <sz val="11"/>
        <rFont val="游ゴシック Medium"/>
        <family val="3"/>
        <charset val="128"/>
      </rPr>
      <t>〈ミラード〉エジプト学研究で博士号取得。エジプト調査研究協会のメンバーとして、長年発掘作業にたずさわる。</t>
    </r>
    <phoneticPr fontId="1"/>
  </si>
  <si>
    <r>
      <rPr>
        <sz val="11"/>
        <rFont val="游ゴシック Medium"/>
        <family val="3"/>
        <charset val="128"/>
      </rPr>
      <t>〈アン・ミラード〉考古学、歴史関係の本を執筆。スティーブ・ヌーンとともに「絵で見るある町の歴史」で２０００年度ロングマン最優秀歴史書賞を受賞。</t>
    </r>
    <phoneticPr fontId="1"/>
  </si>
  <si>
    <r>
      <rPr>
        <sz val="11"/>
        <rFont val="游ゴシック Medium"/>
        <family val="3"/>
        <charset val="128"/>
      </rPr>
      <t>〈ダリ〉１９０４～１９８９年。スペイン生まれ。画家、版画家。</t>
    </r>
    <phoneticPr fontId="1"/>
  </si>
  <si>
    <r>
      <rPr>
        <sz val="11"/>
        <rFont val="游ゴシック Medium"/>
        <family val="3"/>
        <charset val="128"/>
      </rPr>
      <t>〈フィリップ〉オックスフォード大学で英語を学んだのち、ロンドン大学のベドフォード・カレッジから児童書の神話と民話の研究で博士号を取得。神話と民話の分野で多くの著作がある。</t>
    </r>
    <phoneticPr fontId="1"/>
  </si>
  <si>
    <r>
      <rPr>
        <sz val="11"/>
        <rFont val="游ゴシック Medium"/>
        <family val="3"/>
        <charset val="128"/>
      </rPr>
      <t>〈マクドナルド〉１９４０年生まれ。大学や美術学校で学んだ後、建築やデザインの仕事を経てイラストレーションの世界へ。絵本「Ａｌｐｈａｂｅｔｉｃｓ」でアメリカ国内で数々の賞を受賞。＊</t>
    </r>
    <phoneticPr fontId="1"/>
  </si>
  <si>
    <r>
      <rPr>
        <sz val="11"/>
        <rFont val="游ゴシック Medium"/>
        <family val="3"/>
        <charset val="128"/>
      </rPr>
      <t>〈ガネリ〉自然の歴史をテーマとする児童作家。熱心な自然保護論者でヨークシャー在住。著書に「絵でみる世界海洋地図」ほか。</t>
    </r>
    <phoneticPr fontId="1"/>
  </si>
  <si>
    <r>
      <rPr>
        <sz val="11"/>
        <rFont val="游ゴシック Medium"/>
        <family val="3"/>
        <charset val="128"/>
      </rPr>
      <t>〈ローベル〉１９３３～８７年。ロサンゼルス生まれ。「ローベルおじさんのどうぶつものがたり」でコルデコット賞受賞。作品にがまくんとかえるくんシリーズなど。</t>
    </r>
    <phoneticPr fontId="1"/>
  </si>
  <si>
    <r>
      <rPr>
        <sz val="11"/>
        <rFont val="游ゴシック Medium"/>
        <family val="3"/>
        <charset val="128"/>
      </rPr>
      <t>〈椋〉１９０５年長野県生まれ。法政大学で文学を学ぶ。学校の教師や詩人を経て３８年からは児童文学に専念。数多くの名作を遺す。１９８７年没。＊</t>
    </r>
  </si>
  <si>
    <r>
      <rPr>
        <sz val="11"/>
        <rFont val="游ゴシック Medium"/>
        <family val="3"/>
        <charset val="128"/>
      </rPr>
      <t>〈西尾〉１９３５年東京都生まれ。東京大学大学院修士課程修了。現在、電気通信大学教授。著書に「沈黙する歴史」「現代について」「異なる悲劇日本とドイツ」ほかがある。</t>
    </r>
    <phoneticPr fontId="1"/>
  </si>
  <si>
    <r>
      <rPr>
        <sz val="11"/>
        <rFont val="游ゴシック Medium"/>
        <family val="3"/>
        <charset val="128"/>
      </rPr>
      <t>〈川崎克巳〉第一種情報処理技術者、ネットワークスペシャリスト、技術士（電気・電子部門）。著書に「Ｊａｖａスパイダーツールサンプル＆クックブック」など。</t>
    </r>
    <phoneticPr fontId="1"/>
  </si>
  <si>
    <r>
      <rPr>
        <sz val="11"/>
        <rFont val="游ゴシック Medium"/>
        <family val="3"/>
        <charset val="128"/>
      </rPr>
      <t>〈片山幸雄〉北海道生まれ。山形大学工学部電子工学科卒業。コンピュータ専門学校講師のかたわらコンピュータのプログラムや基本情報処理技術者の本を執筆。</t>
    </r>
    <phoneticPr fontId="1"/>
  </si>
  <si>
    <r>
      <rPr>
        <sz val="11"/>
        <rFont val="游ゴシック Medium"/>
        <family val="3"/>
        <charset val="128"/>
      </rPr>
      <t>〈佐藤和人〉フリーライター。ＨＴＭＬ関係の記事を多数執筆。著書に「できるホームページＨＴＭＬ入門」など。</t>
    </r>
    <phoneticPr fontId="1"/>
  </si>
  <si>
    <r>
      <rPr>
        <sz val="11"/>
        <rFont val="游ゴシック Medium"/>
        <family val="3"/>
        <charset val="128"/>
      </rPr>
      <t>〈宮本信二〉広島大学総合科学科卒業。ソフトウェアエンジニア、テクニカルライター。ゲーム開発、ソフト開発の会社を経て、フリーで活動中。むいみこむ運営。著書に「徹底解説！ＪＳＦのすべて」など。</t>
    </r>
    <phoneticPr fontId="1"/>
  </si>
  <si>
    <r>
      <rPr>
        <sz val="11"/>
        <rFont val="游ゴシック Medium"/>
        <family val="3"/>
        <charset val="128"/>
      </rPr>
      <t>〈ローリング〉１９６５年生まれ。エクスター大学にてフランス語と古典を専攻。エディンバラ在住。処女作「ハリー・ポッターと賢者の石」でスマーティーズ賞ほか受賞。</t>
    </r>
  </si>
  <si>
    <r>
      <rPr>
        <sz val="11"/>
        <rFont val="游ゴシック Medium"/>
        <family val="3"/>
        <charset val="128"/>
      </rPr>
      <t>〈Ｊ．Ｋ．ローリング〉英国の作家。エクスター大学で語学を専攻。「ハリーポッターシリーズ」が全世界で空前のベストセラーになる。</t>
    </r>
  </si>
  <si>
    <r>
      <rPr>
        <sz val="11"/>
        <rFont val="游ゴシック Medium"/>
        <family val="3"/>
        <charset val="128"/>
      </rPr>
      <t>〈Ｊ．Ｋ．ローリング〉著書に「ハリー・ポッターと賢者の石」「ハリー・ポッターと不死鳥の騎士団」「ハリー・ポッターと死の秘宝」など。</t>
    </r>
  </si>
  <si>
    <r>
      <rPr>
        <sz val="11"/>
        <rFont val="游ゴシック Medium"/>
        <family val="3"/>
        <charset val="128"/>
      </rPr>
      <t>〈Ｊ．Ｋ．ローリング〉１９６５年英国生まれ。エクスター大学卒業。「ハリーポッターと賢者の石」にはじまるシリーズが世界で超ベストセラーとなる。２０００年、英国女王からＯ．Ｂ．Ｅ．勲章の称号を授与される。</t>
    </r>
  </si>
  <si>
    <r>
      <rPr>
        <b/>
        <sz val="11"/>
        <rFont val="游ゴシック Medium"/>
        <family val="3"/>
        <charset val="128"/>
      </rPr>
      <t>資料形態</t>
    </r>
    <phoneticPr fontId="1"/>
  </si>
  <si>
    <r>
      <rPr>
        <sz val="11"/>
        <rFont val="游ゴシック Medium"/>
        <family val="3"/>
        <charset val="128"/>
      </rPr>
      <t>本</t>
    </r>
    <phoneticPr fontId="1"/>
  </si>
  <si>
    <r>
      <rPr>
        <sz val="11"/>
        <rFont val="游ゴシック Medium"/>
        <family val="3"/>
        <charset val="128"/>
      </rPr>
      <t>絵本</t>
    </r>
    <phoneticPr fontId="1"/>
  </si>
  <si>
    <r>
      <rPr>
        <sz val="11"/>
        <rFont val="游ゴシック Medium"/>
        <family val="3"/>
        <charset val="128"/>
      </rPr>
      <t>本</t>
    </r>
  </si>
  <si>
    <r>
      <rPr>
        <b/>
        <sz val="11"/>
        <rFont val="游ゴシック Medium"/>
        <family val="3"/>
        <charset val="128"/>
      </rPr>
      <t>言　語</t>
    </r>
    <phoneticPr fontId="1"/>
  </si>
  <si>
    <r>
      <rPr>
        <sz val="11"/>
        <rFont val="游ゴシック Medium"/>
        <family val="3"/>
        <charset val="128"/>
      </rPr>
      <t>日本語</t>
    </r>
    <phoneticPr fontId="1"/>
  </si>
  <si>
    <r>
      <rPr>
        <sz val="11"/>
        <rFont val="游ゴシック Medium"/>
        <family val="3"/>
        <charset val="128"/>
      </rPr>
      <t>日本語</t>
    </r>
  </si>
  <si>
    <r>
      <rPr>
        <b/>
        <sz val="11"/>
        <rFont val="游ゴシック Medium"/>
        <family val="3"/>
        <charset val="128"/>
      </rPr>
      <t>資料ＩＤ</t>
    </r>
    <phoneticPr fontId="1"/>
  </si>
  <si>
    <r>
      <t xml:space="preserve">2010/11/19 </t>
    </r>
    <r>
      <rPr>
        <sz val="11"/>
        <rFont val="游ゴシック Medium"/>
        <family val="3"/>
        <charset val="128"/>
      </rPr>
      <t>にも。</t>
    </r>
    <phoneticPr fontId="1"/>
  </si>
  <si>
    <r>
      <rPr>
        <sz val="11"/>
        <rFont val="游ゴシック Medium"/>
        <family val="3"/>
        <charset val="128"/>
      </rPr>
      <t>まほ</t>
    </r>
    <phoneticPr fontId="1"/>
  </si>
  <si>
    <r>
      <t xml:space="preserve">document </t>
    </r>
    <r>
      <rPr>
        <sz val="11"/>
        <rFont val="游ゴシック Medium"/>
        <family val="3"/>
        <charset val="128"/>
      </rPr>
      <t>屠場</t>
    </r>
    <rPh sb="0" eb="8">
      <t>ドキュメント</t>
    </rPh>
    <rPh sb="9" eb="11">
      <t>トバ</t>
    </rPh>
    <phoneticPr fontId="1"/>
  </si>
  <si>
    <r>
      <rPr>
        <b/>
        <sz val="10"/>
        <color indexed="33"/>
        <rFont val="游ゴシック Medium"/>
        <family val="3"/>
        <charset val="128"/>
      </rPr>
      <t>水木しげるの</t>
    </r>
    <r>
      <rPr>
        <b/>
        <sz val="11"/>
        <color indexed="33"/>
        <rFont val="游ゴシック Medium"/>
        <family val="3"/>
        <charset val="128"/>
      </rPr>
      <t>不思議草子</t>
    </r>
    <rPh sb="6" eb="9">
      <t>フシギ</t>
    </rPh>
    <rPh sb="9" eb="11">
      <t>ソウシ</t>
    </rPh>
    <phoneticPr fontId="1"/>
  </si>
  <si>
    <r>
      <rPr>
        <b/>
        <sz val="11"/>
        <rFont val="游ゴシック Medium"/>
        <family val="3"/>
        <charset val="128"/>
      </rPr>
      <t>組名</t>
    </r>
    <rPh sb="0" eb="1">
      <t>クミ</t>
    </rPh>
    <rPh sb="1" eb="2">
      <t>メイ</t>
    </rPh>
    <phoneticPr fontId="1"/>
  </si>
  <si>
    <r>
      <rPr>
        <b/>
        <sz val="11"/>
        <rFont val="游ゴシック Medium"/>
        <family val="3"/>
        <charset val="128"/>
      </rPr>
      <t>枚組</t>
    </r>
    <rPh sb="0" eb="2">
      <t>マイグミ</t>
    </rPh>
    <phoneticPr fontId="1"/>
  </si>
  <si>
    <r>
      <rPr>
        <b/>
        <sz val="11"/>
        <rFont val="游ゴシック Medium"/>
        <family val="3"/>
        <charset val="128"/>
      </rPr>
      <t>分類</t>
    </r>
    <rPh sb="0" eb="2">
      <t>ブンルイ</t>
    </rPh>
    <phoneticPr fontId="1"/>
  </si>
  <si>
    <r>
      <rPr>
        <b/>
        <sz val="11"/>
        <rFont val="游ゴシック Medium"/>
        <family val="3"/>
        <charset val="128"/>
      </rPr>
      <t>細目</t>
    </r>
    <rPh sb="0" eb="2">
      <t>サイモク</t>
    </rPh>
    <phoneticPr fontId="1"/>
  </si>
  <si>
    <r>
      <rPr>
        <b/>
        <sz val="11"/>
        <rFont val="游ゴシック Medium"/>
        <family val="3"/>
        <charset val="128"/>
      </rPr>
      <t>作</t>
    </r>
    <rPh sb="0" eb="1">
      <t>サク</t>
    </rPh>
    <phoneticPr fontId="1"/>
  </si>
  <si>
    <r>
      <rPr>
        <b/>
        <sz val="11"/>
        <rFont val="游ゴシック Medium"/>
        <family val="3"/>
        <charset val="128"/>
      </rPr>
      <t>訳編</t>
    </r>
    <rPh sb="0" eb="1">
      <t>ヤク</t>
    </rPh>
    <rPh sb="1" eb="2">
      <t>ヘン</t>
    </rPh>
    <phoneticPr fontId="1"/>
  </si>
  <si>
    <r>
      <rPr>
        <b/>
        <sz val="11"/>
        <rFont val="游ゴシック Medium"/>
        <family val="3"/>
        <charset val="128"/>
      </rPr>
      <t>生没年</t>
    </r>
    <rPh sb="0" eb="3">
      <t>セイボツネン</t>
    </rPh>
    <phoneticPr fontId="1"/>
  </si>
  <si>
    <r>
      <rPr>
        <b/>
        <sz val="11"/>
        <rFont val="游ゴシック Medium"/>
        <family val="3"/>
        <charset val="128"/>
      </rPr>
      <t>生没年</t>
    </r>
    <r>
      <rPr>
        <b/>
        <sz val="11"/>
        <rFont val="Consolas"/>
        <family val="3"/>
      </rPr>
      <t>2</t>
    </r>
    <rPh sb="0" eb="3">
      <t>セイボツネン</t>
    </rPh>
    <phoneticPr fontId="1"/>
  </si>
  <si>
    <r>
      <rPr>
        <b/>
        <sz val="11"/>
        <rFont val="游ゴシック Medium"/>
        <family val="3"/>
        <charset val="128"/>
      </rPr>
      <t>購入</t>
    </r>
    <r>
      <rPr>
        <b/>
        <sz val="11"/>
        <rFont val="Consolas"/>
        <family val="3"/>
      </rPr>
      <t>Date</t>
    </r>
    <rPh sb="0" eb="2">
      <t>コウニュウ</t>
    </rPh>
    <phoneticPr fontId="1"/>
  </si>
  <si>
    <r>
      <rPr>
        <b/>
        <sz val="11"/>
        <rFont val="游ゴシック Medium"/>
        <family val="3"/>
        <charset val="128"/>
      </rPr>
      <t>定価</t>
    </r>
    <rPh sb="0" eb="2">
      <t>テイカ</t>
    </rPh>
    <phoneticPr fontId="1"/>
  </si>
  <si>
    <r>
      <rPr>
        <b/>
        <sz val="11"/>
        <rFont val="游ゴシック Medium"/>
        <family val="3"/>
        <charset val="128"/>
      </rPr>
      <t>購入値段</t>
    </r>
    <rPh sb="0" eb="4">
      <t>コウニュウネダン</t>
    </rPh>
    <phoneticPr fontId="1"/>
  </si>
  <si>
    <r>
      <rPr>
        <b/>
        <sz val="11"/>
        <rFont val="游ゴシック Medium"/>
        <family val="3"/>
        <charset val="128"/>
      </rPr>
      <t>購入場所</t>
    </r>
    <rPh sb="0" eb="2">
      <t>コウニュウ</t>
    </rPh>
    <rPh sb="2" eb="4">
      <t>バショ</t>
    </rPh>
    <phoneticPr fontId="1"/>
  </si>
  <si>
    <r>
      <rPr>
        <b/>
        <sz val="11"/>
        <rFont val="游ゴシック Medium"/>
        <family val="3"/>
        <charset val="128"/>
      </rPr>
      <t>備考</t>
    </r>
    <rPh sb="0" eb="2">
      <t>ビコウ</t>
    </rPh>
    <phoneticPr fontId="1"/>
  </si>
  <si>
    <r>
      <rPr>
        <sz val="11"/>
        <rFont val="游ゴシック Medium"/>
        <family val="3"/>
        <charset val="128"/>
      </rPr>
      <t>散文</t>
    </r>
    <rPh sb="0" eb="2">
      <t>サンブン</t>
    </rPh>
    <phoneticPr fontId="1"/>
  </si>
  <si>
    <r>
      <rPr>
        <sz val="11"/>
        <rFont val="游ゴシック Medium"/>
        <family val="3"/>
        <charset val="128"/>
      </rPr>
      <t>及び</t>
    </r>
    <rPh sb="0" eb="1">
      <t>オヨ</t>
    </rPh>
    <phoneticPr fontId="1"/>
  </si>
  <si>
    <r>
      <rPr>
        <sz val="11"/>
        <rFont val="游ゴシック Medium"/>
        <family val="3"/>
        <charset val="128"/>
      </rPr>
      <t>キーリッヒ</t>
    </r>
    <r>
      <rPr>
        <sz val="11"/>
        <rFont val="Consolas"/>
        <family val="3"/>
      </rPr>
      <t>,</t>
    </r>
    <r>
      <rPr>
        <sz val="11"/>
        <rFont val="游ゴシック Medium"/>
        <family val="3"/>
        <charset val="128"/>
      </rPr>
      <t>ヴォルフ</t>
    </r>
    <r>
      <rPr>
        <sz val="11"/>
        <rFont val="Consolas"/>
        <family val="3"/>
      </rPr>
      <t>/etc.</t>
    </r>
    <phoneticPr fontId="1"/>
  </si>
  <si>
    <r>
      <rPr>
        <sz val="11"/>
        <rFont val="游ゴシック Medium"/>
        <family val="3"/>
        <charset val="128"/>
      </rPr>
      <t>米山俊直･野口武徳･山下諭一</t>
    </r>
    <r>
      <rPr>
        <sz val="11"/>
        <rFont val="Consolas"/>
        <family val="3"/>
      </rPr>
      <t>/</t>
    </r>
    <r>
      <rPr>
        <sz val="11"/>
        <rFont val="游ゴシック Medium"/>
        <family val="3"/>
        <charset val="128"/>
      </rPr>
      <t>石毛直道</t>
    </r>
    <rPh sb="0" eb="2">
      <t>ヨネヤマ</t>
    </rPh>
    <rPh sb="2" eb="4">
      <t>トシナオ</t>
    </rPh>
    <rPh sb="5" eb="7">
      <t>ノグチ</t>
    </rPh>
    <rPh sb="7" eb="9">
      <t>タケノリ</t>
    </rPh>
    <rPh sb="10" eb="14">
      <t>ヤマシタユイチ</t>
    </rPh>
    <rPh sb="15" eb="17">
      <t>イシゲ</t>
    </rPh>
    <rPh sb="17" eb="19">
      <t>ナオミチ</t>
    </rPh>
    <phoneticPr fontId="1"/>
  </si>
  <si>
    <r>
      <rPr>
        <sz val="11"/>
        <rFont val="游ゴシック Medium"/>
        <family val="3"/>
        <charset val="128"/>
      </rPr>
      <t>訳編</t>
    </r>
    <r>
      <rPr>
        <sz val="11"/>
        <rFont val="Consolas"/>
        <family val="3"/>
      </rPr>
      <t>/</t>
    </r>
    <rPh sb="0" eb="1">
      <t>ヤク</t>
    </rPh>
    <rPh sb="1" eb="2">
      <t>ヘン</t>
    </rPh>
    <phoneticPr fontId="1"/>
  </si>
  <si>
    <r>
      <rPr>
        <b/>
        <sz val="11"/>
        <color indexed="33"/>
        <rFont val="游ゴシック Medium"/>
        <family val="3"/>
        <charset val="128"/>
      </rPr>
      <t>世界の民族と生活</t>
    </r>
    <r>
      <rPr>
        <b/>
        <sz val="11"/>
        <color indexed="33"/>
        <rFont val="Consolas"/>
        <family val="3"/>
      </rPr>
      <t>/Volken en Stammen</t>
    </r>
    <rPh sb="0" eb="2">
      <t>セカイ</t>
    </rPh>
    <rPh sb="3" eb="5">
      <t>ミンゾク</t>
    </rPh>
    <rPh sb="6" eb="8">
      <t>セイカツ</t>
    </rPh>
    <phoneticPr fontId="1"/>
  </si>
  <si>
    <r>
      <t>Spectrum(Hollande)/</t>
    </r>
    <r>
      <rPr>
        <sz val="11"/>
        <rFont val="游ゴシック Medium"/>
        <family val="3"/>
        <charset val="128"/>
      </rPr>
      <t>ぎょうせい</t>
    </r>
    <r>
      <rPr>
        <sz val="11"/>
        <rFont val="Consolas"/>
        <family val="3"/>
      </rPr>
      <t>/</t>
    </r>
    <r>
      <rPr>
        <sz val="11"/>
        <rFont val="游ゴシック Medium"/>
        <family val="3"/>
        <charset val="128"/>
      </rPr>
      <t>㈱</t>
    </r>
    <r>
      <rPr>
        <sz val="11"/>
        <rFont val="Consolas"/>
        <family val="3"/>
      </rPr>
      <t>/1981</t>
    </r>
    <rPh sb="0" eb="8">
      <t>スペクトラム</t>
    </rPh>
    <rPh sb="9" eb="17">
      <t>オランダ</t>
    </rPh>
    <phoneticPr fontId="1"/>
  </si>
  <si>
    <r>
      <rPr>
        <b/>
        <sz val="11"/>
        <color indexed="33"/>
        <rFont val="游ゴシック Medium"/>
        <family val="3"/>
        <charset val="128"/>
      </rPr>
      <t>世界の民族</t>
    </r>
    <rPh sb="0" eb="2">
      <t>セカイ</t>
    </rPh>
    <rPh sb="3" eb="5">
      <t>ミンゾク</t>
    </rPh>
    <phoneticPr fontId="1"/>
  </si>
  <si>
    <r>
      <rPr>
        <sz val="11"/>
        <rFont val="游ゴシック Medium"/>
        <family val="3"/>
        <charset val="128"/>
      </rPr>
      <t>平凡社</t>
    </r>
    <rPh sb="0" eb="3">
      <t>ヘイボンシャ</t>
    </rPh>
    <phoneticPr fontId="1"/>
  </si>
  <si>
    <r>
      <rPr>
        <sz val="11"/>
        <rFont val="游ゴシック Medium"/>
        <family val="3"/>
        <charset val="128"/>
      </rPr>
      <t>高野書店</t>
    </r>
    <rPh sb="0" eb="4">
      <t>タカノショテン</t>
    </rPh>
    <phoneticPr fontId="1"/>
  </si>
  <si>
    <r>
      <rPr>
        <b/>
        <sz val="11"/>
        <color indexed="33"/>
        <rFont val="游ゴシック Medium"/>
        <family val="3"/>
        <charset val="128"/>
      </rPr>
      <t>ロマンツアー音楽世界めぐり</t>
    </r>
    <rPh sb="6" eb="8">
      <t>オンガク</t>
    </rPh>
    <rPh sb="8" eb="10">
      <t>セカイ</t>
    </rPh>
    <phoneticPr fontId="1"/>
  </si>
  <si>
    <r>
      <t>33</t>
    </r>
    <r>
      <rPr>
        <sz val="11"/>
        <rFont val="游ゴシック Medium"/>
        <family val="3"/>
        <charset val="128"/>
      </rPr>
      <t>回転</t>
    </r>
    <r>
      <rPr>
        <sz val="11"/>
        <rFont val="Consolas"/>
        <family val="3"/>
      </rPr>
      <t>SP</t>
    </r>
    <r>
      <rPr>
        <sz val="11"/>
        <rFont val="游ゴシック Medium"/>
        <family val="3"/>
        <charset val="128"/>
      </rPr>
      <t>付</t>
    </r>
    <rPh sb="2" eb="4">
      <t>カイテン</t>
    </rPh>
    <rPh sb="6" eb="7">
      <t>ツキ</t>
    </rPh>
    <phoneticPr fontId="1"/>
  </si>
  <si>
    <r>
      <rPr>
        <sz val="11"/>
        <rFont val="游ゴシック Medium"/>
        <family val="3"/>
        <charset val="128"/>
      </rPr>
      <t>千趣会</t>
    </r>
    <rPh sb="0" eb="3">
      <t>センシュカイ</t>
    </rPh>
    <phoneticPr fontId="1"/>
  </si>
  <si>
    <r>
      <rPr>
        <sz val="11"/>
        <rFont val="游ゴシック Medium"/>
        <family val="3"/>
        <charset val="128"/>
      </rPr>
      <t>坂野比呂志</t>
    </r>
    <rPh sb="0" eb="2">
      <t>バンノ</t>
    </rPh>
    <rPh sb="2" eb="5">
      <t>ヒロシ</t>
    </rPh>
    <phoneticPr fontId="1"/>
  </si>
  <si>
    <r>
      <rPr>
        <b/>
        <sz val="11"/>
        <color indexed="33"/>
        <rFont val="游ゴシック Medium"/>
        <family val="3"/>
        <charset val="128"/>
      </rPr>
      <t>香具師の口上集</t>
    </r>
    <r>
      <rPr>
        <b/>
        <sz val="11"/>
        <color indexed="33"/>
        <rFont val="Consolas"/>
        <family val="3"/>
      </rPr>
      <t>(CD</t>
    </r>
    <r>
      <rPr>
        <b/>
        <sz val="11"/>
        <color indexed="33"/>
        <rFont val="游ゴシック Medium"/>
        <family val="3"/>
        <charset val="128"/>
      </rPr>
      <t>付</t>
    </r>
    <r>
      <rPr>
        <b/>
        <sz val="11"/>
        <color indexed="33"/>
        <rFont val="Consolas"/>
        <family val="3"/>
      </rPr>
      <t>)/</t>
    </r>
    <r>
      <rPr>
        <b/>
        <sz val="11"/>
        <color indexed="33"/>
        <rFont val="游ゴシック Medium"/>
        <family val="3"/>
        <charset val="128"/>
      </rPr>
      <t>新版</t>
    </r>
    <rPh sb="0" eb="3">
      <t>ヤシ</t>
    </rPh>
    <rPh sb="4" eb="6">
      <t>コウジョウ</t>
    </rPh>
    <rPh sb="6" eb="7">
      <t>シュウ</t>
    </rPh>
    <rPh sb="10" eb="11">
      <t>ツキ</t>
    </rPh>
    <rPh sb="13" eb="15">
      <t>シンバン</t>
    </rPh>
    <phoneticPr fontId="1"/>
  </si>
  <si>
    <r>
      <rPr>
        <sz val="11"/>
        <rFont val="游ゴシック Medium"/>
        <family val="3"/>
        <charset val="128"/>
      </rPr>
      <t>創拓社</t>
    </r>
    <rPh sb="0" eb="3">
      <t>ソウタクシャ</t>
    </rPh>
    <phoneticPr fontId="1"/>
  </si>
  <si>
    <r>
      <rPr>
        <sz val="11"/>
        <rFont val="游ゴシック Medium"/>
        <family val="3"/>
        <charset val="128"/>
      </rPr>
      <t>松浦政泰</t>
    </r>
    <rPh sb="0" eb="2">
      <t>マツウラ</t>
    </rPh>
    <rPh sb="2" eb="4">
      <t>マサヤス</t>
    </rPh>
    <phoneticPr fontId="1"/>
  </si>
  <si>
    <r>
      <rPr>
        <sz val="11"/>
        <rFont val="游ゴシック Medium"/>
        <family val="3"/>
        <charset val="128"/>
      </rPr>
      <t>編</t>
    </r>
    <rPh sb="0" eb="1">
      <t>ヘン</t>
    </rPh>
    <phoneticPr fontId="1"/>
  </si>
  <si>
    <r>
      <rPr>
        <sz val="11"/>
        <rFont val="游ゴシック Medium"/>
        <family val="3"/>
        <charset val="128"/>
      </rPr>
      <t>秦</t>
    </r>
    <r>
      <rPr>
        <sz val="11"/>
        <rFont val="Consolas"/>
        <family val="3"/>
      </rPr>
      <t xml:space="preserve"> </t>
    </r>
    <r>
      <rPr>
        <sz val="11"/>
        <rFont val="游ゴシック Medium"/>
        <family val="3"/>
        <charset val="128"/>
      </rPr>
      <t>芳江</t>
    </r>
    <rPh sb="0" eb="1">
      <t>ハタ</t>
    </rPh>
    <rPh sb="2" eb="4">
      <t>ヨシエ</t>
    </rPh>
    <phoneticPr fontId="1"/>
  </si>
  <si>
    <r>
      <rPr>
        <sz val="11"/>
        <rFont val="游ゴシック Medium"/>
        <family val="3"/>
        <charset val="128"/>
      </rPr>
      <t>解説･監修</t>
    </r>
    <rPh sb="0" eb="2">
      <t>カイセツ</t>
    </rPh>
    <rPh sb="3" eb="5">
      <t>カンシュウ</t>
    </rPh>
    <phoneticPr fontId="1"/>
  </si>
  <si>
    <r>
      <rPr>
        <sz val="11"/>
        <rFont val="游ゴシック Medium"/>
        <family val="3"/>
        <charset val="128"/>
      </rPr>
      <t>世界遊戯法大全</t>
    </r>
    <rPh sb="0" eb="2">
      <t>セカイ</t>
    </rPh>
    <rPh sb="2" eb="4">
      <t>ユウギ</t>
    </rPh>
    <rPh sb="4" eb="5">
      <t>ホウ</t>
    </rPh>
    <rPh sb="5" eb="7">
      <t>タイゼン</t>
    </rPh>
    <phoneticPr fontId="1"/>
  </si>
  <si>
    <r>
      <rPr>
        <sz val="11"/>
        <rFont val="游ゴシック Medium"/>
        <family val="3"/>
        <charset val="128"/>
      </rPr>
      <t>明治</t>
    </r>
    <r>
      <rPr>
        <sz val="11"/>
        <rFont val="Consolas"/>
        <family val="3"/>
      </rPr>
      <t>40</t>
    </r>
    <r>
      <rPr>
        <sz val="11"/>
        <rFont val="游ゴシック Medium"/>
        <family val="3"/>
        <charset val="128"/>
      </rPr>
      <t>年</t>
    </r>
    <r>
      <rPr>
        <sz val="11"/>
        <rFont val="Consolas"/>
        <family val="3"/>
      </rPr>
      <t>,1984</t>
    </r>
    <rPh sb="0" eb="2">
      <t>メイジ</t>
    </rPh>
    <rPh sb="4" eb="5">
      <t>ネン</t>
    </rPh>
    <phoneticPr fontId="1"/>
  </si>
  <si>
    <r>
      <rPr>
        <sz val="11"/>
        <rFont val="游ゴシック Medium"/>
        <family val="3"/>
        <charset val="128"/>
      </rPr>
      <t>本邦書籍㈱</t>
    </r>
    <rPh sb="0" eb="2">
      <t>ホンポウ</t>
    </rPh>
    <rPh sb="2" eb="4">
      <t>ショセキ</t>
    </rPh>
    <phoneticPr fontId="1"/>
  </si>
  <si>
    <r>
      <rPr>
        <sz val="11"/>
        <rFont val="游ゴシック Medium"/>
        <family val="3"/>
        <charset val="128"/>
      </rPr>
      <t>雑司が谷図書館</t>
    </r>
    <rPh sb="0" eb="2">
      <t>ゾウシ</t>
    </rPh>
    <rPh sb="3" eb="4">
      <t>ヤ</t>
    </rPh>
    <rPh sb="4" eb="7">
      <t>トショカン</t>
    </rPh>
    <phoneticPr fontId="1"/>
  </si>
  <si>
    <r>
      <rPr>
        <sz val="11"/>
        <rFont val="游ゴシック Medium"/>
        <family val="3"/>
        <charset val="128"/>
      </rPr>
      <t>除籍本</t>
    </r>
    <rPh sb="0" eb="2">
      <t>ジョセキ</t>
    </rPh>
    <rPh sb="2" eb="3">
      <t>ボン</t>
    </rPh>
    <phoneticPr fontId="1"/>
  </si>
  <si>
    <r>
      <rPr>
        <sz val="11"/>
        <rFont val="游ゴシック Medium"/>
        <family val="3"/>
        <charset val="128"/>
      </rPr>
      <t>図鑑</t>
    </r>
    <rPh sb="0" eb="2">
      <t>ズカン</t>
    </rPh>
    <phoneticPr fontId="1"/>
  </si>
  <si>
    <r>
      <rPr>
        <sz val="11"/>
        <rFont val="游ゴシック Medium"/>
        <family val="3"/>
        <charset val="128"/>
      </rPr>
      <t>小林頼子</t>
    </r>
    <rPh sb="0" eb="2">
      <t>コバヤシ</t>
    </rPh>
    <rPh sb="2" eb="4">
      <t>ヨリコ</t>
    </rPh>
    <phoneticPr fontId="1"/>
  </si>
  <si>
    <r>
      <rPr>
        <sz val="11"/>
        <rFont val="游ゴシック Medium"/>
        <family val="3"/>
        <charset val="128"/>
      </rPr>
      <t>訳著</t>
    </r>
    <rPh sb="0" eb="1">
      <t>ヤク</t>
    </rPh>
    <rPh sb="1" eb="2">
      <t>チョ</t>
    </rPh>
    <phoneticPr fontId="1"/>
  </si>
  <si>
    <r>
      <rPr>
        <sz val="11"/>
        <rFont val="游ゴシック Medium"/>
        <family val="3"/>
        <charset val="128"/>
      </rPr>
      <t>池田みゆき</t>
    </r>
    <r>
      <rPr>
        <sz val="11"/>
        <rFont val="Consolas"/>
        <family val="3"/>
      </rPr>
      <t>:</t>
    </r>
    <r>
      <rPr>
        <sz val="11"/>
        <rFont val="游ゴシック Medium"/>
        <family val="3"/>
        <charset val="128"/>
      </rPr>
      <t>訳</t>
    </r>
    <rPh sb="0" eb="2">
      <t>イケダ</t>
    </rPh>
    <rPh sb="6" eb="7">
      <t>ヤク</t>
    </rPh>
    <phoneticPr fontId="1"/>
  </si>
  <si>
    <r>
      <rPr>
        <sz val="11"/>
        <rFont val="游ゴシック Medium"/>
        <family val="3"/>
        <charset val="128"/>
      </rPr>
      <t>訳</t>
    </r>
    <rPh sb="0" eb="1">
      <t>ヤク</t>
    </rPh>
    <phoneticPr fontId="1"/>
  </si>
  <si>
    <r>
      <rPr>
        <sz val="11"/>
        <rFont val="游ゴシック Medium"/>
        <family val="3"/>
        <charset val="128"/>
      </rPr>
      <t>ヤン・ライケン</t>
    </r>
    <r>
      <rPr>
        <sz val="11"/>
        <rFont val="Consolas"/>
        <family val="3"/>
      </rPr>
      <t xml:space="preserve"> </t>
    </r>
    <r>
      <rPr>
        <sz val="11"/>
        <rFont val="游ゴシック Medium"/>
        <family val="3"/>
        <charset val="128"/>
      </rPr>
      <t>西洋職人図集</t>
    </r>
    <r>
      <rPr>
        <sz val="11"/>
        <rFont val="Consolas"/>
        <family val="3"/>
      </rPr>
      <t xml:space="preserve"> - 17</t>
    </r>
    <r>
      <rPr>
        <sz val="11"/>
        <rFont val="游ゴシック Medium"/>
        <family val="3"/>
        <charset val="128"/>
      </rPr>
      <t>世紀オランダの日常生活</t>
    </r>
    <r>
      <rPr>
        <sz val="11"/>
        <rFont val="Consolas"/>
        <family val="3"/>
      </rPr>
      <t xml:space="preserve"> -</t>
    </r>
    <rPh sb="8" eb="10">
      <t>セイヨウ</t>
    </rPh>
    <rPh sb="10" eb="12">
      <t>ショクニン</t>
    </rPh>
    <rPh sb="12" eb="14">
      <t>ズシュウ</t>
    </rPh>
    <rPh sb="19" eb="21">
      <t>セイキ</t>
    </rPh>
    <rPh sb="26" eb="28">
      <t>ニチジョウ</t>
    </rPh>
    <rPh sb="28" eb="30">
      <t>セイカツ</t>
    </rPh>
    <phoneticPr fontId="1"/>
  </si>
  <si>
    <r>
      <t>Menselyk Bedryf/</t>
    </r>
    <r>
      <rPr>
        <sz val="11"/>
        <rFont val="游ゴシック Medium"/>
        <family val="3"/>
        <charset val="128"/>
      </rPr>
      <t>人の営み</t>
    </r>
    <rPh sb="16" eb="17">
      <t>ヒト</t>
    </rPh>
    <rPh sb="18" eb="19">
      <t>イトナ</t>
    </rPh>
    <phoneticPr fontId="1"/>
  </si>
  <si>
    <r>
      <rPr>
        <sz val="11"/>
        <rFont val="游ゴシック Medium"/>
        <family val="3"/>
        <charset val="128"/>
      </rPr>
      <t>八坂書房</t>
    </r>
    <rPh sb="0" eb="2">
      <t>ヤサカ</t>
    </rPh>
    <rPh sb="2" eb="4">
      <t>ショボウ</t>
    </rPh>
    <phoneticPr fontId="1"/>
  </si>
  <si>
    <r>
      <rPr>
        <sz val="11"/>
        <rFont val="游ゴシック Medium"/>
        <family val="3"/>
        <charset val="128"/>
      </rPr>
      <t>サンシャイン古本</t>
    </r>
    <rPh sb="6" eb="8">
      <t>フルホン</t>
    </rPh>
    <phoneticPr fontId="1"/>
  </si>
  <si>
    <r>
      <rPr>
        <sz val="11"/>
        <rFont val="游ゴシック Medium"/>
        <family val="3"/>
        <charset val="128"/>
      </rPr>
      <t>永井書店</t>
    </r>
    <rPh sb="0" eb="2">
      <t>ナガイ</t>
    </rPh>
    <rPh sb="2" eb="4">
      <t>ショテン</t>
    </rPh>
    <phoneticPr fontId="1"/>
  </si>
  <si>
    <r>
      <rPr>
        <b/>
        <sz val="11"/>
        <color indexed="33"/>
        <rFont val="游ゴシック Medium"/>
        <family val="3"/>
        <charset val="128"/>
      </rPr>
      <t>日本残酷物語</t>
    </r>
    <r>
      <rPr>
        <b/>
        <sz val="11"/>
        <color indexed="33"/>
        <rFont val="Consolas"/>
        <family val="3"/>
      </rPr>
      <t>(</t>
    </r>
    <r>
      <rPr>
        <b/>
        <sz val="11"/>
        <color indexed="33"/>
        <rFont val="游ゴシック Medium"/>
        <family val="3"/>
        <charset val="128"/>
      </rPr>
      <t>第二部・忘れられた土地</t>
    </r>
    <r>
      <rPr>
        <b/>
        <sz val="11"/>
        <color indexed="33"/>
        <rFont val="Consolas"/>
        <family val="3"/>
      </rPr>
      <t xml:space="preserve"> </t>
    </r>
    <r>
      <rPr>
        <b/>
        <sz val="11"/>
        <color indexed="33"/>
        <rFont val="游ゴシック Medium"/>
        <family val="3"/>
        <charset val="128"/>
      </rPr>
      <t>を始めとする全巻</t>
    </r>
    <r>
      <rPr>
        <b/>
        <sz val="11"/>
        <color indexed="33"/>
        <rFont val="Consolas"/>
        <family val="3"/>
      </rPr>
      <t>)</t>
    </r>
    <rPh sb="0" eb="2">
      <t>ニホン</t>
    </rPh>
    <rPh sb="2" eb="4">
      <t>ザンコク</t>
    </rPh>
    <rPh sb="4" eb="6">
      <t>モノガタリ</t>
    </rPh>
    <rPh sb="7" eb="10">
      <t>ダイニブ</t>
    </rPh>
    <rPh sb="11" eb="12">
      <t>ワス</t>
    </rPh>
    <rPh sb="16" eb="18">
      <t>トチ</t>
    </rPh>
    <rPh sb="20" eb="21">
      <t>ハジ</t>
    </rPh>
    <rPh sb="25" eb="27">
      <t>ゼンカン</t>
    </rPh>
    <phoneticPr fontId="1"/>
  </si>
  <si>
    <r>
      <rPr>
        <sz val="11"/>
        <rFont val="游ゴシック Medium"/>
        <family val="3"/>
        <charset val="128"/>
      </rPr>
      <t>古本</t>
    </r>
    <rPh sb="0" eb="2">
      <t>フルホン</t>
    </rPh>
    <phoneticPr fontId="1"/>
  </si>
  <si>
    <r>
      <rPr>
        <b/>
        <sz val="11"/>
        <color indexed="33"/>
        <rFont val="游ゴシック Medium"/>
        <family val="3"/>
        <charset val="128"/>
      </rPr>
      <t>中国少数民族（中国語で書かれている）</t>
    </r>
    <rPh sb="0" eb="2">
      <t>チュウゴク</t>
    </rPh>
    <rPh sb="2" eb="6">
      <t>ショウスウミンゾク</t>
    </rPh>
    <rPh sb="7" eb="10">
      <t>チュウゴクゴ</t>
    </rPh>
    <rPh sb="11" eb="12">
      <t>カ</t>
    </rPh>
    <phoneticPr fontId="1"/>
  </si>
  <si>
    <r>
      <rPr>
        <sz val="11"/>
        <rFont val="游ゴシック Medium"/>
        <family val="3"/>
        <charset val="128"/>
      </rPr>
      <t>三田の古本屋</t>
    </r>
    <rPh sb="0" eb="2">
      <t>ミタ</t>
    </rPh>
    <rPh sb="3" eb="6">
      <t>フルホンヤ</t>
    </rPh>
    <phoneticPr fontId="1"/>
  </si>
  <si>
    <r>
      <rPr>
        <b/>
        <sz val="11"/>
        <color indexed="33"/>
        <rFont val="游ゴシック Medium"/>
        <family val="3"/>
        <charset val="128"/>
      </rPr>
      <t>中国少数民族の歌舞と楽器</t>
    </r>
    <rPh sb="0" eb="2">
      <t>チュウゴク</t>
    </rPh>
    <rPh sb="2" eb="6">
      <t>ショウスウミンゾク</t>
    </rPh>
    <rPh sb="7" eb="9">
      <t>カブ</t>
    </rPh>
    <rPh sb="10" eb="12">
      <t>ガッキ</t>
    </rPh>
    <phoneticPr fontId="1"/>
  </si>
  <si>
    <r>
      <rPr>
        <sz val="11"/>
        <rFont val="游ゴシック Medium"/>
        <family val="3"/>
        <charset val="128"/>
      </rPr>
      <t>中国民族出版社</t>
    </r>
    <r>
      <rPr>
        <sz val="11"/>
        <rFont val="Consolas"/>
        <family val="3"/>
      </rPr>
      <t>+</t>
    </r>
    <r>
      <rPr>
        <sz val="11"/>
        <rFont val="游ゴシック Medium"/>
        <family val="3"/>
        <charset val="128"/>
      </rPr>
      <t>美乃美</t>
    </r>
    <rPh sb="0" eb="2">
      <t>チュウゴク</t>
    </rPh>
    <rPh sb="2" eb="4">
      <t>ミンゾク</t>
    </rPh>
    <rPh sb="4" eb="7">
      <t>シュッパンシャ</t>
    </rPh>
    <phoneticPr fontId="1"/>
  </si>
  <si>
    <r>
      <rPr>
        <sz val="11"/>
        <rFont val="游ゴシック Medium"/>
        <family val="3"/>
        <charset val="128"/>
      </rPr>
      <t>贈呈</t>
    </r>
    <rPh sb="0" eb="2">
      <t>ゾウテイ</t>
    </rPh>
    <phoneticPr fontId="1"/>
  </si>
  <si>
    <r>
      <rPr>
        <sz val="11"/>
        <rFont val="游ゴシック Medium"/>
        <family val="3"/>
        <charset val="128"/>
      </rPr>
      <t>市川捷護</t>
    </r>
    <r>
      <rPr>
        <sz val="11"/>
        <rFont val="Consolas"/>
        <family val="3"/>
      </rPr>
      <t>/</t>
    </r>
    <r>
      <rPr>
        <sz val="11"/>
        <rFont val="游ゴシック Medium"/>
        <family val="3"/>
        <charset val="128"/>
      </rPr>
      <t>市橋雄二</t>
    </r>
    <rPh sb="0" eb="2">
      <t>イチカワ</t>
    </rPh>
    <rPh sb="2" eb="4">
      <t>カツモリ</t>
    </rPh>
    <rPh sb="5" eb="7">
      <t>イチハシ</t>
    </rPh>
    <rPh sb="7" eb="9">
      <t>ユウジ</t>
    </rPh>
    <phoneticPr fontId="1"/>
  </si>
  <si>
    <r>
      <rPr>
        <b/>
        <sz val="11"/>
        <color indexed="33"/>
        <rFont val="游ゴシック Medium"/>
        <family val="3"/>
        <charset val="128"/>
      </rPr>
      <t>中国の少数民族をたずねて</t>
    </r>
    <rPh sb="0" eb="2">
      <t>チュウゴク</t>
    </rPh>
    <rPh sb="3" eb="7">
      <t>ショウスウミンゾク</t>
    </rPh>
    <phoneticPr fontId="1"/>
  </si>
  <si>
    <r>
      <rPr>
        <sz val="11"/>
        <rFont val="游ゴシック Medium"/>
        <family val="3"/>
        <charset val="128"/>
      </rPr>
      <t>白水社</t>
    </r>
    <rPh sb="0" eb="3">
      <t>ハクスイシャ</t>
    </rPh>
    <phoneticPr fontId="1"/>
  </si>
  <si>
    <r>
      <rPr>
        <sz val="11"/>
        <rFont val="游ゴシック Medium"/>
        <family val="3"/>
        <charset val="128"/>
      </rPr>
      <t>プチグラパブリッシング</t>
    </r>
    <phoneticPr fontId="1"/>
  </si>
  <si>
    <r>
      <rPr>
        <sz val="11"/>
        <rFont val="游ゴシック Medium"/>
        <family val="3"/>
        <charset val="128"/>
      </rPr>
      <t>発行</t>
    </r>
    <rPh sb="0" eb="2">
      <t>ハッコウ</t>
    </rPh>
    <phoneticPr fontId="1"/>
  </si>
  <si>
    <r>
      <t>Hot Drinks around the World/</t>
    </r>
    <r>
      <rPr>
        <sz val="11"/>
        <rFont val="游ゴシック Medium"/>
        <family val="3"/>
        <charset val="128"/>
      </rPr>
      <t>世界のホットドリンク</t>
    </r>
    <rPh sb="28" eb="30">
      <t>セカイ</t>
    </rPh>
    <phoneticPr fontId="1"/>
  </si>
  <si>
    <r>
      <t>amazon/goldchild</t>
    </r>
    <r>
      <rPr>
        <sz val="11"/>
        <rFont val="游ゴシック Medium"/>
        <family val="3"/>
        <charset val="128"/>
      </rPr>
      <t>金子秀樹</t>
    </r>
    <rPh sb="16" eb="18">
      <t>カネコ</t>
    </rPh>
    <rPh sb="18" eb="20">
      <t>ヒデキ</t>
    </rPh>
    <phoneticPr fontId="1"/>
  </si>
  <si>
    <r>
      <rPr>
        <sz val="11"/>
        <rFont val="游ゴシック Medium"/>
        <family val="3"/>
        <charset val="128"/>
      </rPr>
      <t>雑誌</t>
    </r>
    <rPh sb="0" eb="2">
      <t>ザッシ</t>
    </rPh>
    <phoneticPr fontId="1"/>
  </si>
  <si>
    <r>
      <rPr>
        <sz val="11"/>
        <rFont val="游ゴシック Medium"/>
        <family val="3"/>
        <charset val="128"/>
      </rPr>
      <t>内閣情報部</t>
    </r>
    <rPh sb="0" eb="2">
      <t>ナイカク</t>
    </rPh>
    <rPh sb="2" eb="4">
      <t>ジョウホウ</t>
    </rPh>
    <rPh sb="4" eb="5">
      <t>ブ</t>
    </rPh>
    <phoneticPr fontId="1"/>
  </si>
  <si>
    <r>
      <rPr>
        <sz val="11"/>
        <rFont val="游ゴシック Medium"/>
        <family val="3"/>
        <charset val="128"/>
      </rPr>
      <t>編輯</t>
    </r>
    <rPh sb="0" eb="1">
      <t>ヘン</t>
    </rPh>
    <rPh sb="1" eb="2">
      <t>シュウ</t>
    </rPh>
    <phoneticPr fontId="1"/>
  </si>
  <si>
    <r>
      <rPr>
        <b/>
        <sz val="11"/>
        <color indexed="33"/>
        <rFont val="游ゴシック Medium"/>
        <family val="3"/>
        <charset val="128"/>
      </rPr>
      <t>寫眞週報</t>
    </r>
    <r>
      <rPr>
        <b/>
        <sz val="11"/>
        <color indexed="33"/>
        <rFont val="Consolas"/>
        <family val="3"/>
      </rPr>
      <t xml:space="preserve"> - </t>
    </r>
    <r>
      <rPr>
        <b/>
        <sz val="11"/>
        <color indexed="33"/>
        <rFont val="游ゴシック Medium"/>
        <family val="3"/>
        <charset val="128"/>
      </rPr>
      <t>内蒙防共線</t>
    </r>
    <rPh sb="0" eb="2">
      <t>シャシン</t>
    </rPh>
    <rPh sb="2" eb="3">
      <t>シュウ</t>
    </rPh>
    <rPh sb="3" eb="4">
      <t>ホウ</t>
    </rPh>
    <rPh sb="7" eb="8">
      <t>ウチ</t>
    </rPh>
    <rPh sb="8" eb="9">
      <t>モウ</t>
    </rPh>
    <rPh sb="9" eb="11">
      <t>ボウキョウ</t>
    </rPh>
    <rPh sb="11" eb="12">
      <t>セン</t>
    </rPh>
    <phoneticPr fontId="1"/>
  </si>
  <si>
    <r>
      <rPr>
        <sz val="11"/>
        <rFont val="游ゴシック Medium"/>
        <family val="3"/>
        <charset val="128"/>
      </rPr>
      <t>第廿號</t>
    </r>
    <r>
      <rPr>
        <sz val="11"/>
        <rFont val="Consolas"/>
        <family val="3"/>
      </rPr>
      <t>/</t>
    </r>
    <r>
      <rPr>
        <sz val="11"/>
        <rFont val="游ゴシック Medium"/>
        <family val="3"/>
        <charset val="128"/>
      </rPr>
      <t>毎週水曜</t>
    </r>
    <rPh sb="0" eb="1">
      <t>ダイ</t>
    </rPh>
    <rPh sb="1" eb="2">
      <t>ニジュウ</t>
    </rPh>
    <rPh sb="2" eb="3">
      <t>ゴウ</t>
    </rPh>
    <rPh sb="4" eb="6">
      <t>マイシュウ</t>
    </rPh>
    <rPh sb="6" eb="8">
      <t>スイヨウ</t>
    </rPh>
    <phoneticPr fontId="1"/>
  </si>
  <si>
    <r>
      <rPr>
        <sz val="11"/>
        <rFont val="游ゴシック Medium"/>
        <family val="3"/>
        <charset val="128"/>
      </rPr>
      <t>内閣印刷局</t>
    </r>
    <rPh sb="0" eb="2">
      <t>ナイカク</t>
    </rPh>
    <rPh sb="2" eb="5">
      <t>インサツキョク</t>
    </rPh>
    <phoneticPr fontId="1"/>
  </si>
  <si>
    <r>
      <t>10</t>
    </r>
    <r>
      <rPr>
        <sz val="11"/>
        <rFont val="游ゴシック Medium"/>
        <family val="3"/>
        <charset val="128"/>
      </rPr>
      <t>銭</t>
    </r>
    <rPh sb="2" eb="3">
      <t>セン</t>
    </rPh>
    <phoneticPr fontId="1"/>
  </si>
  <si>
    <r>
      <rPr>
        <sz val="11"/>
        <rFont val="游ゴシック Medium"/>
        <family val="3"/>
        <charset val="128"/>
      </rPr>
      <t>大手町の古本屋</t>
    </r>
    <rPh sb="0" eb="3">
      <t>オオテマチ</t>
    </rPh>
    <rPh sb="4" eb="7">
      <t>フルホンヤ</t>
    </rPh>
    <phoneticPr fontId="1"/>
  </si>
  <si>
    <r>
      <rPr>
        <sz val="11"/>
        <rFont val="游ゴシック Medium"/>
        <family val="3"/>
        <charset val="128"/>
      </rPr>
      <t>間もなく支那事變一周年</t>
    </r>
    <rPh sb="0" eb="1">
      <t>マ</t>
    </rPh>
    <rPh sb="4" eb="6">
      <t>シナ</t>
    </rPh>
    <rPh sb="6" eb="8">
      <t>ジヘン</t>
    </rPh>
    <rPh sb="8" eb="11">
      <t>イッシュウネン</t>
    </rPh>
    <phoneticPr fontId="1"/>
  </si>
  <si>
    <r>
      <rPr>
        <sz val="11"/>
        <rFont val="游ゴシック Medium"/>
        <family val="3"/>
        <charset val="128"/>
      </rPr>
      <t>椿</t>
    </r>
    <r>
      <rPr>
        <sz val="11"/>
        <rFont val="Consolas"/>
        <family val="3"/>
      </rPr>
      <t xml:space="preserve"> </t>
    </r>
    <r>
      <rPr>
        <sz val="11"/>
        <rFont val="游ゴシック Medium"/>
        <family val="3"/>
        <charset val="128"/>
      </rPr>
      <t>芳人</t>
    </r>
    <rPh sb="0" eb="1">
      <t>ツバキ</t>
    </rPh>
    <rPh sb="2" eb="4">
      <t>ヨシト</t>
    </rPh>
    <phoneticPr fontId="1"/>
  </si>
  <si>
    <r>
      <rPr>
        <sz val="11"/>
        <rFont val="游ゴシック Medium"/>
        <family val="3"/>
        <charset val="128"/>
      </rPr>
      <t>編集兼発行人</t>
    </r>
    <rPh sb="0" eb="2">
      <t>ヘンシュウ</t>
    </rPh>
    <rPh sb="2" eb="3">
      <t>ケン</t>
    </rPh>
    <rPh sb="3" eb="6">
      <t>ハッコウニン</t>
    </rPh>
    <phoneticPr fontId="1"/>
  </si>
  <si>
    <r>
      <rPr>
        <b/>
        <sz val="11"/>
        <color indexed="33"/>
        <rFont val="游ゴシック Medium"/>
        <family val="3"/>
        <charset val="128"/>
      </rPr>
      <t>アメリカ絵単語辞典</t>
    </r>
    <r>
      <rPr>
        <b/>
        <sz val="11"/>
        <color indexed="33"/>
        <rFont val="Consolas"/>
        <family val="3"/>
      </rPr>
      <t>/The Pictorial Slang Dictionary</t>
    </r>
    <rPh sb="4" eb="5">
      <t>エ</t>
    </rPh>
    <rPh sb="5" eb="7">
      <t>タンゴ</t>
    </rPh>
    <rPh sb="7" eb="9">
      <t>ジテン</t>
    </rPh>
    <phoneticPr fontId="1"/>
  </si>
  <si>
    <r>
      <t>GRANPEAK 12</t>
    </r>
    <r>
      <rPr>
        <sz val="11"/>
        <rFont val="游ゴシック Medium"/>
        <family val="3"/>
        <charset val="128"/>
      </rPr>
      <t>月増刊号</t>
    </r>
    <rPh sb="11" eb="12">
      <t>ガツ</t>
    </rPh>
    <rPh sb="12" eb="15">
      <t>ゾウカンゴウ</t>
    </rPh>
    <phoneticPr fontId="1"/>
  </si>
  <si>
    <r>
      <rPr>
        <sz val="11"/>
        <rFont val="游ゴシック Medium"/>
        <family val="3"/>
        <charset val="128"/>
      </rPr>
      <t>蒼竜社</t>
    </r>
    <rPh sb="0" eb="3">
      <t>ソウリュウシャ</t>
    </rPh>
    <phoneticPr fontId="1"/>
  </si>
  <si>
    <r>
      <rPr>
        <sz val="11"/>
        <rFont val="游ゴシック Medium"/>
        <family val="3"/>
        <charset val="128"/>
      </rPr>
      <t>世界のポルノ小説を楽しむための主要セックス・ランゲージ大満載。</t>
    </r>
    <r>
      <rPr>
        <sz val="11"/>
        <rFont val="Consolas"/>
        <family val="3"/>
      </rPr>
      <t xml:space="preserve">/suppulments/ </t>
    </r>
    <r>
      <rPr>
        <sz val="11"/>
        <rFont val="游ゴシック Medium"/>
        <family val="3"/>
        <charset val="128"/>
      </rPr>
      <t>ポルノ瀆書</t>
    </r>
    <r>
      <rPr>
        <sz val="11"/>
        <rFont val="Consolas"/>
        <family val="3"/>
      </rPr>
      <t>29</t>
    </r>
    <r>
      <rPr>
        <sz val="11"/>
        <rFont val="游ゴシック Medium"/>
        <family val="3"/>
        <charset val="128"/>
      </rPr>
      <t>冊</t>
    </r>
    <r>
      <rPr>
        <sz val="11"/>
        <rFont val="Consolas"/>
        <family val="3"/>
      </rPr>
      <t xml:space="preserve"> </t>
    </r>
    <r>
      <rPr>
        <sz val="11"/>
        <rFont val="游ゴシック Medium"/>
        <family val="3"/>
        <charset val="128"/>
      </rPr>
      <t>中・高校生向けポルノ小説ダイジェスト</t>
    </r>
    <r>
      <rPr>
        <sz val="11"/>
        <rFont val="Consolas"/>
        <family val="3"/>
      </rPr>
      <t>&lt;</t>
    </r>
    <r>
      <rPr>
        <sz val="11"/>
        <rFont val="游ゴシック Medium"/>
        <family val="3"/>
        <charset val="128"/>
      </rPr>
      <t>入手方法付</t>
    </r>
    <r>
      <rPr>
        <sz val="11"/>
        <rFont val="Consolas"/>
        <family val="3"/>
      </rPr>
      <t>&gt;/</t>
    </r>
    <r>
      <rPr>
        <sz val="11"/>
        <rFont val="游ゴシック Medium"/>
        <family val="3"/>
        <charset val="128"/>
      </rPr>
      <t>性語早引索引</t>
    </r>
    <r>
      <rPr>
        <sz val="11"/>
        <rFont val="Consolas"/>
        <family val="3"/>
      </rPr>
      <t>/</t>
    </r>
    <r>
      <rPr>
        <sz val="11"/>
        <rFont val="游ゴシック Medium"/>
        <family val="3"/>
        <charset val="128"/>
      </rPr>
      <t>俗語辞典紹介</t>
    </r>
    <rPh sb="0" eb="2">
      <t>セカイ</t>
    </rPh>
    <rPh sb="6" eb="8">
      <t>ショウセツ</t>
    </rPh>
    <rPh sb="9" eb="10">
      <t>タノ</t>
    </rPh>
    <rPh sb="15" eb="17">
      <t>シュヨウ</t>
    </rPh>
    <rPh sb="27" eb="28">
      <t>ダイ</t>
    </rPh>
    <rPh sb="28" eb="30">
      <t>マンサイ</t>
    </rPh>
    <rPh sb="48" eb="49">
      <t>トク</t>
    </rPh>
    <rPh sb="49" eb="50">
      <t>ショ</t>
    </rPh>
    <rPh sb="52" eb="53">
      <t>サツ</t>
    </rPh>
    <rPh sb="54" eb="55">
      <t>チュウ</t>
    </rPh>
    <rPh sb="56" eb="59">
      <t>コウコウセイ</t>
    </rPh>
    <rPh sb="59" eb="60">
      <t>ム</t>
    </rPh>
    <rPh sb="64" eb="66">
      <t>ショウセツ</t>
    </rPh>
    <rPh sb="73" eb="75">
      <t>ニュウシュ</t>
    </rPh>
    <rPh sb="75" eb="77">
      <t>ホウホウ</t>
    </rPh>
    <rPh sb="77" eb="78">
      <t>ツキ</t>
    </rPh>
    <rPh sb="80" eb="81">
      <t>セイ</t>
    </rPh>
    <rPh sb="81" eb="82">
      <t>ゴ</t>
    </rPh>
    <rPh sb="82" eb="83">
      <t>ハヤ</t>
    </rPh>
    <rPh sb="83" eb="84">
      <t>イン</t>
    </rPh>
    <rPh sb="84" eb="86">
      <t>サクイン</t>
    </rPh>
    <rPh sb="87" eb="89">
      <t>ゾクゴ</t>
    </rPh>
    <rPh sb="89" eb="91">
      <t>ジテン</t>
    </rPh>
    <rPh sb="91" eb="93">
      <t>ショウカイ</t>
    </rPh>
    <phoneticPr fontId="1"/>
  </si>
  <si>
    <r>
      <rPr>
        <sz val="11"/>
        <rFont val="游ゴシック Medium"/>
        <family val="3"/>
        <charset val="128"/>
      </rPr>
      <t>福田晃市</t>
    </r>
    <rPh sb="0" eb="2">
      <t>フクダ</t>
    </rPh>
    <rPh sb="2" eb="4">
      <t>コウイチ</t>
    </rPh>
    <phoneticPr fontId="1"/>
  </si>
  <si>
    <r>
      <rPr>
        <sz val="11"/>
        <rFont val="游ゴシック Medium"/>
        <family val="3"/>
        <charset val="128"/>
      </rPr>
      <t>著</t>
    </r>
    <rPh sb="0" eb="1">
      <t>チョ</t>
    </rPh>
    <phoneticPr fontId="1"/>
  </si>
  <si>
    <r>
      <rPr>
        <sz val="11"/>
        <rFont val="游ゴシック Medium"/>
        <family val="3"/>
        <charset val="128"/>
      </rPr>
      <t>イチリ</t>
    </r>
    <phoneticPr fontId="1"/>
  </si>
  <si>
    <r>
      <rPr>
        <sz val="11"/>
        <rFont val="游ゴシック Medium"/>
        <family val="3"/>
        <charset val="128"/>
      </rPr>
      <t>カバー･本文イラスト</t>
    </r>
    <rPh sb="4" eb="6">
      <t>ホンブン</t>
    </rPh>
    <phoneticPr fontId="1"/>
  </si>
  <si>
    <r>
      <rPr>
        <sz val="11"/>
        <rFont val="游ゴシック Medium"/>
        <family val="3"/>
        <charset val="128"/>
      </rPr>
      <t>萌訳☆孫子ちゃんの兵法</t>
    </r>
    <rPh sb="0" eb="1">
      <t>モエ</t>
    </rPh>
    <rPh sb="1" eb="2">
      <t>ヤク</t>
    </rPh>
    <rPh sb="3" eb="5">
      <t>ソンシ</t>
    </rPh>
    <rPh sb="9" eb="11">
      <t>ヘイホウ</t>
    </rPh>
    <phoneticPr fontId="1"/>
  </si>
  <si>
    <r>
      <rPr>
        <sz val="11"/>
        <rFont val="游ゴシック Medium"/>
        <family val="3"/>
        <charset val="128"/>
      </rPr>
      <t>創業</t>
    </r>
    <r>
      <rPr>
        <sz val="11"/>
        <rFont val="Consolas"/>
        <family val="3"/>
      </rPr>
      <t>40</t>
    </r>
    <r>
      <rPr>
        <sz val="11"/>
        <rFont val="游ゴシック Medium"/>
        <family val="3"/>
        <charset val="128"/>
      </rPr>
      <t>周年</t>
    </r>
    <rPh sb="0" eb="2">
      <t>ソウギョウ</t>
    </rPh>
    <rPh sb="4" eb="6">
      <t>シュウネン</t>
    </rPh>
    <phoneticPr fontId="1"/>
  </si>
  <si>
    <r>
      <rPr>
        <sz val="11"/>
        <rFont val="游ゴシック Medium"/>
        <family val="3"/>
        <charset val="128"/>
      </rPr>
      <t>総合科学出版</t>
    </r>
    <rPh sb="0" eb="2">
      <t>ソウゴウ</t>
    </rPh>
    <rPh sb="2" eb="4">
      <t>カガク</t>
    </rPh>
    <rPh sb="4" eb="6">
      <t>シュッパン</t>
    </rPh>
    <phoneticPr fontId="1"/>
  </si>
  <si>
    <r>
      <rPr>
        <sz val="11"/>
        <rFont val="游ゴシック Medium"/>
        <family val="3"/>
        <charset val="128"/>
      </rPr>
      <t>おほつき四郎</t>
    </r>
    <rPh sb="4" eb="6">
      <t>シロウ</t>
    </rPh>
    <phoneticPr fontId="1"/>
  </si>
  <si>
    <r>
      <rPr>
        <sz val="11"/>
        <rFont val="游ゴシック Medium"/>
        <family val="3"/>
        <charset val="128"/>
      </rPr>
      <t>監修</t>
    </r>
    <rPh sb="0" eb="2">
      <t>カンシュウ</t>
    </rPh>
    <phoneticPr fontId="1"/>
  </si>
  <si>
    <r>
      <rPr>
        <sz val="11"/>
        <rFont val="游ゴシック Medium"/>
        <family val="3"/>
        <charset val="128"/>
      </rPr>
      <t>いちはや</t>
    </r>
    <phoneticPr fontId="1"/>
  </si>
  <si>
    <r>
      <rPr>
        <sz val="11"/>
        <rFont val="游ゴシック Medium"/>
        <family val="3"/>
        <charset val="128"/>
      </rPr>
      <t>カバーイラスト･マンガ</t>
    </r>
    <phoneticPr fontId="1"/>
  </si>
  <si>
    <r>
      <rPr>
        <sz val="11"/>
        <rFont val="游ゴシック Medium"/>
        <family val="3"/>
        <charset val="128"/>
      </rPr>
      <t>なわとロープと結びの方法。</t>
    </r>
    <rPh sb="7" eb="8">
      <t>ムス</t>
    </rPh>
    <rPh sb="10" eb="12">
      <t>ホウホウ</t>
    </rPh>
    <phoneticPr fontId="1"/>
  </si>
  <si>
    <r>
      <rPr>
        <sz val="11"/>
        <rFont val="游ゴシック Medium"/>
        <family val="3"/>
        <charset val="128"/>
      </rPr>
      <t>アイヌ民族博物館</t>
    </r>
    <rPh sb="3" eb="5">
      <t>ミンゾク</t>
    </rPh>
    <rPh sb="5" eb="8">
      <t>ハクブツカン</t>
    </rPh>
    <phoneticPr fontId="1"/>
  </si>
  <si>
    <r>
      <rPr>
        <sz val="11"/>
        <rFont val="游ゴシック Medium"/>
        <family val="3"/>
        <charset val="128"/>
      </rPr>
      <t>アイヌ古式舞踊</t>
    </r>
    <r>
      <rPr>
        <sz val="11"/>
        <rFont val="Consolas"/>
        <family val="3"/>
      </rPr>
      <t>/</t>
    </r>
    <r>
      <rPr>
        <sz val="11"/>
        <rFont val="游ゴシック Medium"/>
        <family val="3"/>
        <charset val="128"/>
      </rPr>
      <t>国指定重要無形文化財</t>
    </r>
    <r>
      <rPr>
        <sz val="11"/>
        <rFont val="Consolas"/>
        <family val="3"/>
      </rPr>
      <t>/The Ainu Traditional Dance</t>
    </r>
    <rPh sb="3" eb="5">
      <t>コシキ</t>
    </rPh>
    <rPh sb="5" eb="7">
      <t>ブヨウ</t>
    </rPh>
    <rPh sb="8" eb="9">
      <t>クニ</t>
    </rPh>
    <rPh sb="9" eb="11">
      <t>シテイ</t>
    </rPh>
    <rPh sb="11" eb="18">
      <t>ジュウヨウムケイブンカザイ</t>
    </rPh>
    <phoneticPr fontId="1"/>
  </si>
  <si>
    <r>
      <rPr>
        <sz val="11"/>
        <rFont val="游ゴシック Medium"/>
        <family val="3"/>
        <charset val="128"/>
      </rPr>
      <t>酒井</t>
    </r>
    <r>
      <rPr>
        <sz val="11"/>
        <rFont val="Consolas"/>
        <family val="3"/>
      </rPr>
      <t xml:space="preserve"> </t>
    </r>
    <r>
      <rPr>
        <sz val="11"/>
        <rFont val="游ゴシック Medium"/>
        <family val="3"/>
        <charset val="128"/>
      </rPr>
      <t>シヅ</t>
    </r>
    <rPh sb="0" eb="2">
      <t>サカイ</t>
    </rPh>
    <phoneticPr fontId="1"/>
  </si>
  <si>
    <r>
      <rPr>
        <b/>
        <sz val="11"/>
        <color indexed="33"/>
        <rFont val="游ゴシック Medium"/>
        <family val="3"/>
        <charset val="128"/>
      </rPr>
      <t>日本古医書集</t>
    </r>
    <r>
      <rPr>
        <b/>
        <sz val="11"/>
        <color indexed="33"/>
        <rFont val="Consolas"/>
        <family val="3"/>
      </rPr>
      <t>|A Collection of Old Japanese Medical</t>
    </r>
    <phoneticPr fontId="1"/>
  </si>
  <si>
    <r>
      <t>The 30th anniversary of the Takemi Program in International Health at the Harvard School of Public Health|</t>
    </r>
    <r>
      <rPr>
        <sz val="11"/>
        <rFont val="游ゴシック Medium"/>
        <family val="3"/>
        <charset val="128"/>
      </rPr>
      <t>ハーバード大学公衆衛生大学院武見国際保健プログラム設立</t>
    </r>
    <r>
      <rPr>
        <sz val="11"/>
        <rFont val="Consolas"/>
        <family val="3"/>
      </rPr>
      <t>30</t>
    </r>
    <r>
      <rPr>
        <sz val="11"/>
        <rFont val="游ゴシック Medium"/>
        <family val="3"/>
        <charset val="128"/>
      </rPr>
      <t>周年記念</t>
    </r>
    <phoneticPr fontId="1"/>
  </si>
  <si>
    <r>
      <rPr>
        <sz val="11"/>
        <rFont val="游ゴシック Medium"/>
        <family val="3"/>
        <charset val="128"/>
      </rPr>
      <t>日本医師会</t>
    </r>
    <r>
      <rPr>
        <sz val="11"/>
        <rFont val="Consolas"/>
        <family val="3"/>
      </rPr>
      <t>|Japan Medical Association</t>
    </r>
    <rPh sb="0" eb="5">
      <t>ニホンイシカイ</t>
    </rPh>
    <phoneticPr fontId="1"/>
  </si>
  <si>
    <r>
      <rPr>
        <sz val="11"/>
        <rFont val="游ゴシック Medium"/>
        <family val="3"/>
        <charset val="128"/>
      </rPr>
      <t>「東洋文庫ミュージアム」併設のショップ「マルコポーロ」</t>
    </r>
    <rPh sb="1" eb="5">
      <t>トウヨウブンコ</t>
    </rPh>
    <phoneticPr fontId="1"/>
  </si>
  <si>
    <r>
      <rPr>
        <sz val="11"/>
        <rFont val="游ゴシック Medium"/>
        <family val="3"/>
        <charset val="128"/>
      </rPr>
      <t>野辺</t>
    </r>
    <r>
      <rPr>
        <sz val="11"/>
        <rFont val="Consolas"/>
        <family val="3"/>
      </rPr>
      <t xml:space="preserve"> </t>
    </r>
    <r>
      <rPr>
        <sz val="11"/>
        <rFont val="游ゴシック Medium"/>
        <family val="3"/>
        <charset val="128"/>
      </rPr>
      <t>瞳</t>
    </r>
    <r>
      <rPr>
        <sz val="11"/>
        <rFont val="Consolas"/>
        <family val="3"/>
      </rPr>
      <t xml:space="preserve"> </t>
    </r>
    <r>
      <rPr>
        <sz val="11"/>
        <rFont val="游ゴシック Medium"/>
        <family val="3"/>
        <charset val="128"/>
      </rPr>
      <t>嬢</t>
    </r>
    <r>
      <rPr>
        <sz val="11"/>
        <rFont val="Consolas"/>
        <family val="3"/>
      </rPr>
      <t xml:space="preserve"> </t>
    </r>
    <r>
      <rPr>
        <sz val="11"/>
        <rFont val="游ゴシック Medium"/>
        <family val="3"/>
        <charset val="128"/>
      </rPr>
      <t>から</t>
    </r>
    <r>
      <rPr>
        <sz val="11"/>
        <rFont val="Consolas"/>
        <family val="3"/>
      </rPr>
      <t xml:space="preserve"> </t>
    </r>
    <r>
      <rPr>
        <sz val="11"/>
        <rFont val="游ゴシック Medium"/>
        <family val="3"/>
        <charset val="128"/>
      </rPr>
      <t>プレゼント</t>
    </r>
    <rPh sb="0" eb="2">
      <t>ノベ</t>
    </rPh>
    <rPh sb="3" eb="4">
      <t>ヒトミ</t>
    </rPh>
    <rPh sb="5" eb="6">
      <t>ジョウ</t>
    </rPh>
    <phoneticPr fontId="1"/>
  </si>
  <si>
    <r>
      <rPr>
        <sz val="11"/>
        <rFont val="游ゴシック Medium"/>
        <family val="3"/>
        <charset val="128"/>
      </rPr>
      <t>東洋文庫</t>
    </r>
    <rPh sb="0" eb="2">
      <t>トウヨウ</t>
    </rPh>
    <rPh sb="2" eb="4">
      <t>ブンコ</t>
    </rPh>
    <phoneticPr fontId="1"/>
  </si>
  <si>
    <r>
      <rPr>
        <b/>
        <sz val="11"/>
        <color indexed="33"/>
        <rFont val="游ゴシック Medium"/>
        <family val="3"/>
        <charset val="128"/>
      </rPr>
      <t>ハワイと南の島々展</t>
    </r>
    <r>
      <rPr>
        <b/>
        <sz val="11"/>
        <color indexed="33"/>
        <rFont val="Consolas"/>
        <family val="3"/>
      </rPr>
      <t xml:space="preserve"> - </t>
    </r>
    <r>
      <rPr>
        <b/>
        <sz val="11"/>
        <color indexed="33"/>
        <rFont val="游ゴシック Medium"/>
        <family val="3"/>
        <charset val="128"/>
      </rPr>
      <t>ハワイ日系移民渡航</t>
    </r>
    <r>
      <rPr>
        <b/>
        <sz val="11"/>
        <color indexed="33"/>
        <rFont val="Consolas"/>
        <family val="3"/>
      </rPr>
      <t>150</t>
    </r>
    <r>
      <rPr>
        <b/>
        <sz val="11"/>
        <color indexed="33"/>
        <rFont val="游ゴシック Medium"/>
        <family val="3"/>
        <charset val="128"/>
      </rPr>
      <t>周年</t>
    </r>
    <r>
      <rPr>
        <b/>
        <sz val="11"/>
        <color indexed="33"/>
        <rFont val="Consolas"/>
        <family val="3"/>
      </rPr>
      <t xml:space="preserve"> -|Hawaii and Pacific Islands</t>
    </r>
    <rPh sb="4" eb="5">
      <t>ミナミ</t>
    </rPh>
    <rPh sb="6" eb="8">
      <t>シマジマ</t>
    </rPh>
    <rPh sb="8" eb="9">
      <t>テン</t>
    </rPh>
    <rPh sb="15" eb="19">
      <t>ニッケイイミン</t>
    </rPh>
    <rPh sb="19" eb="21">
      <t>トコウ</t>
    </rPh>
    <rPh sb="24" eb="26">
      <t>シュウネン</t>
    </rPh>
    <phoneticPr fontId="1"/>
  </si>
  <si>
    <r>
      <rPr>
        <sz val="11"/>
        <rFont val="游ゴシック Medium"/>
        <family val="3"/>
        <charset val="128"/>
      </rPr>
      <t>時空を超える本の旅</t>
    </r>
    <r>
      <rPr>
        <sz val="11"/>
        <rFont val="Consolas"/>
        <family val="3"/>
      </rPr>
      <t xml:space="preserve"> 18</t>
    </r>
    <rPh sb="0" eb="2">
      <t>ジクウ</t>
    </rPh>
    <rPh sb="3" eb="4">
      <t>コ</t>
    </rPh>
    <rPh sb="6" eb="7">
      <t>ホン</t>
    </rPh>
    <rPh sb="8" eb="9">
      <t>タビ</t>
    </rPh>
    <phoneticPr fontId="1"/>
  </si>
  <si>
    <r>
      <rPr>
        <sz val="11"/>
        <rFont val="游ゴシック Medium"/>
        <family val="3"/>
        <charset val="128"/>
      </rPr>
      <t>悪人か、ヒーローか</t>
    </r>
    <r>
      <rPr>
        <sz val="11"/>
        <rFont val="Consolas"/>
        <family val="3"/>
      </rPr>
      <t>|Villain or Hero</t>
    </r>
    <phoneticPr fontId="1"/>
  </si>
  <si>
    <r>
      <rPr>
        <sz val="11"/>
        <rFont val="游ゴシック Medium"/>
        <family val="3"/>
        <charset val="128"/>
      </rPr>
      <t>時空を超える本の旅</t>
    </r>
    <r>
      <rPr>
        <sz val="11"/>
        <rFont val="Consolas"/>
        <family val="3"/>
      </rPr>
      <t xml:space="preserve"> 19</t>
    </r>
    <r>
      <rPr>
        <sz val="11"/>
        <rFont val="ＭＳ Ｐゴシック"/>
        <family val="3"/>
        <charset val="128"/>
      </rPr>
      <t/>
    </r>
    <rPh sb="0" eb="2">
      <t>ジクウ</t>
    </rPh>
    <rPh sb="3" eb="4">
      <t>コ</t>
    </rPh>
    <rPh sb="6" eb="7">
      <t>ホン</t>
    </rPh>
    <rPh sb="8" eb="9">
      <t>タビ</t>
    </rPh>
    <phoneticPr fontId="1"/>
  </si>
  <si>
    <r>
      <rPr>
        <sz val="11"/>
        <rFont val="游ゴシック Medium"/>
        <family val="3"/>
        <charset val="128"/>
      </rPr>
      <t>東南アジア</t>
    </r>
    <r>
      <rPr>
        <sz val="11"/>
        <rFont val="Consolas"/>
        <family val="3"/>
      </rPr>
      <t xml:space="preserve"> - </t>
    </r>
    <r>
      <rPr>
        <sz val="11"/>
        <rFont val="游ゴシック Medium"/>
        <family val="3"/>
        <charset val="128"/>
      </rPr>
      <t>交易と交流の海</t>
    </r>
    <r>
      <rPr>
        <sz val="11"/>
        <rFont val="Consolas"/>
        <family val="3"/>
      </rPr>
      <t xml:space="preserve"> -|Southeast Asia | Trade and Cultural Exchange Connecting East and West</t>
    </r>
    <rPh sb="0" eb="2">
      <t>トウナン</t>
    </rPh>
    <rPh sb="8" eb="10">
      <t>コウエキ</t>
    </rPh>
    <rPh sb="11" eb="13">
      <t>コウリュウ</t>
    </rPh>
    <rPh sb="14" eb="15">
      <t>ウミ</t>
    </rPh>
    <phoneticPr fontId="1"/>
  </si>
  <si>
    <r>
      <rPr>
        <sz val="11"/>
        <rFont val="游ゴシック Medium"/>
        <family val="3"/>
        <charset val="128"/>
      </rPr>
      <t>時空を超える本の旅</t>
    </r>
    <r>
      <rPr>
        <sz val="11"/>
        <rFont val="Consolas"/>
        <family val="3"/>
      </rPr>
      <t xml:space="preserve"> 35</t>
    </r>
    <rPh sb="0" eb="2">
      <t>ジクウ</t>
    </rPh>
    <rPh sb="3" eb="4">
      <t>コ</t>
    </rPh>
    <rPh sb="6" eb="7">
      <t>ホン</t>
    </rPh>
    <rPh sb="8" eb="9">
      <t>タビ</t>
    </rPh>
    <phoneticPr fontId="1"/>
  </si>
  <si>
    <r>
      <rPr>
        <sz val="11"/>
        <rFont val="游ゴシック Medium"/>
        <family val="3"/>
        <charset val="128"/>
      </rPr>
      <t>グリーン大通りエリアマネージメント協議会</t>
    </r>
    <r>
      <rPr>
        <sz val="11"/>
        <rFont val="Consolas"/>
        <family val="3"/>
      </rPr>
      <t>(GAM)</t>
    </r>
    <rPh sb="4" eb="6">
      <t>オオドオ</t>
    </rPh>
    <rPh sb="17" eb="20">
      <t>キョウギカイ</t>
    </rPh>
    <phoneticPr fontId="1"/>
  </si>
  <si>
    <r>
      <rPr>
        <sz val="11"/>
        <rFont val="游ゴシック Medium"/>
        <family val="3"/>
        <charset val="128"/>
      </rPr>
      <t>まちなかリビングのある日常</t>
    </r>
    <r>
      <rPr>
        <sz val="11"/>
        <rFont val="Consolas"/>
        <family val="3"/>
      </rPr>
      <t xml:space="preserve"> vol.3|OUR NEIGHBORHOOD COMMUNITY</t>
    </r>
    <rPh sb="11" eb="13">
      <t>ニチジョウ</t>
    </rPh>
    <phoneticPr fontId="1"/>
  </si>
  <si>
    <r>
      <rPr>
        <sz val="11"/>
        <rFont val="游ゴシック Medium"/>
        <family val="3"/>
        <charset val="128"/>
      </rPr>
      <t>街角</t>
    </r>
    <rPh sb="0" eb="2">
      <t>マチカド</t>
    </rPh>
    <phoneticPr fontId="1"/>
  </si>
  <si>
    <r>
      <rPr>
        <b/>
        <sz val="11"/>
        <color indexed="33"/>
        <rFont val="游ゴシック Medium"/>
        <family val="3"/>
        <charset val="128"/>
      </rPr>
      <t>知恵の小径─文字でたどるアジアの名言</t>
    </r>
    <r>
      <rPr>
        <b/>
        <sz val="11"/>
        <color indexed="33"/>
        <rFont val="Consolas"/>
        <family val="3"/>
      </rPr>
      <t>|Alley of Wisdom|Wise Sayings of Asias</t>
    </r>
    <rPh sb="0" eb="2">
      <t>チエ</t>
    </rPh>
    <rPh sb="3" eb="5">
      <t>コミチ</t>
    </rPh>
    <rPh sb="6" eb="8">
      <t>モジ</t>
    </rPh>
    <rPh sb="16" eb="18">
      <t>メイゲン</t>
    </rPh>
    <phoneticPr fontId="1"/>
  </si>
  <si>
    <r>
      <rPr>
        <sz val="11"/>
        <rFont val="游ゴシック Medium"/>
        <family val="3"/>
        <charset val="128"/>
      </rPr>
      <t>日本アセアンセンター</t>
    </r>
    <rPh sb="0" eb="2">
      <t>ニホン</t>
    </rPh>
    <phoneticPr fontId="1"/>
  </si>
  <si>
    <r>
      <t>ASEAN Pedia | ASEAN</t>
    </r>
    <r>
      <rPr>
        <sz val="11"/>
        <rFont val="游ゴシック Medium"/>
        <family val="3"/>
        <charset val="128"/>
      </rPr>
      <t>、まるわかり</t>
    </r>
    <phoneticPr fontId="1"/>
  </si>
  <si>
    <r>
      <rPr>
        <sz val="11"/>
        <rFont val="游ゴシック Medium"/>
        <family val="3"/>
        <charset val="128"/>
      </rPr>
      <t>東京都公園協会</t>
    </r>
    <rPh sb="0" eb="7">
      <t>トウキョウトコウエンキョウカイ</t>
    </rPh>
    <phoneticPr fontId="1"/>
  </si>
  <si>
    <r>
      <rPr>
        <sz val="11"/>
        <rFont val="游ゴシック Medium"/>
        <family val="3"/>
        <charset val="128"/>
      </rPr>
      <t>指定管理者</t>
    </r>
    <r>
      <rPr>
        <sz val="11"/>
        <rFont val="Consolas"/>
        <family val="3"/>
      </rPr>
      <t xml:space="preserve"> </t>
    </r>
    <r>
      <rPr>
        <sz val="11"/>
        <rFont val="游ゴシック Medium"/>
        <family val="3"/>
        <charset val="128"/>
      </rPr>
      <t>公益財団法人</t>
    </r>
    <rPh sb="0" eb="5">
      <t>シテイカンリシャ</t>
    </rPh>
    <rPh sb="6" eb="12">
      <t>コウエキザイダンホウジン</t>
    </rPh>
    <phoneticPr fontId="1"/>
  </si>
  <si>
    <r>
      <rPr>
        <sz val="11"/>
        <rFont val="游ゴシック Medium"/>
        <family val="3"/>
        <charset val="128"/>
      </rPr>
      <t>旧古河庭園</t>
    </r>
    <rPh sb="0" eb="1">
      <t>キュウ</t>
    </rPh>
    <rPh sb="1" eb="3">
      <t>フルカワ</t>
    </rPh>
    <rPh sb="3" eb="5">
      <t>テイエン</t>
    </rPh>
    <phoneticPr fontId="1"/>
  </si>
  <si>
    <r>
      <rPr>
        <sz val="11"/>
        <rFont val="游ゴシック Medium"/>
        <family val="3"/>
        <charset val="128"/>
      </rPr>
      <t>旧古河邸</t>
    </r>
    <r>
      <rPr>
        <sz val="11"/>
        <rFont val="Consolas"/>
        <family val="3"/>
      </rPr>
      <t>|</t>
    </r>
    <r>
      <rPr>
        <sz val="11"/>
        <rFont val="游ゴシック Medium"/>
        <family val="3"/>
        <charset val="128"/>
      </rPr>
      <t>大谷美術館</t>
    </r>
    <rPh sb="0" eb="1">
      <t>キュウ</t>
    </rPh>
    <rPh sb="1" eb="4">
      <t>フルカワテイ</t>
    </rPh>
    <rPh sb="5" eb="7">
      <t>オオタニ</t>
    </rPh>
    <rPh sb="7" eb="10">
      <t>ビジュツカン</t>
    </rPh>
    <phoneticPr fontId="1"/>
  </si>
  <si>
    <r>
      <rPr>
        <sz val="11"/>
        <rFont val="游ゴシック Medium"/>
        <family val="3"/>
        <charset val="128"/>
      </rPr>
      <t>公益財団法人</t>
    </r>
    <rPh sb="0" eb="6">
      <t>コウエキザイダンホウジン</t>
    </rPh>
    <phoneticPr fontId="1"/>
  </si>
  <si>
    <r>
      <rPr>
        <sz val="11"/>
        <rFont val="游ゴシック Medium"/>
        <family val="3"/>
        <charset val="128"/>
      </rPr>
      <t>古代オリエント博物館</t>
    </r>
    <rPh sb="0" eb="2">
      <t>コダイ</t>
    </rPh>
    <phoneticPr fontId="1"/>
  </si>
  <si>
    <r>
      <rPr>
        <sz val="11"/>
        <rFont val="游ゴシック Medium"/>
        <family val="3"/>
        <charset val="128"/>
      </rPr>
      <t>古代オリエントの世界</t>
    </r>
    <r>
      <rPr>
        <sz val="11"/>
        <rFont val="Consolas"/>
        <family val="3"/>
      </rPr>
      <t xml:space="preserve"> </t>
    </r>
    <r>
      <rPr>
        <sz val="11"/>
        <rFont val="游ゴシック Medium"/>
        <family val="3"/>
        <charset val="128"/>
      </rPr>
      <t>第</t>
    </r>
    <r>
      <rPr>
        <sz val="11"/>
        <rFont val="Consolas"/>
        <family val="3"/>
      </rPr>
      <t>2</t>
    </r>
    <r>
      <rPr>
        <sz val="11"/>
        <rFont val="游ゴシック Medium"/>
        <family val="3"/>
        <charset val="128"/>
      </rPr>
      <t>版</t>
    </r>
    <rPh sb="0" eb="7">
      <t>コダイ</t>
    </rPh>
    <rPh sb="8" eb="10">
      <t>セカイ</t>
    </rPh>
    <rPh sb="11" eb="12">
      <t>ダイ</t>
    </rPh>
    <rPh sb="13" eb="14">
      <t>ハン</t>
    </rPh>
    <phoneticPr fontId="1"/>
  </si>
  <si>
    <r>
      <rPr>
        <sz val="11"/>
        <rFont val="游ゴシック Medium"/>
        <family val="3"/>
        <charset val="128"/>
      </rPr>
      <t>山川出版社</t>
    </r>
    <rPh sb="0" eb="5">
      <t>ヤマカワシュッパンシャ</t>
    </rPh>
    <phoneticPr fontId="1"/>
  </si>
  <si>
    <r>
      <rPr>
        <sz val="11"/>
        <rFont val="游ゴシック Medium"/>
        <family val="3"/>
        <charset val="128"/>
      </rPr>
      <t>おまもりとハンコとコイン</t>
    </r>
    <r>
      <rPr>
        <sz val="11"/>
        <rFont val="Consolas"/>
        <family val="3"/>
      </rPr>
      <t xml:space="preserve">- </t>
    </r>
    <r>
      <rPr>
        <sz val="11"/>
        <rFont val="游ゴシック Medium"/>
        <family val="3"/>
        <charset val="128"/>
      </rPr>
      <t>古代オリエントの偉大なる小さきものたち</t>
    </r>
    <rPh sb="14" eb="16">
      <t>コダイ</t>
    </rPh>
    <rPh sb="22" eb="24">
      <t>イダイ</t>
    </rPh>
    <rPh sb="26" eb="27">
      <t>チイ</t>
    </rPh>
    <phoneticPr fontId="1"/>
  </si>
  <si>
    <r>
      <rPr>
        <sz val="11"/>
        <rFont val="游ゴシック Medium"/>
        <family val="3"/>
        <charset val="128"/>
      </rPr>
      <t>西アジアの</t>
    </r>
    <r>
      <rPr>
        <sz val="11"/>
        <rFont val="Consolas"/>
        <family val="3"/>
      </rPr>
      <t xml:space="preserve"> </t>
    </r>
    <r>
      <rPr>
        <sz val="11"/>
        <rFont val="游ゴシック Medium"/>
        <family val="3"/>
        <charset val="128"/>
      </rPr>
      <t>いきもの</t>
    </r>
    <r>
      <rPr>
        <sz val="11"/>
        <rFont val="Consolas"/>
        <family val="3"/>
      </rPr>
      <t>|</t>
    </r>
    <r>
      <rPr>
        <sz val="11"/>
        <rFont val="游ゴシック Medium"/>
        <family val="3"/>
        <charset val="128"/>
      </rPr>
      <t>古代オリエント動物園</t>
    </r>
    <r>
      <rPr>
        <sz val="11"/>
        <rFont val="Consolas"/>
        <family val="3"/>
      </rPr>
      <t xml:space="preserve"> </t>
    </r>
    <r>
      <rPr>
        <sz val="11"/>
        <rFont val="游ゴシック Medium"/>
        <family val="3"/>
        <charset val="128"/>
      </rPr>
      <t>ガイドブック</t>
    </r>
    <rPh sb="0" eb="1">
      <t>ニシ</t>
    </rPh>
    <rPh sb="11" eb="13">
      <t>コダイ</t>
    </rPh>
    <rPh sb="18" eb="21">
      <t>ドウブツエン</t>
    </rPh>
    <phoneticPr fontId="1"/>
  </si>
  <si>
    <r>
      <rPr>
        <sz val="11"/>
        <rFont val="游ゴシック Medium"/>
        <family val="3"/>
        <charset val="128"/>
      </rPr>
      <t>鳩山会館</t>
    </r>
    <rPh sb="0" eb="4">
      <t>ハトヤマカイカン</t>
    </rPh>
    <phoneticPr fontId="1"/>
  </si>
  <si>
    <r>
      <rPr>
        <sz val="11"/>
        <rFont val="游ゴシック Medium"/>
        <family val="3"/>
        <charset val="128"/>
      </rPr>
      <t>薔薇とステンドグラスの鳩山会館</t>
    </r>
    <rPh sb="0" eb="2">
      <t>バラ</t>
    </rPh>
    <rPh sb="11" eb="15">
      <t>ハトヤマカイカン</t>
    </rPh>
    <phoneticPr fontId="1"/>
  </si>
  <si>
    <r>
      <rPr>
        <sz val="11"/>
        <rFont val="游ゴシック Medium"/>
        <family val="3"/>
        <charset val="128"/>
      </rPr>
      <t>鳩山会館</t>
    </r>
    <rPh sb="0" eb="4">
      <t>ハト</t>
    </rPh>
    <phoneticPr fontId="1"/>
  </si>
  <si>
    <r>
      <rPr>
        <sz val="11"/>
        <rFont val="游ゴシック Medium"/>
        <family val="3"/>
        <charset val="128"/>
      </rPr>
      <t>ハンムラビ法典碑</t>
    </r>
    <rPh sb="5" eb="7">
      <t>ホウテン</t>
    </rPh>
    <rPh sb="7" eb="8">
      <t>ヒ</t>
    </rPh>
    <phoneticPr fontId="1"/>
  </si>
  <si>
    <r>
      <rPr>
        <sz val="11"/>
        <rFont val="游ゴシック Medium"/>
        <family val="3"/>
        <charset val="128"/>
      </rPr>
      <t>ロゼッタストーン</t>
    </r>
    <phoneticPr fontId="1"/>
  </si>
  <si>
    <r>
      <rPr>
        <sz val="11"/>
        <rFont val="游ゴシック Medium"/>
        <family val="3"/>
        <charset val="128"/>
      </rPr>
      <t>高橋</t>
    </r>
    <r>
      <rPr>
        <sz val="11"/>
        <rFont val="Consolas"/>
        <family val="3"/>
      </rPr>
      <t xml:space="preserve"> </t>
    </r>
    <r>
      <rPr>
        <sz val="11"/>
        <rFont val="游ゴシック Medium"/>
        <family val="3"/>
        <charset val="128"/>
      </rPr>
      <t>鐵</t>
    </r>
    <rPh sb="0" eb="2">
      <t>タカハシ</t>
    </rPh>
    <rPh sb="3" eb="4">
      <t>テツ</t>
    </rPh>
    <phoneticPr fontId="1"/>
  </si>
  <si>
    <r>
      <rPr>
        <b/>
        <sz val="11"/>
        <color indexed="33"/>
        <rFont val="游ゴシック Medium"/>
        <family val="3"/>
        <charset val="128"/>
      </rPr>
      <t>りんが・よに</t>
    </r>
    <phoneticPr fontId="1"/>
  </si>
  <si>
    <r>
      <rPr>
        <sz val="11"/>
        <rFont val="游ゴシック Medium"/>
        <family val="3"/>
        <charset val="128"/>
      </rPr>
      <t>人性記</t>
    </r>
    <r>
      <rPr>
        <sz val="11"/>
        <rFont val="Consolas"/>
        <family val="3"/>
      </rPr>
      <t>/Intelligentsia</t>
    </r>
    <r>
      <rPr>
        <sz val="11"/>
        <rFont val="游ゴシック Medium"/>
        <family val="3"/>
        <charset val="128"/>
      </rPr>
      <t>の性体験報告</t>
    </r>
    <rPh sb="0" eb="1">
      <t>ジン</t>
    </rPh>
    <rPh sb="1" eb="2">
      <t>セイ</t>
    </rPh>
    <rPh sb="2" eb="3">
      <t>キ</t>
    </rPh>
    <rPh sb="4" eb="18">
      <t>インテリゲンチャ</t>
    </rPh>
    <rPh sb="19" eb="20">
      <t>セイ</t>
    </rPh>
    <rPh sb="20" eb="22">
      <t>タイケン</t>
    </rPh>
    <rPh sb="22" eb="24">
      <t>ホウコク</t>
    </rPh>
    <phoneticPr fontId="1"/>
  </si>
  <si>
    <r>
      <rPr>
        <sz val="11"/>
        <rFont val="游ゴシック Medium"/>
        <family val="3"/>
        <charset val="128"/>
      </rPr>
      <t>林書店</t>
    </r>
    <rPh sb="0" eb="1">
      <t>ハヤシ</t>
    </rPh>
    <rPh sb="1" eb="3">
      <t>ショテン</t>
    </rPh>
    <phoneticPr fontId="1"/>
  </si>
  <si>
    <r>
      <rPr>
        <sz val="11"/>
        <rFont val="游ゴシック Medium"/>
        <family val="3"/>
        <charset val="128"/>
      </rPr>
      <t>高村嵒夫</t>
    </r>
    <rPh sb="0" eb="2">
      <t>タカムラ</t>
    </rPh>
    <rPh sb="2" eb="3">
      <t>イワ</t>
    </rPh>
    <rPh sb="3" eb="4">
      <t>オ</t>
    </rPh>
    <phoneticPr fontId="1"/>
  </si>
  <si>
    <r>
      <rPr>
        <sz val="11"/>
        <rFont val="游ゴシック Medium"/>
        <family val="3"/>
        <charset val="128"/>
      </rPr>
      <t>現代の拷問</t>
    </r>
    <rPh sb="0" eb="2">
      <t>ゲンダイ</t>
    </rPh>
    <rPh sb="3" eb="5">
      <t>ゴウモン</t>
    </rPh>
    <phoneticPr fontId="1"/>
  </si>
  <si>
    <r>
      <rPr>
        <sz val="11"/>
        <rFont val="游ゴシック Medium"/>
        <family val="3"/>
        <charset val="128"/>
      </rPr>
      <t>新小説社</t>
    </r>
    <rPh sb="0" eb="3">
      <t>シンショウセツ</t>
    </rPh>
    <rPh sb="3" eb="4">
      <t>シャ</t>
    </rPh>
    <phoneticPr fontId="1"/>
  </si>
  <si>
    <r>
      <rPr>
        <sz val="11"/>
        <rFont val="游ゴシック Medium"/>
        <family val="3"/>
        <charset val="128"/>
      </rPr>
      <t>サンシャイン古本市</t>
    </r>
    <rPh sb="6" eb="8">
      <t>フルホン</t>
    </rPh>
    <rPh sb="8" eb="9">
      <t>イチ</t>
    </rPh>
    <phoneticPr fontId="1"/>
  </si>
  <si>
    <r>
      <t>2004/03_</t>
    </r>
    <r>
      <rPr>
        <sz val="11"/>
        <rFont val="游ゴシック Medium"/>
        <family val="3"/>
        <charset val="128"/>
      </rPr>
      <t>セノ</t>
    </r>
    <phoneticPr fontId="1"/>
  </si>
  <si>
    <r>
      <rPr>
        <strike/>
        <sz val="11"/>
        <rFont val="游ゴシック Medium"/>
        <family val="3"/>
        <charset val="128"/>
      </rPr>
      <t>故事ことわざ研究会</t>
    </r>
    <rPh sb="0" eb="2">
      <t>コジ</t>
    </rPh>
    <rPh sb="6" eb="9">
      <t>ケンキュウカイ</t>
    </rPh>
    <phoneticPr fontId="1"/>
  </si>
  <si>
    <r>
      <rPr>
        <strike/>
        <sz val="11"/>
        <rFont val="游ゴシック Medium"/>
        <family val="3"/>
        <charset val="128"/>
      </rPr>
      <t>編</t>
    </r>
    <rPh sb="0" eb="1">
      <t>ヘン</t>
    </rPh>
    <phoneticPr fontId="1"/>
  </si>
  <si>
    <r>
      <rPr>
        <strike/>
        <sz val="11"/>
        <rFont val="游ゴシック Medium"/>
        <family val="3"/>
        <charset val="128"/>
      </rPr>
      <t>日本風俗語事典</t>
    </r>
    <rPh sb="0" eb="2">
      <t>ニホン</t>
    </rPh>
    <rPh sb="2" eb="3">
      <t>フウ</t>
    </rPh>
    <rPh sb="3" eb="5">
      <t>ゾクゴ</t>
    </rPh>
    <rPh sb="5" eb="7">
      <t>ジテン</t>
    </rPh>
    <phoneticPr fontId="1"/>
  </si>
  <si>
    <r>
      <rPr>
        <strike/>
        <sz val="11"/>
        <rFont val="游ゴシック Medium"/>
        <family val="3"/>
        <charset val="128"/>
      </rPr>
      <t>アロー出版社</t>
    </r>
    <rPh sb="3" eb="6">
      <t>シュッパンシャ</t>
    </rPh>
    <phoneticPr fontId="1"/>
  </si>
  <si>
    <r>
      <rPr>
        <strike/>
        <sz val="11"/>
        <rFont val="游ゴシック Medium"/>
        <family val="3"/>
        <charset val="128"/>
      </rPr>
      <t>サンシャイン古本市</t>
    </r>
    <rPh sb="6" eb="8">
      <t>フルホン</t>
    </rPh>
    <rPh sb="8" eb="9">
      <t>イチ</t>
    </rPh>
    <phoneticPr fontId="1"/>
  </si>
  <si>
    <r>
      <t>2004/03_</t>
    </r>
    <r>
      <rPr>
        <strike/>
        <sz val="11"/>
        <rFont val="游ゴシック Medium"/>
        <family val="3"/>
        <charset val="128"/>
      </rPr>
      <t>セノ</t>
    </r>
    <r>
      <rPr>
        <strike/>
        <sz val="11"/>
        <rFont val="Consolas"/>
        <family val="3"/>
      </rPr>
      <t xml:space="preserve">/2004 </t>
    </r>
    <r>
      <rPr>
        <strike/>
        <sz val="11"/>
        <rFont val="游ゴシック Medium"/>
        <family val="3"/>
        <charset val="128"/>
      </rPr>
      <t>ともみちが破壊</t>
    </r>
    <rPh sb="21" eb="23">
      <t>ハカイ</t>
    </rPh>
    <phoneticPr fontId="1"/>
  </si>
  <si>
    <r>
      <rPr>
        <sz val="11"/>
        <rFont val="游ゴシック Medium"/>
        <family val="3"/>
        <charset val="128"/>
      </rPr>
      <t>磯見辰典</t>
    </r>
    <r>
      <rPr>
        <sz val="11"/>
        <rFont val="Consolas"/>
        <family val="3"/>
      </rPr>
      <t>/</t>
    </r>
    <r>
      <rPr>
        <sz val="11"/>
        <rFont val="游ゴシック Medium"/>
        <family val="3"/>
        <charset val="128"/>
      </rPr>
      <t>崎山</t>
    </r>
    <r>
      <rPr>
        <sz val="11"/>
        <rFont val="Consolas"/>
        <family val="3"/>
      </rPr>
      <t xml:space="preserve"> </t>
    </r>
    <r>
      <rPr>
        <sz val="11"/>
        <rFont val="游ゴシック Medium"/>
        <family val="3"/>
        <charset val="128"/>
      </rPr>
      <t>直</t>
    </r>
    <r>
      <rPr>
        <sz val="11"/>
        <rFont val="Consolas"/>
        <family val="3"/>
      </rPr>
      <t>/</t>
    </r>
    <r>
      <rPr>
        <sz val="11"/>
        <rFont val="游ゴシック Medium"/>
        <family val="3"/>
        <charset val="128"/>
      </rPr>
      <t>宮前安子</t>
    </r>
    <r>
      <rPr>
        <sz val="11"/>
        <rFont val="Consolas"/>
        <family val="3"/>
      </rPr>
      <t>/</t>
    </r>
    <r>
      <rPr>
        <sz val="11"/>
        <rFont val="游ゴシック Medium"/>
        <family val="3"/>
        <charset val="128"/>
      </rPr>
      <t>池田孝江</t>
    </r>
    <r>
      <rPr>
        <sz val="11"/>
        <rFont val="Consolas"/>
        <family val="3"/>
      </rPr>
      <t>/</t>
    </r>
    <r>
      <rPr>
        <sz val="11"/>
        <rFont val="游ゴシック Medium"/>
        <family val="3"/>
        <charset val="128"/>
      </rPr>
      <t>崎山小夜子</t>
    </r>
    <r>
      <rPr>
        <sz val="11"/>
        <rFont val="Consolas"/>
        <family val="3"/>
      </rPr>
      <t>/</t>
    </r>
    <r>
      <rPr>
        <sz val="11"/>
        <rFont val="游ゴシック Medium"/>
        <family val="3"/>
        <charset val="128"/>
      </rPr>
      <t>藤川</t>
    </r>
    <r>
      <rPr>
        <sz val="11"/>
        <rFont val="Consolas"/>
        <family val="3"/>
      </rPr>
      <t xml:space="preserve"> </t>
    </r>
    <r>
      <rPr>
        <sz val="11"/>
        <rFont val="游ゴシック Medium"/>
        <family val="3"/>
        <charset val="128"/>
      </rPr>
      <t>徹</t>
    </r>
    <rPh sb="0" eb="2">
      <t>イソミ</t>
    </rPh>
    <rPh sb="2" eb="4">
      <t>タツノリ</t>
    </rPh>
    <rPh sb="5" eb="7">
      <t>サキヤマ</t>
    </rPh>
    <rPh sb="10" eb="12">
      <t>ミヤマエ</t>
    </rPh>
    <rPh sb="12" eb="14">
      <t>ヤスコ</t>
    </rPh>
    <rPh sb="15" eb="17">
      <t>イケダ</t>
    </rPh>
    <rPh sb="17" eb="19">
      <t>タカエ</t>
    </rPh>
    <rPh sb="20" eb="22">
      <t>サキヤマ</t>
    </rPh>
    <rPh sb="22" eb="25">
      <t>サヨコ</t>
    </rPh>
    <rPh sb="26" eb="28">
      <t>フジカワ</t>
    </rPh>
    <rPh sb="29" eb="30">
      <t>トオル</t>
    </rPh>
    <phoneticPr fontId="1"/>
  </si>
  <si>
    <r>
      <rPr>
        <sz val="11"/>
        <rFont val="游ゴシック Medium"/>
        <family val="3"/>
        <charset val="128"/>
      </rPr>
      <t>世界風俗じてん</t>
    </r>
    <r>
      <rPr>
        <sz val="11"/>
        <rFont val="Consolas"/>
        <family val="3"/>
      </rPr>
      <t xml:space="preserve"> </t>
    </r>
    <r>
      <rPr>
        <sz val="11"/>
        <rFont val="游ゴシック Medium"/>
        <family val="3"/>
        <charset val="128"/>
      </rPr>
      <t>Ⅰ</t>
    </r>
    <r>
      <rPr>
        <sz val="11"/>
        <rFont val="Consolas"/>
        <family val="3"/>
      </rPr>
      <t xml:space="preserve"> </t>
    </r>
    <r>
      <rPr>
        <sz val="11"/>
        <rFont val="游ゴシック Medium"/>
        <family val="3"/>
        <charset val="128"/>
      </rPr>
      <t>衣食住の巻●ヨーロッパ</t>
    </r>
    <rPh sb="0" eb="2">
      <t>セカイ</t>
    </rPh>
    <rPh sb="2" eb="4">
      <t>フウゾク</t>
    </rPh>
    <rPh sb="10" eb="13">
      <t>イショクジュウ</t>
    </rPh>
    <rPh sb="14" eb="15">
      <t>マキ</t>
    </rPh>
    <phoneticPr fontId="1"/>
  </si>
  <si>
    <r>
      <rPr>
        <sz val="11"/>
        <rFont val="游ゴシック Medium"/>
        <family val="3"/>
        <charset val="128"/>
      </rPr>
      <t>三省堂</t>
    </r>
    <rPh sb="0" eb="3">
      <t>サンセイドウ</t>
    </rPh>
    <phoneticPr fontId="1"/>
  </si>
  <si>
    <r>
      <t>4</t>
    </r>
    <r>
      <rPr>
        <sz val="11"/>
        <rFont val="游ゴシック Medium"/>
        <family val="3"/>
        <charset val="128"/>
      </rPr>
      <t>冊まとめて</t>
    </r>
    <r>
      <rPr>
        <sz val="11"/>
        <rFont val="Consolas"/>
        <family val="3"/>
      </rPr>
      <t>\2500</t>
    </r>
    <rPh sb="1" eb="2">
      <t>サツ</t>
    </rPh>
    <phoneticPr fontId="1"/>
  </si>
  <si>
    <r>
      <rPr>
        <sz val="11"/>
        <rFont val="游ゴシック Medium"/>
        <family val="3"/>
        <charset val="128"/>
      </rPr>
      <t>矢島文夫</t>
    </r>
    <r>
      <rPr>
        <sz val="11"/>
        <rFont val="Consolas"/>
        <family val="3"/>
      </rPr>
      <t>/</t>
    </r>
    <r>
      <rPr>
        <sz val="11"/>
        <rFont val="游ゴシック Medium"/>
        <family val="3"/>
        <charset val="128"/>
      </rPr>
      <t>加藤祐三</t>
    </r>
    <r>
      <rPr>
        <sz val="11"/>
        <rFont val="Consolas"/>
        <family val="3"/>
      </rPr>
      <t>/</t>
    </r>
    <r>
      <rPr>
        <sz val="11"/>
        <rFont val="游ゴシック Medium"/>
        <family val="3"/>
        <charset val="128"/>
      </rPr>
      <t>川村光郎</t>
    </r>
    <r>
      <rPr>
        <sz val="11"/>
        <rFont val="Consolas"/>
        <family val="3"/>
      </rPr>
      <t>/</t>
    </r>
    <r>
      <rPr>
        <sz val="11"/>
        <rFont val="游ゴシック Medium"/>
        <family val="3"/>
        <charset val="128"/>
      </rPr>
      <t>岡本隆三</t>
    </r>
    <r>
      <rPr>
        <sz val="11"/>
        <rFont val="Consolas"/>
        <family val="3"/>
      </rPr>
      <t>/</t>
    </r>
    <r>
      <rPr>
        <sz val="11"/>
        <rFont val="游ゴシック Medium"/>
        <family val="3"/>
        <charset val="128"/>
      </rPr>
      <t>長</t>
    </r>
    <r>
      <rPr>
        <sz val="11"/>
        <rFont val="Consolas"/>
        <family val="3"/>
      </rPr>
      <t xml:space="preserve"> </t>
    </r>
    <r>
      <rPr>
        <sz val="11"/>
        <rFont val="游ゴシック Medium"/>
        <family val="3"/>
        <charset val="128"/>
      </rPr>
      <t>弘毅</t>
    </r>
    <r>
      <rPr>
        <sz val="11"/>
        <rFont val="Consolas"/>
        <family val="3"/>
      </rPr>
      <t>/</t>
    </r>
    <r>
      <rPr>
        <sz val="11"/>
        <rFont val="游ゴシック Medium"/>
        <family val="3"/>
        <charset val="128"/>
      </rPr>
      <t>大島直政</t>
    </r>
    <r>
      <rPr>
        <sz val="11"/>
        <rFont val="Consolas"/>
        <family val="3"/>
      </rPr>
      <t>/</t>
    </r>
    <r>
      <rPr>
        <sz val="11"/>
        <rFont val="游ゴシック Medium"/>
        <family val="3"/>
        <charset val="128"/>
      </rPr>
      <t>奥</t>
    </r>
    <r>
      <rPr>
        <sz val="11"/>
        <rFont val="Consolas"/>
        <family val="3"/>
      </rPr>
      <t xml:space="preserve"> </t>
    </r>
    <r>
      <rPr>
        <sz val="11"/>
        <rFont val="游ゴシック Medium"/>
        <family val="3"/>
        <charset val="128"/>
      </rPr>
      <t>源造</t>
    </r>
    <r>
      <rPr>
        <sz val="11"/>
        <rFont val="Consolas"/>
        <family val="3"/>
      </rPr>
      <t>/</t>
    </r>
    <r>
      <rPr>
        <sz val="11"/>
        <rFont val="游ゴシック Medium"/>
        <family val="3"/>
        <charset val="128"/>
      </rPr>
      <t>重村智計</t>
    </r>
    <r>
      <rPr>
        <sz val="11"/>
        <rFont val="Consolas"/>
        <family val="3"/>
      </rPr>
      <t>/</t>
    </r>
    <r>
      <rPr>
        <sz val="11"/>
        <rFont val="游ゴシック Medium"/>
        <family val="3"/>
        <charset val="128"/>
      </rPr>
      <t>林</t>
    </r>
    <r>
      <rPr>
        <sz val="11"/>
        <rFont val="Consolas"/>
        <family val="3"/>
      </rPr>
      <t xml:space="preserve"> </t>
    </r>
    <r>
      <rPr>
        <sz val="11"/>
        <rFont val="游ゴシック Medium"/>
        <family val="3"/>
        <charset val="128"/>
      </rPr>
      <t>正子</t>
    </r>
    <rPh sb="0" eb="2">
      <t>ヤジマ</t>
    </rPh>
    <rPh sb="2" eb="4">
      <t>フミオ</t>
    </rPh>
    <rPh sb="5" eb="7">
      <t>カトウ</t>
    </rPh>
    <rPh sb="7" eb="9">
      <t>ユウゾウ</t>
    </rPh>
    <rPh sb="10" eb="12">
      <t>カワムラ</t>
    </rPh>
    <rPh sb="12" eb="14">
      <t>ミツオ</t>
    </rPh>
    <rPh sb="15" eb="17">
      <t>オカモト</t>
    </rPh>
    <rPh sb="17" eb="19">
      <t>リュウゾウ</t>
    </rPh>
    <rPh sb="20" eb="21">
      <t>チョウ</t>
    </rPh>
    <rPh sb="22" eb="24">
      <t>ヒロキ</t>
    </rPh>
    <rPh sb="25" eb="27">
      <t>オオシマ</t>
    </rPh>
    <rPh sb="27" eb="29">
      <t>ナオマサ</t>
    </rPh>
    <rPh sb="30" eb="31">
      <t>オク</t>
    </rPh>
    <rPh sb="32" eb="34">
      <t>ゲンゾウ</t>
    </rPh>
    <rPh sb="35" eb="37">
      <t>シゲムラ</t>
    </rPh>
    <rPh sb="37" eb="39">
      <t>トモカズ</t>
    </rPh>
    <rPh sb="40" eb="41">
      <t>ハヤシ</t>
    </rPh>
    <rPh sb="42" eb="44">
      <t>マサコ</t>
    </rPh>
    <phoneticPr fontId="1"/>
  </si>
  <si>
    <r>
      <rPr>
        <sz val="11"/>
        <rFont val="游ゴシック Medium"/>
        <family val="3"/>
        <charset val="128"/>
      </rPr>
      <t>世界風俗じてん</t>
    </r>
    <r>
      <rPr>
        <sz val="11"/>
        <rFont val="Consolas"/>
        <family val="3"/>
      </rPr>
      <t xml:space="preserve"> </t>
    </r>
    <r>
      <rPr>
        <sz val="11"/>
        <rFont val="游ゴシック Medium"/>
        <family val="3"/>
        <charset val="128"/>
      </rPr>
      <t>Ⅱ</t>
    </r>
    <r>
      <rPr>
        <sz val="11"/>
        <rFont val="Consolas"/>
        <family val="3"/>
      </rPr>
      <t xml:space="preserve"> </t>
    </r>
    <r>
      <rPr>
        <sz val="11"/>
        <rFont val="游ゴシック Medium"/>
        <family val="3"/>
        <charset val="128"/>
      </rPr>
      <t>衣食住の巻●アジア</t>
    </r>
    <rPh sb="0" eb="2">
      <t>セカイ</t>
    </rPh>
    <rPh sb="2" eb="4">
      <t>フウゾク</t>
    </rPh>
    <rPh sb="10" eb="13">
      <t>イショクジュウ</t>
    </rPh>
    <rPh sb="14" eb="15">
      <t>マキ</t>
    </rPh>
    <phoneticPr fontId="1"/>
  </si>
  <si>
    <r>
      <rPr>
        <sz val="11"/>
        <rFont val="游ゴシック Medium"/>
        <family val="3"/>
        <charset val="128"/>
      </rPr>
      <t>福田和彦</t>
    </r>
    <rPh sb="0" eb="2">
      <t>フクダ</t>
    </rPh>
    <rPh sb="2" eb="4">
      <t>カズヒコ</t>
    </rPh>
    <phoneticPr fontId="1"/>
  </si>
  <si>
    <r>
      <rPr>
        <sz val="11"/>
        <rFont val="游ゴシック Medium"/>
        <family val="3"/>
        <charset val="128"/>
      </rPr>
      <t>世界風俗じてん</t>
    </r>
    <r>
      <rPr>
        <sz val="11"/>
        <rFont val="Consolas"/>
        <family val="3"/>
      </rPr>
      <t xml:space="preserve"> </t>
    </r>
    <r>
      <rPr>
        <sz val="11"/>
        <rFont val="游ゴシック Medium"/>
        <family val="3"/>
        <charset val="128"/>
      </rPr>
      <t>Ⅲ</t>
    </r>
    <r>
      <rPr>
        <sz val="11"/>
        <rFont val="Consolas"/>
        <family val="3"/>
      </rPr>
      <t xml:space="preserve"> </t>
    </r>
    <r>
      <rPr>
        <sz val="11"/>
        <rFont val="游ゴシック Medium"/>
        <family val="3"/>
        <charset val="128"/>
      </rPr>
      <t>性風俗の巻</t>
    </r>
    <rPh sb="0" eb="2">
      <t>セカイ</t>
    </rPh>
    <rPh sb="2" eb="4">
      <t>フウゾク</t>
    </rPh>
    <rPh sb="10" eb="13">
      <t>セイフウゾク</t>
    </rPh>
    <rPh sb="14" eb="15">
      <t>マキ</t>
    </rPh>
    <phoneticPr fontId="1"/>
  </si>
  <si>
    <r>
      <rPr>
        <sz val="11"/>
        <rFont val="游ゴシック Medium"/>
        <family val="3"/>
        <charset val="128"/>
      </rPr>
      <t>岸野雄三</t>
    </r>
    <r>
      <rPr>
        <sz val="11"/>
        <rFont val="Consolas"/>
        <family val="3"/>
      </rPr>
      <t>/</t>
    </r>
    <r>
      <rPr>
        <sz val="11"/>
        <rFont val="游ゴシック Medium"/>
        <family val="3"/>
        <charset val="128"/>
      </rPr>
      <t>稲垣正浩</t>
    </r>
    <r>
      <rPr>
        <sz val="11"/>
        <rFont val="Consolas"/>
        <family val="3"/>
      </rPr>
      <t>/</t>
    </r>
    <r>
      <rPr>
        <sz val="11"/>
        <rFont val="游ゴシック Medium"/>
        <family val="3"/>
        <charset val="128"/>
      </rPr>
      <t>小田切毅一</t>
    </r>
    <r>
      <rPr>
        <sz val="11"/>
        <rFont val="Consolas"/>
        <family val="3"/>
      </rPr>
      <t>/</t>
    </r>
    <r>
      <rPr>
        <sz val="11"/>
        <rFont val="游ゴシック Medium"/>
        <family val="3"/>
        <charset val="128"/>
      </rPr>
      <t>高橋健夫</t>
    </r>
    <r>
      <rPr>
        <sz val="11"/>
        <rFont val="Consolas"/>
        <family val="3"/>
      </rPr>
      <t>/</t>
    </r>
    <r>
      <rPr>
        <sz val="11"/>
        <rFont val="游ゴシック Medium"/>
        <family val="3"/>
        <charset val="128"/>
      </rPr>
      <t>野々宮徹</t>
    </r>
    <r>
      <rPr>
        <sz val="11"/>
        <rFont val="Consolas"/>
        <family val="3"/>
      </rPr>
      <t>/</t>
    </r>
    <r>
      <rPr>
        <sz val="11"/>
        <rFont val="游ゴシック Medium"/>
        <family val="3"/>
        <charset val="128"/>
      </rPr>
      <t>寒川恒夫</t>
    </r>
    <rPh sb="0" eb="2">
      <t>キシノ</t>
    </rPh>
    <rPh sb="2" eb="4">
      <t>ユウゾウ</t>
    </rPh>
    <rPh sb="5" eb="7">
      <t>イナガキ</t>
    </rPh>
    <rPh sb="7" eb="9">
      <t>マサヒロ</t>
    </rPh>
    <rPh sb="10" eb="13">
      <t>オダギリ</t>
    </rPh>
    <rPh sb="13" eb="15">
      <t>キイチ</t>
    </rPh>
    <rPh sb="16" eb="18">
      <t>タカハシ</t>
    </rPh>
    <rPh sb="18" eb="20">
      <t>タケオ</t>
    </rPh>
    <rPh sb="21" eb="24">
      <t>ノノミヤ</t>
    </rPh>
    <rPh sb="24" eb="25">
      <t>トオル</t>
    </rPh>
    <rPh sb="26" eb="28">
      <t>サムカワ</t>
    </rPh>
    <rPh sb="28" eb="30">
      <t>ツネオ</t>
    </rPh>
    <phoneticPr fontId="1"/>
  </si>
  <si>
    <r>
      <rPr>
        <sz val="11"/>
        <rFont val="游ゴシック Medium"/>
        <family val="3"/>
        <charset val="128"/>
      </rPr>
      <t>世界風俗じてん</t>
    </r>
    <r>
      <rPr>
        <sz val="11"/>
        <rFont val="Consolas"/>
        <family val="3"/>
      </rPr>
      <t xml:space="preserve"> </t>
    </r>
    <r>
      <rPr>
        <sz val="11"/>
        <rFont val="游ゴシック Medium"/>
        <family val="3"/>
        <charset val="128"/>
      </rPr>
      <t>Ⅳ</t>
    </r>
    <r>
      <rPr>
        <sz val="11"/>
        <rFont val="Consolas"/>
        <family val="3"/>
      </rPr>
      <t xml:space="preserve"> </t>
    </r>
    <r>
      <rPr>
        <sz val="11"/>
        <rFont val="游ゴシック Medium"/>
        <family val="3"/>
        <charset val="128"/>
      </rPr>
      <t>娯楽の巻</t>
    </r>
    <rPh sb="0" eb="2">
      <t>セカイ</t>
    </rPh>
    <rPh sb="2" eb="4">
      <t>フウゾク</t>
    </rPh>
    <rPh sb="10" eb="12">
      <t>ゴラク</t>
    </rPh>
    <rPh sb="13" eb="14">
      <t>マキ</t>
    </rPh>
    <phoneticPr fontId="1"/>
  </si>
  <si>
    <r>
      <rPr>
        <sz val="11"/>
        <rFont val="游ゴシック Medium"/>
        <family val="3"/>
        <charset val="128"/>
      </rPr>
      <t>斎藤夜居</t>
    </r>
    <rPh sb="0" eb="2">
      <t>サイトウ</t>
    </rPh>
    <rPh sb="2" eb="4">
      <t>ヨズエ</t>
    </rPh>
    <phoneticPr fontId="1"/>
  </si>
  <si>
    <r>
      <rPr>
        <sz val="11"/>
        <rFont val="游ゴシック Medium"/>
        <family val="3"/>
        <charset val="128"/>
      </rPr>
      <t>伊藤晴雨</t>
    </r>
    <rPh sb="0" eb="2">
      <t>イトウ</t>
    </rPh>
    <rPh sb="2" eb="4">
      <t>セイウ</t>
    </rPh>
    <phoneticPr fontId="1"/>
  </si>
  <si>
    <r>
      <rPr>
        <sz val="11"/>
        <rFont val="游ゴシック Medium"/>
        <family val="3"/>
        <charset val="128"/>
      </rPr>
      <t>伝奇・伊藤晴雨</t>
    </r>
    <rPh sb="0" eb="2">
      <t>デンキ</t>
    </rPh>
    <rPh sb="3" eb="5">
      <t>イトウ</t>
    </rPh>
    <rPh sb="5" eb="7">
      <t>セイウ</t>
    </rPh>
    <phoneticPr fontId="1"/>
  </si>
  <si>
    <r>
      <rPr>
        <sz val="11"/>
        <rFont val="游ゴシック Medium"/>
        <family val="3"/>
        <charset val="128"/>
      </rPr>
      <t>青弓社</t>
    </r>
    <rPh sb="0" eb="3">
      <t>セイキュウシャ</t>
    </rPh>
    <phoneticPr fontId="1"/>
  </si>
  <si>
    <r>
      <rPr>
        <sz val="11"/>
        <rFont val="游ゴシック Medium"/>
        <family val="3"/>
        <charset val="128"/>
      </rPr>
      <t>秋田昌美</t>
    </r>
    <rPh sb="0" eb="2">
      <t>アキタ</t>
    </rPh>
    <rPh sb="2" eb="4">
      <t>マサミ</t>
    </rPh>
    <phoneticPr fontId="1"/>
  </si>
  <si>
    <r>
      <rPr>
        <sz val="11"/>
        <rFont val="游ゴシック Medium"/>
        <family val="3"/>
        <charset val="128"/>
      </rPr>
      <t>女陰考</t>
    </r>
    <r>
      <rPr>
        <sz val="11"/>
        <rFont val="Consolas"/>
        <family val="3"/>
      </rPr>
      <t>/</t>
    </r>
    <r>
      <rPr>
        <sz val="11"/>
        <rFont val="游ゴシック Medium"/>
        <family val="3"/>
        <charset val="128"/>
      </rPr>
      <t>性学古典より</t>
    </r>
    <r>
      <rPr>
        <sz val="11"/>
        <rFont val="Consolas"/>
        <family val="3"/>
      </rPr>
      <t>/Think Vagina</t>
    </r>
    <rPh sb="0" eb="2">
      <t>ニョイン</t>
    </rPh>
    <rPh sb="2" eb="3">
      <t>コウ</t>
    </rPh>
    <rPh sb="4" eb="5">
      <t>セイ</t>
    </rPh>
    <rPh sb="5" eb="6">
      <t>ガク</t>
    </rPh>
    <rPh sb="6" eb="8">
      <t>コテン</t>
    </rPh>
    <phoneticPr fontId="1"/>
  </si>
  <si>
    <r>
      <rPr>
        <sz val="11"/>
        <rFont val="游ゴシック Medium"/>
        <family val="3"/>
        <charset val="128"/>
      </rPr>
      <t>桜桃書房</t>
    </r>
    <rPh sb="0" eb="2">
      <t>オウトウ</t>
    </rPh>
    <rPh sb="2" eb="4">
      <t>ショボウ</t>
    </rPh>
    <phoneticPr fontId="1"/>
  </si>
  <si>
    <r>
      <rPr>
        <sz val="11"/>
        <rFont val="游ゴシック Medium"/>
        <family val="3"/>
        <charset val="128"/>
      </rPr>
      <t>蠱惑を繙く</t>
    </r>
    <r>
      <rPr>
        <sz val="11"/>
        <rFont val="Consolas"/>
        <family val="3"/>
      </rPr>
      <t>!/</t>
    </r>
    <r>
      <rPr>
        <sz val="11"/>
        <rFont val="游ゴシック Medium"/>
        <family val="3"/>
        <charset val="128"/>
      </rPr>
      <t>付録</t>
    </r>
    <r>
      <rPr>
        <sz val="11"/>
        <rFont val="Consolas"/>
        <family val="3"/>
      </rPr>
      <t>:</t>
    </r>
    <r>
      <rPr>
        <sz val="11"/>
        <rFont val="游ゴシック Medium"/>
        <family val="3"/>
        <charset val="128"/>
      </rPr>
      <t>民俗放談</t>
    </r>
    <r>
      <rPr>
        <sz val="11"/>
        <rFont val="Consolas"/>
        <family val="3"/>
      </rPr>
      <t>:</t>
    </r>
    <r>
      <rPr>
        <sz val="11"/>
        <rFont val="游ゴシック Medium"/>
        <family val="3"/>
        <charset val="128"/>
      </rPr>
      <t>お話</t>
    </r>
    <r>
      <rPr>
        <sz val="11"/>
        <rFont val="Consolas"/>
        <family val="3"/>
      </rPr>
      <t>:</t>
    </r>
    <r>
      <rPr>
        <sz val="11"/>
        <rFont val="游ゴシック Medium"/>
        <family val="3"/>
        <charset val="128"/>
      </rPr>
      <t>白山坊与佐衛門</t>
    </r>
    <rPh sb="0" eb="2">
      <t>コワク</t>
    </rPh>
    <rPh sb="3" eb="4">
      <t>ヒモト</t>
    </rPh>
    <rPh sb="7" eb="9">
      <t>フロク</t>
    </rPh>
    <rPh sb="10" eb="12">
      <t>ミンゾク</t>
    </rPh>
    <rPh sb="12" eb="14">
      <t>ホウダン</t>
    </rPh>
    <rPh sb="15" eb="17">
      <t>オハナシ</t>
    </rPh>
    <rPh sb="18" eb="20">
      <t>ハクサン</t>
    </rPh>
    <rPh sb="20" eb="21">
      <t>ボウ</t>
    </rPh>
    <rPh sb="21" eb="22">
      <t>ヨ</t>
    </rPh>
    <rPh sb="22" eb="23">
      <t>サ</t>
    </rPh>
    <rPh sb="23" eb="25">
      <t>エモン</t>
    </rPh>
    <phoneticPr fontId="1"/>
  </si>
  <si>
    <r>
      <rPr>
        <sz val="11"/>
        <rFont val="游ゴシック Medium"/>
        <family val="3"/>
        <charset val="128"/>
      </rPr>
      <t>川村邦光</t>
    </r>
    <rPh sb="0" eb="2">
      <t>カワムラ</t>
    </rPh>
    <rPh sb="2" eb="4">
      <t>クニミツ</t>
    </rPh>
    <phoneticPr fontId="1"/>
  </si>
  <si>
    <r>
      <rPr>
        <sz val="11"/>
        <rFont val="游ゴシック Medium"/>
        <family val="3"/>
        <charset val="128"/>
      </rPr>
      <t>オトメの身体</t>
    </r>
    <r>
      <rPr>
        <sz val="11"/>
        <rFont val="Consolas"/>
        <family val="3"/>
      </rPr>
      <t>/</t>
    </r>
    <r>
      <rPr>
        <sz val="11"/>
        <rFont val="游ゴシック Medium"/>
        <family val="3"/>
        <charset val="128"/>
      </rPr>
      <t>女の近代と</t>
    </r>
    <r>
      <rPr>
        <sz val="11"/>
        <rFont val="Consolas"/>
        <family val="3"/>
      </rPr>
      <t>Sexuality</t>
    </r>
    <rPh sb="4" eb="6">
      <t>カラダ</t>
    </rPh>
    <rPh sb="7" eb="8">
      <t>オンナ</t>
    </rPh>
    <rPh sb="9" eb="11">
      <t>キンダイ</t>
    </rPh>
    <rPh sb="12" eb="21">
      <t>セクシュアリティ</t>
    </rPh>
    <phoneticPr fontId="1"/>
  </si>
  <si>
    <r>
      <rPr>
        <sz val="11"/>
        <rFont val="游ゴシック Medium"/>
        <family val="3"/>
        <charset val="128"/>
      </rPr>
      <t>紀伊國屋書店</t>
    </r>
    <rPh sb="0" eb="6">
      <t>キノクニヤショテン</t>
    </rPh>
    <phoneticPr fontId="1"/>
  </si>
  <si>
    <r>
      <rPr>
        <sz val="11"/>
        <rFont val="游ゴシック Medium"/>
        <family val="3"/>
        <charset val="128"/>
      </rPr>
      <t>幻視する近代空間</t>
    </r>
    <r>
      <rPr>
        <sz val="11"/>
        <rFont val="Consolas"/>
        <family val="3"/>
      </rPr>
      <t>/</t>
    </r>
    <r>
      <rPr>
        <sz val="11"/>
        <rFont val="游ゴシック Medium"/>
        <family val="3"/>
        <charset val="128"/>
      </rPr>
      <t>迷信･病気･座敷牢､あるいは歴史の記憶【新装版】</t>
    </r>
    <rPh sb="0" eb="2">
      <t>ゲンシ</t>
    </rPh>
    <rPh sb="4" eb="6">
      <t>キンダイ</t>
    </rPh>
    <rPh sb="6" eb="8">
      <t>クウカン</t>
    </rPh>
    <rPh sb="9" eb="11">
      <t>メイシン</t>
    </rPh>
    <rPh sb="12" eb="14">
      <t>ビョウキ</t>
    </rPh>
    <rPh sb="15" eb="18">
      <t>ザシキロウ</t>
    </rPh>
    <rPh sb="23" eb="25">
      <t>レキシ</t>
    </rPh>
    <rPh sb="26" eb="28">
      <t>キオク</t>
    </rPh>
    <rPh sb="29" eb="32">
      <t>シンソウバン</t>
    </rPh>
    <phoneticPr fontId="1"/>
  </si>
  <si>
    <r>
      <rPr>
        <sz val="11"/>
        <rFont val="游ゴシック Medium"/>
        <family val="3"/>
        <charset val="128"/>
      </rPr>
      <t>下川耿史</t>
    </r>
    <rPh sb="0" eb="2">
      <t>シモカワ</t>
    </rPh>
    <rPh sb="2" eb="4">
      <t>コウシ</t>
    </rPh>
    <phoneticPr fontId="1"/>
  </si>
  <si>
    <r>
      <rPr>
        <sz val="11"/>
        <rFont val="游ゴシック Medium"/>
        <family val="3"/>
        <charset val="128"/>
      </rPr>
      <t>死体の文化史</t>
    </r>
    <rPh sb="0" eb="2">
      <t>シタイ</t>
    </rPh>
    <rPh sb="3" eb="6">
      <t>ブンカシ</t>
    </rPh>
    <phoneticPr fontId="1"/>
  </si>
  <si>
    <r>
      <t>Sexology</t>
    </r>
    <r>
      <rPr>
        <sz val="11"/>
        <rFont val="游ゴシック Medium"/>
        <family val="3"/>
        <charset val="128"/>
      </rPr>
      <t>異聞</t>
    </r>
    <rPh sb="0" eb="8">
      <t>セクソロジー</t>
    </rPh>
    <rPh sb="8" eb="10">
      <t>イブン</t>
    </rPh>
    <phoneticPr fontId="1"/>
  </si>
  <si>
    <r>
      <rPr>
        <sz val="11"/>
        <rFont val="游ゴシック Medium"/>
        <family val="3"/>
        <charset val="128"/>
      </rPr>
      <t>日本エロ写真史</t>
    </r>
    <rPh sb="0" eb="2">
      <t>ニホン</t>
    </rPh>
    <rPh sb="4" eb="6">
      <t>シャシン</t>
    </rPh>
    <rPh sb="6" eb="7">
      <t>シ</t>
    </rPh>
    <phoneticPr fontId="1"/>
  </si>
  <si>
    <r>
      <rPr>
        <sz val="11"/>
        <rFont val="游ゴシック Medium"/>
        <family val="3"/>
        <charset val="128"/>
      </rPr>
      <t>編著</t>
    </r>
    <rPh sb="0" eb="2">
      <t>ヘンチョ</t>
    </rPh>
    <phoneticPr fontId="1"/>
  </si>
  <si>
    <r>
      <rPr>
        <sz val="11"/>
        <rFont val="游ゴシック Medium"/>
        <family val="3"/>
        <charset val="128"/>
      </rPr>
      <t>世紀末エロ写真館</t>
    </r>
    <rPh sb="0" eb="3">
      <t>セイキマツ</t>
    </rPh>
    <rPh sb="5" eb="8">
      <t>シャシンカン</t>
    </rPh>
    <phoneticPr fontId="1"/>
  </si>
  <si>
    <r>
      <rPr>
        <sz val="11"/>
        <rFont val="游ゴシック Medium"/>
        <family val="3"/>
        <charset val="128"/>
      </rPr>
      <t>北原童夢</t>
    </r>
    <rPh sb="0" eb="2">
      <t>キタハラ</t>
    </rPh>
    <rPh sb="2" eb="4">
      <t>ドウム</t>
    </rPh>
    <phoneticPr fontId="1"/>
  </si>
  <si>
    <r>
      <t>Fetishism</t>
    </r>
    <r>
      <rPr>
        <sz val="11"/>
        <rFont val="游ゴシック Medium"/>
        <family val="3"/>
        <charset val="128"/>
      </rPr>
      <t>の修辞学</t>
    </r>
    <rPh sb="0" eb="9">
      <t>フェティシズム</t>
    </rPh>
    <rPh sb="10" eb="13">
      <t>シュウジガク</t>
    </rPh>
    <phoneticPr fontId="1"/>
  </si>
  <si>
    <r>
      <rPr>
        <sz val="11"/>
        <rFont val="游ゴシック Medium"/>
        <family val="3"/>
        <charset val="128"/>
      </rPr>
      <t>伴田良輔</t>
    </r>
    <rPh sb="0" eb="2">
      <t>ハンダ</t>
    </rPh>
    <rPh sb="2" eb="4">
      <t>リョウスケ</t>
    </rPh>
    <phoneticPr fontId="1"/>
  </si>
  <si>
    <r>
      <rPr>
        <sz val="11"/>
        <rFont val="游ゴシック Medium"/>
        <family val="3"/>
        <charset val="128"/>
      </rPr>
      <t>女の都</t>
    </r>
    <r>
      <rPr>
        <sz val="11"/>
        <rFont val="Consolas"/>
        <family val="3"/>
      </rPr>
      <t>/</t>
    </r>
    <r>
      <rPr>
        <sz val="11"/>
        <rFont val="游ゴシック Medium"/>
        <family val="3"/>
        <charset val="128"/>
      </rPr>
      <t>ウィルヘルム</t>
    </r>
    <r>
      <rPr>
        <sz val="11"/>
        <rFont val="Consolas"/>
        <family val="3"/>
      </rPr>
      <t xml:space="preserve"> Richard</t>
    </r>
    <r>
      <rPr>
        <sz val="11"/>
        <rFont val="游ゴシック Medium"/>
        <family val="3"/>
        <charset val="128"/>
      </rPr>
      <t>博士の性的冒険</t>
    </r>
    <r>
      <rPr>
        <sz val="11"/>
        <rFont val="Consolas"/>
        <family val="3"/>
      </rPr>
      <t>/</t>
    </r>
    <r>
      <rPr>
        <sz val="11"/>
        <rFont val="游ゴシック Medium"/>
        <family val="3"/>
        <charset val="128"/>
      </rPr>
      <t>アヴァン･エロティカ</t>
    </r>
    <rPh sb="0" eb="1">
      <t>オンナ</t>
    </rPh>
    <rPh sb="2" eb="3">
      <t>ミヤコ</t>
    </rPh>
    <rPh sb="11" eb="18">
      <t>リヒャルト</t>
    </rPh>
    <rPh sb="18" eb="20">
      <t>ハクシ</t>
    </rPh>
    <rPh sb="21" eb="23">
      <t>セイテキ</t>
    </rPh>
    <rPh sb="23" eb="25">
      <t>ボウケン</t>
    </rPh>
    <phoneticPr fontId="1"/>
  </si>
  <si>
    <r>
      <rPr>
        <sz val="11"/>
        <rFont val="游ゴシック Medium"/>
        <family val="3"/>
        <charset val="128"/>
      </rPr>
      <t>作品社</t>
    </r>
    <rPh sb="0" eb="3">
      <t>サクヒンシャ</t>
    </rPh>
    <phoneticPr fontId="1"/>
  </si>
  <si>
    <r>
      <rPr>
        <sz val="11"/>
        <rFont val="游ゴシック Medium"/>
        <family val="3"/>
        <charset val="128"/>
      </rPr>
      <t>碓井益雄</t>
    </r>
    <rPh sb="0" eb="2">
      <t>ウスイ</t>
    </rPh>
    <rPh sb="2" eb="4">
      <t>マスオ</t>
    </rPh>
    <phoneticPr fontId="1"/>
  </si>
  <si>
    <r>
      <rPr>
        <sz val="11"/>
        <rFont val="游ゴシック Medium"/>
        <family val="3"/>
        <charset val="128"/>
      </rPr>
      <t>子づくりの博物誌</t>
    </r>
    <r>
      <rPr>
        <sz val="11"/>
        <rFont val="Consolas"/>
        <family val="3"/>
      </rPr>
      <t>/</t>
    </r>
    <r>
      <rPr>
        <sz val="11"/>
        <rFont val="游ゴシック Medium"/>
        <family val="3"/>
        <charset val="128"/>
      </rPr>
      <t>生と性をめぐる</t>
    </r>
    <r>
      <rPr>
        <sz val="11"/>
        <rFont val="Consolas"/>
        <family val="3"/>
      </rPr>
      <t>Imagination/</t>
    </r>
    <r>
      <rPr>
        <sz val="11"/>
        <rFont val="游ゴシック Medium"/>
        <family val="3"/>
        <charset val="128"/>
      </rPr>
      <t>交わりの神秘</t>
    </r>
    <rPh sb="0" eb="1">
      <t>コ</t>
    </rPh>
    <rPh sb="5" eb="8">
      <t>ハクブツシ</t>
    </rPh>
    <rPh sb="9" eb="10">
      <t>セイ</t>
    </rPh>
    <rPh sb="11" eb="12">
      <t>セイ</t>
    </rPh>
    <rPh sb="16" eb="27">
      <t>イマジネーション</t>
    </rPh>
    <rPh sb="28" eb="29">
      <t>マジ</t>
    </rPh>
    <rPh sb="32" eb="34">
      <t>シンピ</t>
    </rPh>
    <phoneticPr fontId="1"/>
  </si>
  <si>
    <r>
      <rPr>
        <sz val="11"/>
        <rFont val="游ゴシック Medium"/>
        <family val="3"/>
        <charset val="128"/>
      </rPr>
      <t>工作舎</t>
    </r>
    <rPh sb="0" eb="2">
      <t>コウサク</t>
    </rPh>
    <rPh sb="2" eb="3">
      <t>シャ</t>
    </rPh>
    <phoneticPr fontId="1"/>
  </si>
  <si>
    <r>
      <rPr>
        <sz val="11"/>
        <rFont val="游ゴシック Medium"/>
        <family val="3"/>
        <charset val="128"/>
      </rPr>
      <t>新村</t>
    </r>
    <r>
      <rPr>
        <sz val="11"/>
        <rFont val="Consolas"/>
        <family val="3"/>
      </rPr>
      <t xml:space="preserve"> </t>
    </r>
    <r>
      <rPr>
        <sz val="11"/>
        <rFont val="游ゴシック Medium"/>
        <family val="3"/>
        <charset val="128"/>
      </rPr>
      <t>拓</t>
    </r>
    <rPh sb="0" eb="2">
      <t>シンムラ</t>
    </rPh>
    <rPh sb="3" eb="4">
      <t>タク</t>
    </rPh>
    <phoneticPr fontId="1"/>
  </si>
  <si>
    <r>
      <rPr>
        <sz val="11"/>
        <rFont val="游ゴシック Medium"/>
        <family val="3"/>
        <charset val="128"/>
      </rPr>
      <t>出産と生殖観の歴史</t>
    </r>
    <rPh sb="0" eb="2">
      <t>シュッサン</t>
    </rPh>
    <rPh sb="3" eb="6">
      <t>セイショクカン</t>
    </rPh>
    <rPh sb="7" eb="9">
      <t>レキシ</t>
    </rPh>
    <phoneticPr fontId="1"/>
  </si>
  <si>
    <r>
      <rPr>
        <sz val="11"/>
        <rFont val="游ゴシック Medium"/>
        <family val="3"/>
        <charset val="128"/>
      </rPr>
      <t>法政大学出版局</t>
    </r>
    <rPh sb="0" eb="4">
      <t>ホウセイダイガク</t>
    </rPh>
    <rPh sb="4" eb="7">
      <t>シュッパンキョク</t>
    </rPh>
    <phoneticPr fontId="1"/>
  </si>
  <si>
    <r>
      <t>foreign/Italie/</t>
    </r>
    <r>
      <rPr>
        <sz val="11"/>
        <rFont val="游ゴシック Medium"/>
        <family val="3"/>
        <charset val="128"/>
      </rPr>
      <t>サンレモ</t>
    </r>
    <rPh sb="8" eb="14">
      <t>イタリア</t>
    </rPh>
    <phoneticPr fontId="1"/>
  </si>
  <si>
    <r>
      <rPr>
        <sz val="11"/>
        <rFont val="游ゴシック Medium"/>
        <family val="3"/>
        <charset val="128"/>
      </rPr>
      <t>塚本利明</t>
    </r>
    <rPh sb="0" eb="2">
      <t>ツカモト</t>
    </rPh>
    <rPh sb="2" eb="4">
      <t>トシアキ</t>
    </rPh>
    <phoneticPr fontId="1"/>
  </si>
  <si>
    <r>
      <t>Purity and Dander/</t>
    </r>
    <r>
      <rPr>
        <sz val="11"/>
        <rFont val="游ゴシック Medium"/>
        <family val="3"/>
        <charset val="128"/>
      </rPr>
      <t>汚薉と禁忌</t>
    </r>
    <r>
      <rPr>
        <sz val="11"/>
        <rFont val="Consolas"/>
        <family val="3"/>
      </rPr>
      <t>/An analysis of concepts of pollution and taboo</t>
    </r>
    <rPh sb="18" eb="20">
      <t>ケガレ</t>
    </rPh>
    <rPh sb="21" eb="23">
      <t>キンキ</t>
    </rPh>
    <phoneticPr fontId="1"/>
  </si>
  <si>
    <r>
      <rPr>
        <sz val="11"/>
        <rFont val="游ゴシック Medium"/>
        <family val="3"/>
        <charset val="128"/>
      </rPr>
      <t>思潮社</t>
    </r>
    <rPh sb="0" eb="3">
      <t>シチョウシャ</t>
    </rPh>
    <phoneticPr fontId="1"/>
  </si>
  <si>
    <r>
      <rPr>
        <sz val="11"/>
        <rFont val="游ゴシック Medium"/>
        <family val="3"/>
        <charset val="128"/>
      </rPr>
      <t>ドウォーキン</t>
    </r>
    <r>
      <rPr>
        <sz val="11"/>
        <rFont val="Consolas"/>
        <family val="3"/>
      </rPr>
      <t>,</t>
    </r>
    <r>
      <rPr>
        <sz val="11"/>
        <rFont val="游ゴシック Medium"/>
        <family val="3"/>
        <charset val="128"/>
      </rPr>
      <t>アンドレア</t>
    </r>
    <phoneticPr fontId="1"/>
  </si>
  <si>
    <r>
      <rPr>
        <sz val="11"/>
        <rFont val="游ゴシック Medium"/>
        <family val="3"/>
        <charset val="128"/>
      </rPr>
      <t>寺沢みづほ</t>
    </r>
    <rPh sb="0" eb="2">
      <t>テラサワ</t>
    </rPh>
    <phoneticPr fontId="1"/>
  </si>
  <si>
    <r>
      <t>Intercourse/</t>
    </r>
    <r>
      <rPr>
        <sz val="11"/>
        <rFont val="游ゴシック Medium"/>
        <family val="3"/>
        <charset val="128"/>
      </rPr>
      <t>性的行為の政治学</t>
    </r>
    <rPh sb="0" eb="11">
      <t>インターコース</t>
    </rPh>
    <rPh sb="12" eb="14">
      <t>セイテキ</t>
    </rPh>
    <rPh sb="14" eb="16">
      <t>コウイ</t>
    </rPh>
    <rPh sb="17" eb="20">
      <t>セイジガク</t>
    </rPh>
    <phoneticPr fontId="1"/>
  </si>
  <si>
    <r>
      <rPr>
        <sz val="11"/>
        <rFont val="游ゴシック Medium"/>
        <family val="3"/>
        <charset val="128"/>
      </rPr>
      <t>青土社</t>
    </r>
    <rPh sb="0" eb="3">
      <t>セイドシャ</t>
    </rPh>
    <phoneticPr fontId="1"/>
  </si>
  <si>
    <r>
      <rPr>
        <sz val="11"/>
        <rFont val="游ゴシック Medium"/>
        <family val="3"/>
        <charset val="128"/>
      </rPr>
      <t>ディビ</t>
    </r>
    <r>
      <rPr>
        <sz val="11"/>
        <rFont val="Consolas"/>
        <family val="3"/>
      </rPr>
      <t>,Pascal</t>
    </r>
    <rPh sb="4" eb="10">
      <t>パスカル</t>
    </rPh>
    <phoneticPr fontId="1"/>
  </si>
  <si>
    <r>
      <rPr>
        <sz val="11"/>
        <rFont val="游ゴシック Medium"/>
        <family val="3"/>
        <charset val="128"/>
      </rPr>
      <t>松浪未知世</t>
    </r>
    <rPh sb="0" eb="2">
      <t>マツナミ</t>
    </rPh>
    <rPh sb="2" eb="5">
      <t>ミチヨ</t>
    </rPh>
    <phoneticPr fontId="1"/>
  </si>
  <si>
    <r>
      <rPr>
        <sz val="11"/>
        <rFont val="游ゴシック Medium"/>
        <family val="3"/>
        <charset val="128"/>
      </rPr>
      <t>寝室の文化史</t>
    </r>
    <r>
      <rPr>
        <sz val="11"/>
        <rFont val="Consolas"/>
        <family val="3"/>
      </rPr>
      <t>/</t>
    </r>
    <r>
      <rPr>
        <sz val="11"/>
        <rFont val="游ゴシック Medium"/>
        <family val="3"/>
        <charset val="128"/>
      </rPr>
      <t>閨房の人類学</t>
    </r>
    <rPh sb="0" eb="2">
      <t>シンシツ</t>
    </rPh>
    <rPh sb="3" eb="6">
      <t>ブンカシ</t>
    </rPh>
    <rPh sb="7" eb="9">
      <t>ケイボウ</t>
    </rPh>
    <rPh sb="10" eb="13">
      <t>ジンルイガク</t>
    </rPh>
    <phoneticPr fontId="1"/>
  </si>
  <si>
    <r>
      <rPr>
        <sz val="11"/>
        <rFont val="游ゴシック Medium"/>
        <family val="3"/>
        <charset val="128"/>
      </rPr>
      <t>塩崎香織</t>
    </r>
    <rPh sb="0" eb="2">
      <t>シオザキ</t>
    </rPh>
    <rPh sb="2" eb="4">
      <t>カオリ</t>
    </rPh>
    <phoneticPr fontId="1"/>
  </si>
  <si>
    <r>
      <t>De oorsprong van de wereld : Freiten en mythen over het vrouwelijk geslacht./</t>
    </r>
    <r>
      <rPr>
        <sz val="11"/>
        <rFont val="游ゴシック Medium"/>
        <family val="3"/>
        <charset val="128"/>
      </rPr>
      <t>ヴァギナの文化史</t>
    </r>
    <r>
      <rPr>
        <sz val="11"/>
        <rFont val="Consolas"/>
        <family val="3"/>
      </rPr>
      <t>/The Origin of the world</t>
    </r>
    <rPh sb="82" eb="85">
      <t>ブンカシ</t>
    </rPh>
    <phoneticPr fontId="1"/>
  </si>
  <si>
    <r>
      <rPr>
        <sz val="11"/>
        <rFont val="游ゴシック Medium"/>
        <family val="3"/>
        <charset val="128"/>
      </rPr>
      <t>渡辺守章</t>
    </r>
    <rPh sb="0" eb="4">
      <t>ワタナベモリアキ</t>
    </rPh>
    <phoneticPr fontId="1"/>
  </si>
  <si>
    <r>
      <rPr>
        <sz val="11"/>
        <rFont val="游ゴシック Medium"/>
        <family val="3"/>
        <charset val="128"/>
      </rPr>
      <t>性の歴史Ⅰ知への意志</t>
    </r>
    <rPh sb="0" eb="1">
      <t>セイ</t>
    </rPh>
    <rPh sb="2" eb="4">
      <t>レキシ</t>
    </rPh>
    <rPh sb="5" eb="6">
      <t>チ</t>
    </rPh>
    <rPh sb="8" eb="10">
      <t>イシ</t>
    </rPh>
    <phoneticPr fontId="1"/>
  </si>
  <si>
    <r>
      <rPr>
        <sz val="11"/>
        <rFont val="游ゴシック Medium"/>
        <family val="3"/>
        <charset val="128"/>
      </rPr>
      <t>新潮社</t>
    </r>
    <rPh sb="0" eb="3">
      <t>シンチョウシャ</t>
    </rPh>
    <phoneticPr fontId="1"/>
  </si>
  <si>
    <r>
      <rPr>
        <sz val="11"/>
        <rFont val="游ゴシック Medium"/>
        <family val="3"/>
        <charset val="128"/>
      </rPr>
      <t>性の歴史Ⅱ快楽の活用</t>
    </r>
    <rPh sb="0" eb="1">
      <t>セイ</t>
    </rPh>
    <rPh sb="2" eb="4">
      <t>レキシ</t>
    </rPh>
    <rPh sb="5" eb="7">
      <t>カイラク</t>
    </rPh>
    <rPh sb="8" eb="10">
      <t>カツヨウ</t>
    </rPh>
    <phoneticPr fontId="1"/>
  </si>
  <si>
    <r>
      <t>ethnic/</t>
    </r>
    <r>
      <rPr>
        <sz val="11"/>
        <rFont val="游ゴシック Medium"/>
        <family val="3"/>
        <charset val="128"/>
      </rPr>
      <t>歴史・社会</t>
    </r>
    <rPh sb="7" eb="9">
      <t>レキシ</t>
    </rPh>
    <rPh sb="10" eb="12">
      <t>シャカイ</t>
    </rPh>
    <phoneticPr fontId="1"/>
  </si>
  <si>
    <r>
      <rPr>
        <sz val="11"/>
        <rFont val="游ゴシック Medium"/>
        <family val="3"/>
        <charset val="128"/>
      </rPr>
      <t>三浦圭一</t>
    </r>
    <rPh sb="0" eb="4">
      <t>ミウラケイイチ</t>
    </rPh>
    <phoneticPr fontId="1"/>
  </si>
  <si>
    <r>
      <rPr>
        <sz val="11"/>
        <rFont val="游ゴシック Medium"/>
        <family val="3"/>
        <charset val="128"/>
      </rPr>
      <t>日本中世賤民史の研究</t>
    </r>
    <rPh sb="0" eb="2">
      <t>ニホン</t>
    </rPh>
    <rPh sb="2" eb="4">
      <t>チュウセイ</t>
    </rPh>
    <rPh sb="4" eb="6">
      <t>センミン</t>
    </rPh>
    <rPh sb="6" eb="7">
      <t>シ</t>
    </rPh>
    <rPh sb="8" eb="10">
      <t>ケンキュウ</t>
    </rPh>
    <phoneticPr fontId="1"/>
  </si>
  <si>
    <r>
      <rPr>
        <sz val="11"/>
        <rFont val="游ゴシック Medium"/>
        <family val="3"/>
        <charset val="128"/>
      </rPr>
      <t>部落問題研究所</t>
    </r>
    <rPh sb="0" eb="2">
      <t>ブラク</t>
    </rPh>
    <rPh sb="2" eb="4">
      <t>モンダイ</t>
    </rPh>
    <rPh sb="4" eb="7">
      <t>ケンキュウショ</t>
    </rPh>
    <phoneticPr fontId="1"/>
  </si>
  <si>
    <r>
      <rPr>
        <sz val="11"/>
        <rFont val="游ゴシック Medium"/>
        <family val="3"/>
        <charset val="128"/>
      </rPr>
      <t>鶴亀堂</t>
    </r>
    <r>
      <rPr>
        <sz val="11"/>
        <rFont val="Consolas"/>
        <family val="3"/>
      </rPr>
      <t>/</t>
    </r>
    <r>
      <rPr>
        <sz val="11"/>
        <rFont val="游ゴシック Medium"/>
        <family val="3"/>
        <charset val="128"/>
      </rPr>
      <t>大府</t>
    </r>
    <rPh sb="0" eb="2">
      <t>ツルカメ</t>
    </rPh>
    <rPh sb="2" eb="3">
      <t>ドウ</t>
    </rPh>
    <rPh sb="4" eb="6">
      <t>オオブ</t>
    </rPh>
    <phoneticPr fontId="1"/>
  </si>
  <si>
    <r>
      <rPr>
        <sz val="11"/>
        <rFont val="游ゴシック Medium"/>
        <family val="3"/>
        <charset val="128"/>
      </rPr>
      <t>田中龍雄</t>
    </r>
    <rPh sb="0" eb="2">
      <t>タナカ</t>
    </rPh>
    <rPh sb="2" eb="4">
      <t>タツオ</t>
    </rPh>
    <phoneticPr fontId="1"/>
  </si>
  <si>
    <r>
      <rPr>
        <sz val="11"/>
        <rFont val="游ゴシック Medium"/>
        <family val="3"/>
        <charset val="128"/>
      </rPr>
      <t>【定本】被差別部落の民話</t>
    </r>
    <rPh sb="1" eb="3">
      <t>テイホン</t>
    </rPh>
    <rPh sb="4" eb="7">
      <t>ヒサベツ</t>
    </rPh>
    <rPh sb="7" eb="9">
      <t>ブラク</t>
    </rPh>
    <rPh sb="10" eb="12">
      <t>ミンワ</t>
    </rPh>
    <phoneticPr fontId="1"/>
  </si>
  <si>
    <r>
      <rPr>
        <sz val="11"/>
        <rFont val="游ゴシック Medium"/>
        <family val="3"/>
        <charset val="128"/>
      </rPr>
      <t>明石書店</t>
    </r>
    <rPh sb="0" eb="2">
      <t>アカシ</t>
    </rPh>
    <rPh sb="2" eb="4">
      <t>ショテン</t>
    </rPh>
    <phoneticPr fontId="1"/>
  </si>
  <si>
    <r>
      <rPr>
        <sz val="11"/>
        <rFont val="游ゴシック Medium"/>
        <family val="3"/>
        <charset val="128"/>
      </rPr>
      <t>寺木伸明</t>
    </r>
    <rPh sb="0" eb="2">
      <t>テラキ</t>
    </rPh>
    <rPh sb="2" eb="4">
      <t>ノブアキ</t>
    </rPh>
    <phoneticPr fontId="1"/>
  </si>
  <si>
    <r>
      <rPr>
        <sz val="11"/>
        <rFont val="游ゴシック Medium"/>
        <family val="3"/>
        <charset val="128"/>
      </rPr>
      <t>被差別部落の起源</t>
    </r>
    <r>
      <rPr>
        <sz val="11"/>
        <rFont val="Consolas"/>
        <family val="3"/>
      </rPr>
      <t>/</t>
    </r>
    <r>
      <rPr>
        <sz val="11"/>
        <rFont val="游ゴシック Medium"/>
        <family val="3"/>
        <charset val="128"/>
      </rPr>
      <t>近世政治起源説の再生</t>
    </r>
    <rPh sb="0" eb="3">
      <t>ヒサベツ</t>
    </rPh>
    <rPh sb="3" eb="5">
      <t>ブラク</t>
    </rPh>
    <rPh sb="6" eb="8">
      <t>キゲン</t>
    </rPh>
    <rPh sb="9" eb="11">
      <t>キンセイ</t>
    </rPh>
    <rPh sb="11" eb="13">
      <t>セイジ</t>
    </rPh>
    <rPh sb="13" eb="16">
      <t>キゲンセツ</t>
    </rPh>
    <rPh sb="17" eb="19">
      <t>サイセイ</t>
    </rPh>
    <phoneticPr fontId="1"/>
  </si>
  <si>
    <r>
      <rPr>
        <sz val="11"/>
        <rFont val="游ゴシック Medium"/>
        <family val="3"/>
        <charset val="128"/>
      </rPr>
      <t>往来座</t>
    </r>
    <rPh sb="0" eb="2">
      <t>オウライ</t>
    </rPh>
    <rPh sb="2" eb="3">
      <t>ザ</t>
    </rPh>
    <phoneticPr fontId="1"/>
  </si>
  <si>
    <r>
      <rPr>
        <sz val="11"/>
        <rFont val="游ゴシック Medium"/>
        <family val="3"/>
        <charset val="128"/>
      </rPr>
      <t>歴史・社会</t>
    </r>
    <rPh sb="0" eb="2">
      <t>レキシ</t>
    </rPh>
    <rPh sb="3" eb="5">
      <t>シャカイ</t>
    </rPh>
    <phoneticPr fontId="1"/>
  </si>
  <si>
    <r>
      <rPr>
        <sz val="11"/>
        <rFont val="游ゴシック Medium"/>
        <family val="3"/>
        <charset val="128"/>
      </rPr>
      <t>宮田</t>
    </r>
    <r>
      <rPr>
        <sz val="11"/>
        <rFont val="Consolas"/>
        <family val="3"/>
      </rPr>
      <t xml:space="preserve"> </t>
    </r>
    <r>
      <rPr>
        <sz val="11"/>
        <rFont val="游ゴシック Medium"/>
        <family val="3"/>
        <charset val="128"/>
      </rPr>
      <t>登</t>
    </r>
    <rPh sb="0" eb="2">
      <t>ミヤタ</t>
    </rPh>
    <rPh sb="3" eb="4">
      <t>ノボル</t>
    </rPh>
    <phoneticPr fontId="1"/>
  </si>
  <si>
    <r>
      <rPr>
        <sz val="11"/>
        <rFont val="游ゴシック Medium"/>
        <family val="3"/>
        <charset val="128"/>
      </rPr>
      <t>ケガレの民族誌</t>
    </r>
    <r>
      <rPr>
        <sz val="11"/>
        <rFont val="Consolas"/>
        <family val="3"/>
      </rPr>
      <t>/</t>
    </r>
    <r>
      <rPr>
        <sz val="11"/>
        <rFont val="游ゴシック Medium"/>
        <family val="3"/>
        <charset val="128"/>
      </rPr>
      <t>差別の文化的要因</t>
    </r>
    <rPh sb="4" eb="7">
      <t>ミンゾクシ</t>
    </rPh>
    <rPh sb="8" eb="10">
      <t>サベツ</t>
    </rPh>
    <rPh sb="11" eb="14">
      <t>ブンカテキ</t>
    </rPh>
    <rPh sb="14" eb="16">
      <t>ヨウイン</t>
    </rPh>
    <phoneticPr fontId="1"/>
  </si>
  <si>
    <r>
      <rPr>
        <sz val="11"/>
        <rFont val="游ゴシック Medium"/>
        <family val="3"/>
        <charset val="128"/>
      </rPr>
      <t>人文書院</t>
    </r>
    <rPh sb="0" eb="4">
      <t>ジンブンショイン</t>
    </rPh>
    <phoneticPr fontId="1"/>
  </si>
  <si>
    <r>
      <rPr>
        <sz val="11"/>
        <rFont val="游ゴシック Medium"/>
        <family val="3"/>
        <charset val="128"/>
      </rPr>
      <t>吉野裕子</t>
    </r>
    <rPh sb="0" eb="2">
      <t>ヨシノ</t>
    </rPh>
    <rPh sb="2" eb="4">
      <t>ヒロコ</t>
    </rPh>
    <phoneticPr fontId="1"/>
  </si>
  <si>
    <r>
      <rPr>
        <sz val="11"/>
        <rFont val="游ゴシック Medium"/>
        <family val="3"/>
        <charset val="128"/>
      </rPr>
      <t>十二支</t>
    </r>
    <rPh sb="0" eb="3">
      <t>ジュウニシ</t>
    </rPh>
    <phoneticPr fontId="1"/>
  </si>
  <si>
    <r>
      <rPr>
        <sz val="11"/>
        <rFont val="游ゴシック Medium"/>
        <family val="3"/>
        <charset val="128"/>
      </rPr>
      <t>スイス政府</t>
    </r>
    <rPh sb="3" eb="5">
      <t>セイフ</t>
    </rPh>
    <phoneticPr fontId="1"/>
  </si>
  <si>
    <r>
      <rPr>
        <sz val="11"/>
        <rFont val="游ゴシック Medium"/>
        <family val="3"/>
        <charset val="128"/>
      </rPr>
      <t>民間防衛</t>
    </r>
    <rPh sb="0" eb="2">
      <t>ミンカン</t>
    </rPh>
    <rPh sb="2" eb="4">
      <t>ボウエイ</t>
    </rPh>
    <phoneticPr fontId="1"/>
  </si>
  <si>
    <r>
      <rPr>
        <sz val="11"/>
        <rFont val="游ゴシック Medium"/>
        <family val="3"/>
        <charset val="128"/>
      </rPr>
      <t>原書房</t>
    </r>
    <rPh sb="0" eb="1">
      <t>ハラ</t>
    </rPh>
    <rPh sb="1" eb="3">
      <t>ショボウ</t>
    </rPh>
    <phoneticPr fontId="1"/>
  </si>
  <si>
    <r>
      <rPr>
        <sz val="11"/>
        <rFont val="游ゴシック Medium"/>
        <family val="3"/>
        <charset val="128"/>
      </rPr>
      <t>ジュンク堂</t>
    </r>
    <rPh sb="4" eb="5">
      <t>ドウ</t>
    </rPh>
    <phoneticPr fontId="1"/>
  </si>
  <si>
    <r>
      <rPr>
        <sz val="11"/>
        <rFont val="游ゴシック Medium"/>
        <family val="3"/>
        <charset val="128"/>
      </rPr>
      <t>実用書</t>
    </r>
    <rPh sb="0" eb="3">
      <t>ジツヨウショ</t>
    </rPh>
    <phoneticPr fontId="1"/>
  </si>
  <si>
    <r>
      <rPr>
        <sz val="11"/>
        <rFont val="游ゴシック Medium"/>
        <family val="3"/>
        <charset val="128"/>
      </rPr>
      <t>鉄尾</t>
    </r>
    <r>
      <rPr>
        <sz val="11"/>
        <rFont val="Consolas"/>
        <family val="3"/>
      </rPr>
      <t xml:space="preserve"> </t>
    </r>
    <r>
      <rPr>
        <sz val="11"/>
        <rFont val="游ゴシック Medium"/>
        <family val="3"/>
        <charset val="128"/>
      </rPr>
      <t>周一</t>
    </r>
    <rPh sb="0" eb="2">
      <t>テツオ</t>
    </rPh>
    <rPh sb="3" eb="5">
      <t>シュウイチ</t>
    </rPh>
    <phoneticPr fontId="1"/>
  </si>
  <si>
    <r>
      <rPr>
        <sz val="11"/>
        <rFont val="游ゴシック Medium"/>
        <family val="3"/>
        <charset val="128"/>
      </rPr>
      <t>自衛隊防災</t>
    </r>
    <r>
      <rPr>
        <sz val="11"/>
        <rFont val="Consolas"/>
        <family val="3"/>
      </rPr>
      <t xml:space="preserve"> BOOK</t>
    </r>
    <rPh sb="0" eb="3">
      <t>ジエイタイ</t>
    </rPh>
    <rPh sb="3" eb="5">
      <t>ボウサイ</t>
    </rPh>
    <phoneticPr fontId="1"/>
  </si>
  <si>
    <r>
      <rPr>
        <sz val="11"/>
        <rFont val="游ゴシック Medium"/>
        <family val="3"/>
        <charset val="128"/>
      </rPr>
      <t>マガジンハウス</t>
    </r>
    <phoneticPr fontId="1"/>
  </si>
  <si>
    <r>
      <rPr>
        <sz val="11"/>
        <rFont val="游ゴシック Medium"/>
        <family val="3"/>
        <charset val="128"/>
      </rPr>
      <t>三省堂書店有楽町店</t>
    </r>
    <rPh sb="0" eb="5">
      <t>サンセイドウショテン</t>
    </rPh>
    <rPh sb="5" eb="9">
      <t>ユウラクチョウテン</t>
    </rPh>
    <phoneticPr fontId="1"/>
  </si>
  <si>
    <r>
      <rPr>
        <sz val="11"/>
        <rFont val="游ゴシック Medium"/>
        <family val="3"/>
        <charset val="128"/>
      </rPr>
      <t>倉骨</t>
    </r>
    <r>
      <rPr>
        <sz val="11"/>
        <rFont val="Consolas"/>
        <family val="3"/>
      </rPr>
      <t xml:space="preserve"> </t>
    </r>
    <r>
      <rPr>
        <sz val="11"/>
        <rFont val="游ゴシック Medium"/>
        <family val="3"/>
        <charset val="128"/>
      </rPr>
      <t>彰</t>
    </r>
    <rPh sb="0" eb="2">
      <t>クラホネ</t>
    </rPh>
    <rPh sb="3" eb="4">
      <t>アキラ</t>
    </rPh>
    <phoneticPr fontId="1"/>
  </si>
  <si>
    <r>
      <t>Guns,Germs,and Steel/</t>
    </r>
    <r>
      <rPr>
        <sz val="11"/>
        <rFont val="游ゴシック Medium"/>
        <family val="3"/>
        <charset val="128"/>
      </rPr>
      <t>銃･病原菌･鉄</t>
    </r>
    <r>
      <rPr>
        <sz val="11"/>
        <rFont val="Consolas"/>
        <family val="3"/>
      </rPr>
      <t>/</t>
    </r>
    <r>
      <rPr>
        <sz val="11"/>
        <rFont val="游ゴシック Medium"/>
        <family val="3"/>
        <charset val="128"/>
      </rPr>
      <t>一万三〇〇〇年にわたる人類史の謎</t>
    </r>
    <rPh sb="21" eb="22">
      <t>ジュウ</t>
    </rPh>
    <rPh sb="23" eb="26">
      <t>ビョウゲンキン</t>
    </rPh>
    <rPh sb="27" eb="28">
      <t>テツ</t>
    </rPh>
    <rPh sb="29" eb="31">
      <t>イチマン</t>
    </rPh>
    <rPh sb="31" eb="36">
      <t>サンゼンネン</t>
    </rPh>
    <rPh sb="40" eb="43">
      <t>ジンルイシ</t>
    </rPh>
    <rPh sb="44" eb="45">
      <t>ナゾ</t>
    </rPh>
    <phoneticPr fontId="1"/>
  </si>
  <si>
    <r>
      <rPr>
        <sz val="11"/>
        <rFont val="游ゴシック Medium"/>
        <family val="3"/>
        <charset val="128"/>
      </rPr>
      <t>草思社</t>
    </r>
    <rPh sb="0" eb="3">
      <t>ソウシシャ</t>
    </rPh>
    <phoneticPr fontId="1"/>
  </si>
  <si>
    <r>
      <rPr>
        <sz val="11"/>
        <rFont val="游ゴシック Medium"/>
        <family val="3"/>
        <charset val="128"/>
      </rPr>
      <t>池袋西武</t>
    </r>
    <r>
      <rPr>
        <sz val="11"/>
        <rFont val="Consolas"/>
        <family val="3"/>
      </rPr>
      <t>Libro</t>
    </r>
    <rPh sb="0" eb="2">
      <t>イケブクロ</t>
    </rPh>
    <rPh sb="2" eb="4">
      <t>セイブ</t>
    </rPh>
    <rPh sb="4" eb="9">
      <t>リブロ</t>
    </rPh>
    <phoneticPr fontId="1"/>
  </si>
  <si>
    <r>
      <rPr>
        <sz val="11"/>
        <rFont val="游ゴシック Medium"/>
        <family val="3"/>
        <charset val="128"/>
      </rPr>
      <t>清水馨八郎</t>
    </r>
    <rPh sb="0" eb="2">
      <t>シミズ</t>
    </rPh>
    <rPh sb="2" eb="3">
      <t>ケイ</t>
    </rPh>
    <rPh sb="3" eb="5">
      <t>ハチロウ</t>
    </rPh>
    <phoneticPr fontId="1"/>
  </si>
  <si>
    <r>
      <rPr>
        <sz val="11"/>
        <rFont val="游ゴシック Medium"/>
        <family val="3"/>
        <charset val="128"/>
      </rPr>
      <t>侵略の世界史</t>
    </r>
    <rPh sb="0" eb="2">
      <t>シンリャク</t>
    </rPh>
    <rPh sb="3" eb="6">
      <t>セカイシ</t>
    </rPh>
    <phoneticPr fontId="1"/>
  </si>
  <si>
    <r>
      <rPr>
        <sz val="11"/>
        <rFont val="游ゴシック Medium"/>
        <family val="3"/>
        <charset val="128"/>
      </rPr>
      <t>祥伝社</t>
    </r>
    <rPh sb="0" eb="3">
      <t>ショウデンシャ</t>
    </rPh>
    <phoneticPr fontId="1"/>
  </si>
  <si>
    <r>
      <rPr>
        <sz val="11"/>
        <rFont val="游ゴシック Medium"/>
        <family val="3"/>
        <charset val="128"/>
      </rPr>
      <t>祝田</t>
    </r>
    <r>
      <rPr>
        <sz val="11"/>
        <rFont val="Consolas"/>
        <family val="3"/>
      </rPr>
      <t xml:space="preserve"> </t>
    </r>
    <r>
      <rPr>
        <sz val="11"/>
        <rFont val="游ゴシック Medium"/>
        <family val="3"/>
        <charset val="128"/>
      </rPr>
      <t>秀全</t>
    </r>
    <rPh sb="0" eb="2">
      <t>イワタ</t>
    </rPh>
    <rPh sb="3" eb="5">
      <t>シュウゼン</t>
    </rPh>
    <phoneticPr fontId="1"/>
  </si>
  <si>
    <r>
      <rPr>
        <sz val="11"/>
        <rFont val="游ゴシック Medium"/>
        <family val="3"/>
        <charset val="128"/>
      </rPr>
      <t>監修</t>
    </r>
    <r>
      <rPr>
        <sz val="11"/>
        <rFont val="Consolas"/>
        <family val="3"/>
      </rPr>
      <t>|</t>
    </r>
    <r>
      <rPr>
        <sz val="11"/>
        <rFont val="游ゴシック Medium"/>
        <family val="3"/>
        <charset val="128"/>
      </rPr>
      <t>新渡戸文化学園</t>
    </r>
    <rPh sb="0" eb="2">
      <t>カンシュウ</t>
    </rPh>
    <rPh sb="3" eb="10">
      <t>ニトベブンカガクエン</t>
    </rPh>
    <phoneticPr fontId="1"/>
  </si>
  <si>
    <r>
      <rPr>
        <sz val="11"/>
        <rFont val="游ゴシック Medium"/>
        <family val="3"/>
        <charset val="128"/>
      </rPr>
      <t>かみゆ歴史編集部</t>
    </r>
    <rPh sb="3" eb="5">
      <t>レキシ</t>
    </rPh>
    <rPh sb="5" eb="8">
      <t>ヘンシュウブ</t>
    </rPh>
    <phoneticPr fontId="1"/>
  </si>
  <si>
    <r>
      <rPr>
        <sz val="11"/>
        <rFont val="游ゴシック Medium"/>
        <family val="3"/>
        <charset val="128"/>
      </rPr>
      <t>エリア別だから流れがつながる</t>
    </r>
    <r>
      <rPr>
        <sz val="11"/>
        <rFont val="Consolas"/>
        <family val="3"/>
      </rPr>
      <t xml:space="preserve"> </t>
    </r>
    <r>
      <rPr>
        <sz val="11"/>
        <rFont val="游ゴシック Medium"/>
        <family val="3"/>
        <charset val="128"/>
      </rPr>
      <t>世界史</t>
    </r>
    <rPh sb="3" eb="4">
      <t>ベツ</t>
    </rPh>
    <rPh sb="7" eb="8">
      <t>ナガ</t>
    </rPh>
    <rPh sb="15" eb="18">
      <t>セカイシ</t>
    </rPh>
    <phoneticPr fontId="1"/>
  </si>
  <si>
    <r>
      <rPr>
        <sz val="11"/>
        <rFont val="游ゴシック Medium"/>
        <family val="3"/>
        <charset val="128"/>
      </rPr>
      <t>朝日新聞出版</t>
    </r>
    <rPh sb="0" eb="6">
      <t>アサヒシンブンシュッパン</t>
    </rPh>
    <phoneticPr fontId="1"/>
  </si>
  <si>
    <r>
      <rPr>
        <sz val="11"/>
        <rFont val="游ゴシック Medium"/>
        <family val="3"/>
        <charset val="128"/>
      </rPr>
      <t>野辺</t>
    </r>
    <r>
      <rPr>
        <sz val="11"/>
        <rFont val="Consolas"/>
        <family val="3"/>
      </rPr>
      <t xml:space="preserve"> </t>
    </r>
    <r>
      <rPr>
        <sz val="11"/>
        <rFont val="游ゴシック Medium"/>
        <family val="3"/>
        <charset val="128"/>
      </rPr>
      <t>瞳</t>
    </r>
    <r>
      <rPr>
        <sz val="11"/>
        <rFont val="Consolas"/>
        <family val="3"/>
      </rPr>
      <t xml:space="preserve"> </t>
    </r>
    <r>
      <rPr>
        <sz val="11"/>
        <rFont val="游ゴシック Medium"/>
        <family val="3"/>
        <charset val="128"/>
      </rPr>
      <t>嬢からプレゼント</t>
    </r>
    <rPh sb="0" eb="2">
      <t>ノベ</t>
    </rPh>
    <rPh sb="3" eb="4">
      <t>ヒトミ</t>
    </rPh>
    <rPh sb="5" eb="6">
      <t>ジョウ</t>
    </rPh>
    <phoneticPr fontId="1"/>
  </si>
  <si>
    <r>
      <rPr>
        <sz val="11"/>
        <rFont val="游ゴシック Medium"/>
        <family val="3"/>
        <charset val="128"/>
      </rPr>
      <t>清水義範</t>
    </r>
    <rPh sb="0" eb="2">
      <t>シミズ</t>
    </rPh>
    <rPh sb="2" eb="4">
      <t>ヨシノリ</t>
    </rPh>
    <phoneticPr fontId="1"/>
  </si>
  <si>
    <r>
      <rPr>
        <sz val="11"/>
        <rFont val="游ゴシック Medium"/>
        <family val="3"/>
        <charset val="128"/>
      </rPr>
      <t>ああ知らなんだこんな</t>
    </r>
    <r>
      <rPr>
        <sz val="11"/>
        <color indexed="10"/>
        <rFont val="游ゴシック Medium"/>
        <family val="3"/>
        <charset val="128"/>
      </rPr>
      <t>世界史</t>
    </r>
    <rPh sb="2" eb="3">
      <t>シ</t>
    </rPh>
    <rPh sb="10" eb="13">
      <t>セカイシ</t>
    </rPh>
    <phoneticPr fontId="1"/>
  </si>
  <si>
    <r>
      <rPr>
        <sz val="11"/>
        <rFont val="游ゴシック Medium"/>
        <family val="3"/>
        <charset val="128"/>
      </rPr>
      <t>毎日新聞社</t>
    </r>
    <rPh sb="0" eb="2">
      <t>マイニチ</t>
    </rPh>
    <rPh sb="2" eb="5">
      <t>シンブンシャ</t>
    </rPh>
    <phoneticPr fontId="1"/>
  </si>
  <si>
    <r>
      <rPr>
        <sz val="11"/>
        <rFont val="游ゴシック Medium"/>
        <family val="3"/>
        <charset val="128"/>
      </rPr>
      <t>三橋</t>
    </r>
    <r>
      <rPr>
        <sz val="11"/>
        <rFont val="Consolas"/>
        <family val="3"/>
      </rPr>
      <t xml:space="preserve"> </t>
    </r>
    <r>
      <rPr>
        <sz val="11"/>
        <rFont val="游ゴシック Medium"/>
        <family val="3"/>
        <charset val="128"/>
      </rPr>
      <t>貴明</t>
    </r>
    <rPh sb="0" eb="2">
      <t>ミツバシ</t>
    </rPh>
    <rPh sb="3" eb="5">
      <t>タカアキ</t>
    </rPh>
    <phoneticPr fontId="1"/>
  </si>
  <si>
    <r>
      <t>99%</t>
    </r>
    <r>
      <rPr>
        <sz val="11"/>
        <rFont val="游ゴシック Medium"/>
        <family val="3"/>
        <charset val="128"/>
      </rPr>
      <t>の日本人が知らない</t>
    </r>
    <r>
      <rPr>
        <sz val="11"/>
        <rFont val="Consolas"/>
        <family val="3"/>
      </rPr>
      <t xml:space="preserve"> </t>
    </r>
    <r>
      <rPr>
        <sz val="11"/>
        <rFont val="游ゴシック Medium"/>
        <family val="3"/>
        <charset val="128"/>
      </rPr>
      <t>明治維新の大嘘</t>
    </r>
    <rPh sb="4" eb="7">
      <t>ニホンジン</t>
    </rPh>
    <rPh sb="8" eb="9">
      <t>シ</t>
    </rPh>
    <rPh sb="13" eb="17">
      <t>メイジイシン</t>
    </rPh>
    <rPh sb="18" eb="20">
      <t>オオウソ</t>
    </rPh>
    <phoneticPr fontId="1"/>
  </si>
  <si>
    <r>
      <rPr>
        <sz val="11"/>
        <rFont val="游ゴシック Medium"/>
        <family val="3"/>
        <charset val="128"/>
      </rPr>
      <t>「司馬遼太郎の日本史」の罠</t>
    </r>
    <r>
      <rPr>
        <sz val="11"/>
        <rFont val="Consolas"/>
        <family val="3"/>
      </rPr>
      <t xml:space="preserve"> </t>
    </r>
    <r>
      <rPr>
        <sz val="11"/>
        <rFont val="游ゴシック Medium"/>
        <family val="3"/>
        <charset val="128"/>
      </rPr>
      <t>経済がわかれば、歴史が鮮明に見えてくる</t>
    </r>
    <r>
      <rPr>
        <sz val="11"/>
        <rFont val="Consolas"/>
        <family val="3"/>
      </rPr>
      <t xml:space="preserve"> </t>
    </r>
    <r>
      <rPr>
        <sz val="11"/>
        <rFont val="游ゴシック Medium"/>
        <family val="3"/>
        <charset val="128"/>
      </rPr>
      <t>教科書や大河ドラマでは学べない日本国家の真実</t>
    </r>
    <rPh sb="34" eb="37">
      <t>キョウカショ</t>
    </rPh>
    <rPh sb="38" eb="40">
      <t>タイガ</t>
    </rPh>
    <rPh sb="45" eb="46">
      <t>マナ</t>
    </rPh>
    <rPh sb="49" eb="53">
      <t>ニホンコッカ</t>
    </rPh>
    <rPh sb="54" eb="56">
      <t>シンジツ</t>
    </rPh>
    <phoneticPr fontId="1"/>
  </si>
  <si>
    <r>
      <rPr>
        <sz val="11"/>
        <rFont val="游ゴシック Medium"/>
        <family val="3"/>
        <charset val="128"/>
      </rPr>
      <t>株式会社経営科学出版</t>
    </r>
    <rPh sb="0" eb="4">
      <t>カブシキガイシャ</t>
    </rPh>
    <rPh sb="4" eb="6">
      <t>ケイエイ</t>
    </rPh>
    <rPh sb="6" eb="8">
      <t>カガク</t>
    </rPh>
    <rPh sb="8" eb="10">
      <t>シュッパン</t>
    </rPh>
    <phoneticPr fontId="1"/>
  </si>
  <si>
    <r>
      <t>YouTube</t>
    </r>
    <r>
      <rPr>
        <sz val="11"/>
        <rFont val="游ゴシック Medium"/>
        <family val="3"/>
        <charset val="128"/>
      </rPr>
      <t>宣伝、送料のみ</t>
    </r>
    <rPh sb="7" eb="9">
      <t>センデン</t>
    </rPh>
    <rPh sb="10" eb="12">
      <t>ソウリョウ</t>
    </rPh>
    <phoneticPr fontId="1"/>
  </si>
  <si>
    <r>
      <rPr>
        <sz val="11"/>
        <rFont val="游ゴシック Medium"/>
        <family val="3"/>
        <charset val="128"/>
      </rPr>
      <t>文部省</t>
    </r>
    <rPh sb="0" eb="3">
      <t>モンブ</t>
    </rPh>
    <phoneticPr fontId="1"/>
  </si>
  <si>
    <r>
      <rPr>
        <sz val="11"/>
        <rFont val="游ゴシック Medium"/>
        <family val="3"/>
        <charset val="128"/>
      </rPr>
      <t>三浦</t>
    </r>
    <r>
      <rPr>
        <sz val="11"/>
        <rFont val="Consolas"/>
        <family val="3"/>
      </rPr>
      <t xml:space="preserve"> </t>
    </r>
    <r>
      <rPr>
        <sz val="11"/>
        <rFont val="游ゴシック Medium"/>
        <family val="3"/>
        <charset val="128"/>
      </rPr>
      <t>小太郎</t>
    </r>
    <rPh sb="0" eb="2">
      <t>ミウラ</t>
    </rPh>
    <rPh sb="3" eb="6">
      <t>コタロウ</t>
    </rPh>
    <phoneticPr fontId="1"/>
  </si>
  <si>
    <r>
      <rPr>
        <sz val="11"/>
        <rFont val="游ゴシック Medium"/>
        <family val="3"/>
        <charset val="128"/>
      </rPr>
      <t>初等科國史</t>
    </r>
    <r>
      <rPr>
        <sz val="11"/>
        <rFont val="Consolas"/>
        <family val="3"/>
      </rPr>
      <t xml:space="preserve"> [</t>
    </r>
    <r>
      <rPr>
        <sz val="11"/>
        <rFont val="游ゴシック Medium"/>
        <family val="3"/>
        <charset val="128"/>
      </rPr>
      <t>復刻版</t>
    </r>
    <r>
      <rPr>
        <sz val="11"/>
        <rFont val="Consolas"/>
        <family val="3"/>
      </rPr>
      <t>]</t>
    </r>
    <rPh sb="0" eb="3">
      <t>ショトウカ</t>
    </rPh>
    <rPh sb="3" eb="5">
      <t>コクシ</t>
    </rPh>
    <rPh sb="7" eb="10">
      <t>フッコクバン</t>
    </rPh>
    <phoneticPr fontId="1"/>
  </si>
  <si>
    <r>
      <rPr>
        <sz val="11"/>
        <rFont val="游ゴシック Medium"/>
        <family val="3"/>
        <charset val="128"/>
      </rPr>
      <t>ハート出版</t>
    </r>
    <rPh sb="3" eb="5">
      <t>シュッパン</t>
    </rPh>
    <phoneticPr fontId="1"/>
  </si>
  <si>
    <r>
      <rPr>
        <strike/>
        <sz val="11"/>
        <rFont val="游ゴシック Medium"/>
        <family val="3"/>
        <charset val="128"/>
      </rPr>
      <t>歴史・社会</t>
    </r>
    <rPh sb="0" eb="2">
      <t>レキシ</t>
    </rPh>
    <rPh sb="3" eb="5">
      <t>シャカイ</t>
    </rPh>
    <phoneticPr fontId="1"/>
  </si>
  <si>
    <r>
      <rPr>
        <strike/>
        <sz val="11"/>
        <rFont val="游ゴシック Medium"/>
        <family val="3"/>
        <charset val="128"/>
      </rPr>
      <t>西尾幹二</t>
    </r>
    <rPh sb="0" eb="2">
      <t>ニシオ</t>
    </rPh>
    <rPh sb="2" eb="4">
      <t>カンジ</t>
    </rPh>
    <phoneticPr fontId="1"/>
  </si>
  <si>
    <r>
      <rPr>
        <strike/>
        <sz val="11"/>
        <rFont val="游ゴシック Medium"/>
        <family val="3"/>
        <charset val="128"/>
      </rPr>
      <t>新しい歴史教科書をつくる会</t>
    </r>
    <rPh sb="0" eb="1">
      <t>アタラ</t>
    </rPh>
    <rPh sb="3" eb="5">
      <t>レキシ</t>
    </rPh>
    <rPh sb="5" eb="8">
      <t>キョウカショ</t>
    </rPh>
    <rPh sb="12" eb="13">
      <t>カイ</t>
    </rPh>
    <phoneticPr fontId="1"/>
  </si>
  <si>
    <r>
      <rPr>
        <strike/>
        <sz val="11"/>
        <rFont val="游ゴシック Medium"/>
        <family val="3"/>
        <charset val="128"/>
      </rPr>
      <t>国民の歴史</t>
    </r>
    <rPh sb="0" eb="2">
      <t>コクミン</t>
    </rPh>
    <rPh sb="3" eb="5">
      <t>レキシ</t>
    </rPh>
    <phoneticPr fontId="1"/>
  </si>
  <si>
    <r>
      <rPr>
        <strike/>
        <sz val="11"/>
        <rFont val="游ゴシック Medium"/>
        <family val="3"/>
        <charset val="128"/>
      </rPr>
      <t>産經新聞社</t>
    </r>
    <rPh sb="0" eb="2">
      <t>サンケイ</t>
    </rPh>
    <rPh sb="2" eb="5">
      <t>シンブンシャ</t>
    </rPh>
    <phoneticPr fontId="1"/>
  </si>
  <si>
    <r>
      <rPr>
        <sz val="11"/>
        <rFont val="游ゴシック Medium"/>
        <family val="3"/>
        <charset val="128"/>
      </rPr>
      <t>歴史・社会</t>
    </r>
    <r>
      <rPr>
        <sz val="11"/>
        <rFont val="Consolas"/>
        <family val="3"/>
      </rPr>
      <t>/ethnic</t>
    </r>
    <rPh sb="0" eb="2">
      <t>レキシ</t>
    </rPh>
    <rPh sb="3" eb="5">
      <t>シャカイ</t>
    </rPh>
    <phoneticPr fontId="1"/>
  </si>
  <si>
    <r>
      <rPr>
        <sz val="11"/>
        <rFont val="游ゴシック Medium"/>
        <family val="3"/>
        <charset val="128"/>
      </rPr>
      <t>佐治芳彦</t>
    </r>
    <rPh sb="0" eb="2">
      <t>サジ</t>
    </rPh>
    <rPh sb="2" eb="4">
      <t>ヨシヒコ</t>
    </rPh>
    <phoneticPr fontId="1"/>
  </si>
  <si>
    <r>
      <rPr>
        <sz val="11"/>
        <rFont val="游ゴシック Medium"/>
        <family val="3"/>
        <charset val="128"/>
      </rPr>
      <t>古代文明評論家</t>
    </r>
    <rPh sb="0" eb="2">
      <t>コダイ</t>
    </rPh>
    <rPh sb="2" eb="4">
      <t>ブンメイ</t>
    </rPh>
    <rPh sb="4" eb="7">
      <t>ヒョウロンカ</t>
    </rPh>
    <phoneticPr fontId="1"/>
  </si>
  <si>
    <r>
      <rPr>
        <sz val="11"/>
        <rFont val="游ゴシック Medium"/>
        <family val="3"/>
        <charset val="128"/>
      </rPr>
      <t>謎の契丹古伝</t>
    </r>
    <r>
      <rPr>
        <sz val="11"/>
        <rFont val="Consolas"/>
        <family val="3"/>
      </rPr>
      <t>/Eurasia</t>
    </r>
    <r>
      <rPr>
        <sz val="11"/>
        <rFont val="游ゴシック Medium"/>
        <family val="3"/>
        <charset val="128"/>
      </rPr>
      <t>騎馬民伝</t>
    </r>
    <r>
      <rPr>
        <sz val="11"/>
        <rFont val="Consolas"/>
        <family val="3"/>
      </rPr>
      <t>/</t>
    </r>
    <r>
      <rPr>
        <sz val="11"/>
        <rFont val="游ゴシック Medium"/>
        <family val="3"/>
        <charset val="128"/>
      </rPr>
      <t>日本は大</t>
    </r>
    <r>
      <rPr>
        <sz val="11"/>
        <rFont val="Consolas"/>
        <family val="3"/>
      </rPr>
      <t>Asia</t>
    </r>
    <r>
      <rPr>
        <sz val="11"/>
        <rFont val="游ゴシック Medium"/>
        <family val="3"/>
        <charset val="128"/>
      </rPr>
      <t>の民だった</t>
    </r>
    <r>
      <rPr>
        <sz val="11"/>
        <rFont val="Consolas"/>
        <family val="3"/>
      </rPr>
      <t>!</t>
    </r>
    <rPh sb="0" eb="1">
      <t>ナゾ</t>
    </rPh>
    <rPh sb="2" eb="4">
      <t>キッタン</t>
    </rPh>
    <rPh sb="4" eb="6">
      <t>コデン</t>
    </rPh>
    <rPh sb="7" eb="14">
      <t>ユーラシア</t>
    </rPh>
    <rPh sb="14" eb="16">
      <t>キバ</t>
    </rPh>
    <rPh sb="16" eb="17">
      <t>ミン</t>
    </rPh>
    <rPh sb="17" eb="18">
      <t>デン</t>
    </rPh>
    <rPh sb="19" eb="21">
      <t>ニホン</t>
    </rPh>
    <rPh sb="22" eb="23">
      <t>ダイ</t>
    </rPh>
    <rPh sb="23" eb="27">
      <t>アジア</t>
    </rPh>
    <rPh sb="28" eb="29">
      <t>タミ</t>
    </rPh>
    <phoneticPr fontId="1"/>
  </si>
  <si>
    <r>
      <rPr>
        <sz val="11"/>
        <rFont val="游ゴシック Medium"/>
        <family val="3"/>
        <charset val="128"/>
      </rPr>
      <t>徳間書店</t>
    </r>
    <rPh sb="0" eb="2">
      <t>トクマ</t>
    </rPh>
    <rPh sb="2" eb="4">
      <t>ショテン</t>
    </rPh>
    <phoneticPr fontId="1"/>
  </si>
  <si>
    <r>
      <rPr>
        <sz val="11"/>
        <rFont val="游ゴシック Medium"/>
        <family val="3"/>
        <charset val="128"/>
      </rPr>
      <t>中国人民美術出版社</t>
    </r>
    <r>
      <rPr>
        <sz val="11"/>
        <rFont val="Consolas"/>
        <family val="3"/>
      </rPr>
      <t xml:space="preserve"> + </t>
    </r>
    <r>
      <rPr>
        <sz val="11"/>
        <rFont val="游ゴシック Medium"/>
        <family val="3"/>
        <charset val="128"/>
      </rPr>
      <t>美乃美</t>
    </r>
    <rPh sb="0" eb="2">
      <t>チュウゴク</t>
    </rPh>
    <rPh sb="2" eb="4">
      <t>ジンミン</t>
    </rPh>
    <rPh sb="4" eb="6">
      <t>ビジュツ</t>
    </rPh>
    <rPh sb="6" eb="9">
      <t>シュッパンシャ</t>
    </rPh>
    <phoneticPr fontId="1"/>
  </si>
  <si>
    <r>
      <rPr>
        <sz val="11"/>
        <rFont val="游ゴシック Medium"/>
        <family val="3"/>
        <charset val="128"/>
      </rPr>
      <t>貴州の旅</t>
    </r>
    <rPh sb="0" eb="2">
      <t>キシュウ</t>
    </rPh>
    <rPh sb="3" eb="4">
      <t>タビ</t>
    </rPh>
    <phoneticPr fontId="1"/>
  </si>
  <si>
    <r>
      <rPr>
        <sz val="11"/>
        <rFont val="游ゴシック Medium"/>
        <family val="3"/>
        <charset val="128"/>
      </rPr>
      <t>中国カラー文庫</t>
    </r>
    <r>
      <rPr>
        <sz val="11"/>
        <rFont val="Consolas"/>
        <family val="3"/>
      </rPr>
      <t>/19</t>
    </r>
    <rPh sb="0" eb="2">
      <t>チュウゴク</t>
    </rPh>
    <rPh sb="5" eb="7">
      <t>ブンコ</t>
    </rPh>
    <phoneticPr fontId="1"/>
  </si>
  <si>
    <r>
      <rPr>
        <sz val="11"/>
        <rFont val="游ゴシック Medium"/>
        <family val="3"/>
        <charset val="128"/>
      </rPr>
      <t>金子史朗</t>
    </r>
    <rPh sb="0" eb="2">
      <t>カネコ</t>
    </rPh>
    <rPh sb="2" eb="4">
      <t>シロウ</t>
    </rPh>
    <phoneticPr fontId="1"/>
  </si>
  <si>
    <r>
      <rPr>
        <sz val="11"/>
        <rFont val="游ゴシック Medium"/>
        <family val="3"/>
        <charset val="128"/>
      </rPr>
      <t>旧約聖書と</t>
    </r>
    <r>
      <rPr>
        <sz val="11"/>
        <rFont val="Consolas"/>
        <family val="3"/>
      </rPr>
      <t>Aegean</t>
    </r>
    <r>
      <rPr>
        <sz val="11"/>
        <rFont val="游ゴシック Medium"/>
        <family val="3"/>
        <charset val="128"/>
      </rPr>
      <t>海の大異変</t>
    </r>
    <rPh sb="0" eb="2">
      <t>キュウヤク</t>
    </rPh>
    <rPh sb="2" eb="4">
      <t>セイショ</t>
    </rPh>
    <rPh sb="5" eb="11">
      <t>エーゲ</t>
    </rPh>
    <rPh sb="11" eb="12">
      <t>カイ</t>
    </rPh>
    <rPh sb="13" eb="14">
      <t>ダイ</t>
    </rPh>
    <rPh sb="14" eb="16">
      <t>イヘン</t>
    </rPh>
    <phoneticPr fontId="1"/>
  </si>
  <si>
    <r>
      <rPr>
        <sz val="11"/>
        <rFont val="游ゴシック Medium"/>
        <family val="3"/>
        <charset val="128"/>
      </rPr>
      <t>胡桃書房</t>
    </r>
    <rPh sb="0" eb="2">
      <t>クルミ</t>
    </rPh>
    <rPh sb="2" eb="4">
      <t>ショボウ</t>
    </rPh>
    <phoneticPr fontId="1"/>
  </si>
  <si>
    <r>
      <rPr>
        <sz val="11"/>
        <rFont val="游ゴシック Medium"/>
        <family val="3"/>
        <charset val="128"/>
      </rPr>
      <t>渡辺</t>
    </r>
    <r>
      <rPr>
        <sz val="11"/>
        <rFont val="Consolas"/>
        <family val="3"/>
      </rPr>
      <t xml:space="preserve"> </t>
    </r>
    <r>
      <rPr>
        <sz val="11"/>
        <rFont val="游ゴシック Medium"/>
        <family val="3"/>
        <charset val="128"/>
      </rPr>
      <t>正</t>
    </r>
    <rPh sb="0" eb="2">
      <t>ワタナベ</t>
    </rPh>
    <rPh sb="3" eb="4">
      <t>タダシ</t>
    </rPh>
    <phoneticPr fontId="1"/>
  </si>
  <si>
    <r>
      <rPr>
        <sz val="11"/>
        <rFont val="游ゴシック Medium"/>
        <family val="3"/>
        <charset val="128"/>
      </rPr>
      <t>蜃気楼文明</t>
    </r>
    <r>
      <rPr>
        <sz val="11"/>
        <rFont val="Consolas"/>
        <family val="3"/>
      </rPr>
      <t>/Pyramid</t>
    </r>
    <r>
      <rPr>
        <sz val="11"/>
        <rFont val="游ゴシック Medium"/>
        <family val="3"/>
        <charset val="128"/>
      </rPr>
      <t>､ナスカ､</t>
    </r>
    <r>
      <rPr>
        <sz val="11"/>
        <rFont val="Consolas"/>
        <family val="3"/>
      </rPr>
      <t>Stonehenge</t>
    </r>
    <r>
      <rPr>
        <sz val="11"/>
        <rFont val="游ゴシック Medium"/>
        <family val="3"/>
        <charset val="128"/>
      </rPr>
      <t>の謎を解く</t>
    </r>
    <r>
      <rPr>
        <sz val="11"/>
        <rFont val="Consolas"/>
        <family val="3"/>
      </rPr>
      <t>/Das Ratsel der Gotter/Fata Morgana</t>
    </r>
    <rPh sb="0" eb="3">
      <t>シンキロウ</t>
    </rPh>
    <rPh sb="3" eb="5">
      <t>ブンメイ</t>
    </rPh>
    <rPh sb="6" eb="13">
      <t>ピラミッド</t>
    </rPh>
    <rPh sb="18" eb="28">
      <t>ストーンヘンジ</t>
    </rPh>
    <rPh sb="29" eb="30">
      <t>ナゾ</t>
    </rPh>
    <rPh sb="31" eb="32">
      <t>ト</t>
    </rPh>
    <phoneticPr fontId="1"/>
  </si>
  <si>
    <r>
      <rPr>
        <sz val="11"/>
        <rFont val="游ゴシック Medium"/>
        <family val="3"/>
        <charset val="128"/>
      </rPr>
      <t>福岡政行</t>
    </r>
    <rPh sb="0" eb="2">
      <t>フクオカ</t>
    </rPh>
    <rPh sb="2" eb="4">
      <t>マサユキ</t>
    </rPh>
    <phoneticPr fontId="1"/>
  </si>
  <si>
    <r>
      <t>21</t>
    </r>
    <r>
      <rPr>
        <sz val="11"/>
        <rFont val="游ゴシック Medium"/>
        <family val="3"/>
        <charset val="128"/>
      </rPr>
      <t>世紀</t>
    </r>
    <r>
      <rPr>
        <sz val="11"/>
        <rFont val="Consolas"/>
        <family val="3"/>
      </rPr>
      <t xml:space="preserve"> </t>
    </r>
    <r>
      <rPr>
        <sz val="11"/>
        <rFont val="游ゴシック Medium"/>
        <family val="3"/>
        <charset val="128"/>
      </rPr>
      <t>世界の民族紛争</t>
    </r>
    <r>
      <rPr>
        <sz val="11"/>
        <rFont val="Consolas"/>
        <family val="3"/>
      </rPr>
      <t>/21st century's Ethnic Wars in The World</t>
    </r>
    <rPh sb="2" eb="4">
      <t>セイキ</t>
    </rPh>
    <rPh sb="5" eb="7">
      <t>セカイ</t>
    </rPh>
    <rPh sb="8" eb="10">
      <t>ミンゾク</t>
    </rPh>
    <rPh sb="10" eb="12">
      <t>フンソウ</t>
    </rPh>
    <phoneticPr fontId="1"/>
  </si>
  <si>
    <r>
      <rPr>
        <sz val="11"/>
        <rFont val="游ゴシック Medium"/>
        <family val="3"/>
        <charset val="128"/>
      </rPr>
      <t>生活</t>
    </r>
    <r>
      <rPr>
        <sz val="11"/>
        <rFont val="Consolas"/>
        <family val="3"/>
      </rPr>
      <t>Series</t>
    </r>
    <rPh sb="0" eb="2">
      <t>セイカツ</t>
    </rPh>
    <rPh sb="2" eb="8">
      <t>シリーズ</t>
    </rPh>
    <phoneticPr fontId="1"/>
  </si>
  <si>
    <r>
      <rPr>
        <sz val="11"/>
        <rFont val="游ゴシック Medium"/>
        <family val="3"/>
        <charset val="128"/>
      </rPr>
      <t>主婦と生活社</t>
    </r>
    <rPh sb="0" eb="2">
      <t>シュフ</t>
    </rPh>
    <rPh sb="3" eb="6">
      <t>セイカツシャ</t>
    </rPh>
    <phoneticPr fontId="1"/>
  </si>
  <si>
    <r>
      <rPr>
        <sz val="11"/>
        <rFont val="游ゴシック Medium"/>
        <family val="3"/>
        <charset val="128"/>
      </rPr>
      <t>伊藤勇夫から</t>
    </r>
    <rPh sb="0" eb="2">
      <t>イトウ</t>
    </rPh>
    <rPh sb="2" eb="4">
      <t>イサオ</t>
    </rPh>
    <phoneticPr fontId="1"/>
  </si>
  <si>
    <r>
      <rPr>
        <sz val="11"/>
        <rFont val="游ゴシック Medium"/>
        <family val="3"/>
        <charset val="128"/>
      </rPr>
      <t>贈与</t>
    </r>
    <r>
      <rPr>
        <sz val="11"/>
        <rFont val="Consolas"/>
        <family val="3"/>
      </rPr>
      <t>/</t>
    </r>
    <r>
      <rPr>
        <sz val="11"/>
        <rFont val="游ゴシック Medium"/>
        <family val="3"/>
        <charset val="128"/>
      </rPr>
      <t>帯</t>
    </r>
    <r>
      <rPr>
        <sz val="11"/>
        <rFont val="Consolas"/>
        <family val="3"/>
      </rPr>
      <t>:</t>
    </r>
    <r>
      <rPr>
        <sz val="11"/>
        <rFont val="游ゴシック Medium"/>
        <family val="3"/>
        <charset val="128"/>
      </rPr>
      <t>新聞･</t>
    </r>
    <r>
      <rPr>
        <sz val="11"/>
        <rFont val="Consolas"/>
        <family val="3"/>
      </rPr>
      <t>TV</t>
    </r>
    <r>
      <rPr>
        <sz val="11"/>
        <rFont val="游ゴシック Medium"/>
        <family val="3"/>
        <charset val="128"/>
      </rPr>
      <t>のニュースが面白いほどよくわかる。</t>
    </r>
    <rPh sb="0" eb="2">
      <t>ゾウヨ</t>
    </rPh>
    <rPh sb="3" eb="4">
      <t>オビ</t>
    </rPh>
    <rPh sb="5" eb="7">
      <t>シンブン</t>
    </rPh>
    <rPh sb="16" eb="18">
      <t>オモシロ</t>
    </rPh>
    <phoneticPr fontId="1"/>
  </si>
  <si>
    <r>
      <t>ethnic/</t>
    </r>
    <r>
      <rPr>
        <sz val="11"/>
        <rFont val="游ゴシック Medium"/>
        <family val="3"/>
        <charset val="128"/>
      </rPr>
      <t>宗教</t>
    </r>
    <rPh sb="7" eb="9">
      <t>シュウキョウ</t>
    </rPh>
    <phoneticPr fontId="1"/>
  </si>
  <si>
    <r>
      <rPr>
        <sz val="11"/>
        <rFont val="游ゴシック Medium"/>
        <family val="3"/>
        <charset val="128"/>
      </rPr>
      <t>小滝</t>
    </r>
    <r>
      <rPr>
        <sz val="11"/>
        <rFont val="Consolas"/>
        <family val="3"/>
      </rPr>
      <t xml:space="preserve"> </t>
    </r>
    <r>
      <rPr>
        <sz val="11"/>
        <rFont val="游ゴシック Medium"/>
        <family val="3"/>
        <charset val="128"/>
      </rPr>
      <t>透</t>
    </r>
    <rPh sb="0" eb="2">
      <t>コタキ</t>
    </rPh>
    <rPh sb="3" eb="4">
      <t>トオル</t>
    </rPh>
    <phoneticPr fontId="1"/>
  </si>
  <si>
    <r>
      <rPr>
        <sz val="11"/>
        <rFont val="游ゴシック Medium"/>
        <family val="3"/>
        <charset val="128"/>
      </rPr>
      <t>密教と</t>
    </r>
    <r>
      <rPr>
        <sz val="11"/>
        <rFont val="Consolas"/>
        <family val="3"/>
      </rPr>
      <t>Islam/Tantric Buddhism and Islam/</t>
    </r>
    <r>
      <rPr>
        <sz val="11"/>
        <rFont val="游ゴシック Medium"/>
        <family val="3"/>
        <charset val="128"/>
      </rPr>
      <t>高野山修行記</t>
    </r>
    <rPh sb="0" eb="2">
      <t>ミッキョウ</t>
    </rPh>
    <rPh sb="3" eb="8">
      <t>イスラーム</t>
    </rPh>
    <rPh sb="36" eb="39">
      <t>コウヤサン</t>
    </rPh>
    <rPh sb="39" eb="41">
      <t>シュギョウ</t>
    </rPh>
    <rPh sb="41" eb="42">
      <t>キ</t>
    </rPh>
    <phoneticPr fontId="1"/>
  </si>
  <si>
    <r>
      <rPr>
        <sz val="11"/>
        <rFont val="游ゴシック Medium"/>
        <family val="3"/>
        <charset val="128"/>
      </rPr>
      <t>東方出版</t>
    </r>
    <rPh sb="0" eb="2">
      <t>トウホウ</t>
    </rPh>
    <rPh sb="2" eb="4">
      <t>シュッパン</t>
    </rPh>
    <phoneticPr fontId="1"/>
  </si>
  <si>
    <r>
      <rPr>
        <sz val="11"/>
        <rFont val="游ゴシック Medium"/>
        <family val="3"/>
        <charset val="128"/>
      </rPr>
      <t>米原正義</t>
    </r>
    <rPh sb="0" eb="2">
      <t>ヨネハラ</t>
    </rPh>
    <rPh sb="2" eb="4">
      <t>マサヨシ</t>
    </rPh>
    <phoneticPr fontId="1"/>
  </si>
  <si>
    <r>
      <rPr>
        <sz val="11"/>
        <rFont val="游ゴシック Medium"/>
        <family val="3"/>
        <charset val="128"/>
      </rPr>
      <t>山中鹿介のすべて</t>
    </r>
    <rPh sb="0" eb="2">
      <t>ヤマナカ</t>
    </rPh>
    <rPh sb="2" eb="4">
      <t>シカノスケ</t>
    </rPh>
    <phoneticPr fontId="1"/>
  </si>
  <si>
    <r>
      <rPr>
        <sz val="11"/>
        <rFont val="游ゴシック Medium"/>
        <family val="3"/>
        <charset val="128"/>
      </rPr>
      <t>新人物往来社</t>
    </r>
    <rPh sb="0" eb="6">
      <t>シンジンブツオウライシャ</t>
    </rPh>
    <phoneticPr fontId="1"/>
  </si>
  <si>
    <r>
      <rPr>
        <sz val="11"/>
        <rFont val="游ゴシック Medium"/>
        <family val="3"/>
        <charset val="128"/>
      </rPr>
      <t>進藤幸彦</t>
    </r>
    <rPh sb="0" eb="2">
      <t>シンドウ</t>
    </rPh>
    <rPh sb="2" eb="4">
      <t>ユキヒコ</t>
    </rPh>
    <phoneticPr fontId="1"/>
  </si>
  <si>
    <r>
      <rPr>
        <sz val="11"/>
        <rFont val="游ゴシック Medium"/>
        <family val="3"/>
        <charset val="128"/>
      </rPr>
      <t>世界民芸曼陀羅</t>
    </r>
    <rPh sb="0" eb="2">
      <t>セカイ</t>
    </rPh>
    <rPh sb="2" eb="4">
      <t>ミンゲイ</t>
    </rPh>
    <rPh sb="4" eb="7">
      <t>マンダラ</t>
    </rPh>
    <phoneticPr fontId="1"/>
  </si>
  <si>
    <r>
      <rPr>
        <sz val="11"/>
        <rFont val="游ゴシック Medium"/>
        <family val="3"/>
        <charset val="128"/>
      </rPr>
      <t>健文堂書店</t>
    </r>
    <rPh sb="0" eb="2">
      <t>タケフミ</t>
    </rPh>
    <rPh sb="2" eb="3">
      <t>ドウ</t>
    </rPh>
    <rPh sb="3" eb="5">
      <t>ショテン</t>
    </rPh>
    <phoneticPr fontId="1"/>
  </si>
  <si>
    <r>
      <t>NHK</t>
    </r>
    <r>
      <rPr>
        <sz val="11"/>
        <rFont val="游ゴシック Medium"/>
        <family val="3"/>
        <charset val="128"/>
      </rPr>
      <t>取材班</t>
    </r>
    <rPh sb="3" eb="6">
      <t>シュザイハン</t>
    </rPh>
    <phoneticPr fontId="1"/>
  </si>
  <si>
    <r>
      <t>Asia</t>
    </r>
    <r>
      <rPr>
        <sz val="11"/>
        <rFont val="游ゴシック Medium"/>
        <family val="3"/>
        <charset val="128"/>
      </rPr>
      <t>の民芸</t>
    </r>
    <rPh sb="0" eb="4">
      <t>アジア</t>
    </rPh>
    <rPh sb="5" eb="7">
      <t>ミンゲイ</t>
    </rPh>
    <phoneticPr fontId="1"/>
  </si>
  <si>
    <r>
      <rPr>
        <sz val="11"/>
        <rFont val="游ゴシック Medium"/>
        <family val="3"/>
        <charset val="128"/>
      </rPr>
      <t>日本放送出版協会</t>
    </r>
    <rPh sb="0" eb="2">
      <t>ニホン</t>
    </rPh>
    <rPh sb="2" eb="4">
      <t>ホウソウ</t>
    </rPh>
    <rPh sb="4" eb="8">
      <t>シュッパンキョウカイ</t>
    </rPh>
    <phoneticPr fontId="1"/>
  </si>
  <si>
    <r>
      <rPr>
        <sz val="11"/>
        <rFont val="游ゴシック Medium"/>
        <family val="3"/>
        <charset val="128"/>
      </rPr>
      <t>本田</t>
    </r>
    <r>
      <rPr>
        <sz val="11"/>
        <rFont val="Consolas"/>
        <family val="3"/>
      </rPr>
      <t xml:space="preserve"> </t>
    </r>
    <r>
      <rPr>
        <sz val="11"/>
        <rFont val="游ゴシック Medium"/>
        <family val="3"/>
        <charset val="128"/>
      </rPr>
      <t>一二</t>
    </r>
    <rPh sb="0" eb="2">
      <t>ホンダ</t>
    </rPh>
    <rPh sb="3" eb="5">
      <t>イチジ</t>
    </rPh>
    <phoneticPr fontId="1"/>
  </si>
  <si>
    <r>
      <t>Africa</t>
    </r>
    <r>
      <rPr>
        <sz val="11"/>
        <rFont val="游ゴシック Medium"/>
        <family val="3"/>
        <charset val="128"/>
      </rPr>
      <t>の魔法医</t>
    </r>
    <rPh sb="0" eb="6">
      <t>アフリカ</t>
    </rPh>
    <rPh sb="7" eb="9">
      <t>マホウ</t>
    </rPh>
    <rPh sb="9" eb="10">
      <t>イ</t>
    </rPh>
    <phoneticPr fontId="1"/>
  </si>
  <si>
    <r>
      <rPr>
        <sz val="11"/>
        <rFont val="游ゴシック Medium"/>
        <family val="3"/>
        <charset val="128"/>
      </rPr>
      <t>毎日出版社</t>
    </r>
    <rPh sb="0" eb="2">
      <t>マイニチ</t>
    </rPh>
    <rPh sb="2" eb="5">
      <t>シュッパンシャ</t>
    </rPh>
    <phoneticPr fontId="1"/>
  </si>
  <si>
    <r>
      <rPr>
        <sz val="11"/>
        <rFont val="游ゴシック Medium"/>
        <family val="3"/>
        <charset val="128"/>
      </rPr>
      <t>山下</t>
    </r>
    <r>
      <rPr>
        <sz val="11"/>
        <rFont val="Consolas"/>
        <family val="3"/>
      </rPr>
      <t xml:space="preserve"> </t>
    </r>
    <r>
      <rPr>
        <sz val="11"/>
        <rFont val="游ゴシック Medium"/>
        <family val="3"/>
        <charset val="128"/>
      </rPr>
      <t>篤子</t>
    </r>
    <rPh sb="0" eb="2">
      <t>ヤマシタ</t>
    </rPh>
    <rPh sb="3" eb="5">
      <t>アツコ</t>
    </rPh>
    <phoneticPr fontId="1"/>
  </si>
  <si>
    <r>
      <t>The Man Who Tasted Shapes/</t>
    </r>
    <r>
      <rPr>
        <sz val="11"/>
        <rFont val="游ゴシック Medium"/>
        <family val="3"/>
        <charset val="128"/>
      </rPr>
      <t>共感覚者の驚くべき日常</t>
    </r>
    <r>
      <rPr>
        <sz val="11"/>
        <rFont val="Consolas"/>
        <family val="3"/>
      </rPr>
      <t>/</t>
    </r>
    <r>
      <rPr>
        <sz val="11"/>
        <rFont val="游ゴシック Medium"/>
        <family val="3"/>
        <charset val="128"/>
      </rPr>
      <t>形を味わう人、色を聴く人</t>
    </r>
    <rPh sb="26" eb="27">
      <t>キョウ</t>
    </rPh>
    <rPh sb="27" eb="29">
      <t>カンカク</t>
    </rPh>
    <rPh sb="29" eb="30">
      <t>シャ</t>
    </rPh>
    <rPh sb="31" eb="32">
      <t>オドロ</t>
    </rPh>
    <rPh sb="35" eb="37">
      <t>ニチジョウ</t>
    </rPh>
    <rPh sb="38" eb="39">
      <t>カタチ</t>
    </rPh>
    <rPh sb="40" eb="41">
      <t>アジ</t>
    </rPh>
    <rPh sb="43" eb="44">
      <t>ヒト</t>
    </rPh>
    <rPh sb="45" eb="46">
      <t>イロ</t>
    </rPh>
    <rPh sb="47" eb="48">
      <t>キ</t>
    </rPh>
    <rPh sb="49" eb="50">
      <t>ヒト</t>
    </rPh>
    <phoneticPr fontId="1"/>
  </si>
  <si>
    <r>
      <rPr>
        <sz val="11"/>
        <rFont val="游ゴシック Medium"/>
        <family val="3"/>
        <charset val="128"/>
      </rPr>
      <t>書原</t>
    </r>
    <rPh sb="0" eb="1">
      <t>ショ</t>
    </rPh>
    <rPh sb="1" eb="2">
      <t>ゲン</t>
    </rPh>
    <phoneticPr fontId="1"/>
  </si>
  <si>
    <r>
      <rPr>
        <sz val="11"/>
        <rFont val="游ゴシック Medium"/>
        <family val="3"/>
        <charset val="128"/>
      </rPr>
      <t>宗教</t>
    </r>
    <r>
      <rPr>
        <sz val="11"/>
        <rFont val="Consolas"/>
        <family val="3"/>
      </rPr>
      <t>/subculture</t>
    </r>
    <rPh sb="0" eb="2">
      <t>シュウキョウ</t>
    </rPh>
    <phoneticPr fontId="1"/>
  </si>
  <si>
    <r>
      <rPr>
        <sz val="11"/>
        <rFont val="游ゴシック Medium"/>
        <family val="3"/>
        <charset val="128"/>
      </rPr>
      <t>滝沢</t>
    </r>
    <r>
      <rPr>
        <sz val="11"/>
        <rFont val="Consolas"/>
        <family val="3"/>
      </rPr>
      <t xml:space="preserve"> </t>
    </r>
    <r>
      <rPr>
        <sz val="11"/>
        <rFont val="游ゴシック Medium"/>
        <family val="3"/>
        <charset val="128"/>
      </rPr>
      <t>解</t>
    </r>
    <rPh sb="0" eb="2">
      <t>タキザワ</t>
    </rPh>
    <rPh sb="3" eb="4">
      <t>カイ</t>
    </rPh>
    <phoneticPr fontId="1"/>
  </si>
  <si>
    <r>
      <rPr>
        <sz val="11"/>
        <rFont val="游ゴシック Medium"/>
        <family val="3"/>
        <charset val="128"/>
      </rPr>
      <t>長島</t>
    </r>
    <r>
      <rPr>
        <sz val="11"/>
        <rFont val="Consolas"/>
        <family val="3"/>
      </rPr>
      <t xml:space="preserve"> </t>
    </r>
    <r>
      <rPr>
        <sz val="11"/>
        <rFont val="游ゴシック Medium"/>
        <family val="3"/>
        <charset val="128"/>
      </rPr>
      <t>典子</t>
    </r>
    <rPh sb="0" eb="2">
      <t>ナガシマ</t>
    </rPh>
    <rPh sb="3" eb="5">
      <t>ノリコ</t>
    </rPh>
    <phoneticPr fontId="1"/>
  </si>
  <si>
    <r>
      <rPr>
        <sz val="11"/>
        <rFont val="游ゴシック Medium"/>
        <family val="3"/>
        <charset val="128"/>
      </rPr>
      <t>イラスト</t>
    </r>
    <phoneticPr fontId="1"/>
  </si>
  <si>
    <r>
      <t>[</t>
    </r>
    <r>
      <rPr>
        <sz val="11"/>
        <rFont val="游ゴシック Medium"/>
        <family val="3"/>
        <charset val="128"/>
      </rPr>
      <t>修験道</t>
    </r>
    <r>
      <rPr>
        <sz val="11"/>
        <rFont val="Consolas"/>
        <family val="3"/>
      </rPr>
      <t xml:space="preserve">] </t>
    </r>
    <r>
      <rPr>
        <sz val="11"/>
        <rFont val="游ゴシック Medium"/>
        <family val="3"/>
        <charset val="128"/>
      </rPr>
      <t>魔と呪いの系譜</t>
    </r>
    <rPh sb="1" eb="4">
      <t>シュゲンドウ</t>
    </rPh>
    <rPh sb="6" eb="7">
      <t>マ</t>
    </rPh>
    <rPh sb="8" eb="9">
      <t>ノロ</t>
    </rPh>
    <rPh sb="11" eb="13">
      <t>ケイフ</t>
    </rPh>
    <phoneticPr fontId="1"/>
  </si>
  <si>
    <r>
      <t xml:space="preserve">ILLUSTRATED </t>
    </r>
    <r>
      <rPr>
        <sz val="11"/>
        <rFont val="游ゴシック Medium"/>
        <family val="3"/>
        <charset val="128"/>
      </rPr>
      <t>日本学</t>
    </r>
    <r>
      <rPr>
        <sz val="11"/>
        <rFont val="Consolas"/>
        <family val="3"/>
      </rPr>
      <t>II</t>
    </r>
    <rPh sb="12" eb="15">
      <t>ニホンガク</t>
    </rPh>
    <phoneticPr fontId="1"/>
  </si>
  <si>
    <r>
      <t>KK</t>
    </r>
    <r>
      <rPr>
        <sz val="11"/>
        <rFont val="游ゴシック Medium"/>
        <family val="3"/>
        <charset val="128"/>
      </rPr>
      <t>ロングセラーズ</t>
    </r>
    <phoneticPr fontId="1"/>
  </si>
  <si>
    <r>
      <rPr>
        <sz val="11"/>
        <rFont val="游ゴシック Medium"/>
        <family val="3"/>
        <charset val="128"/>
      </rPr>
      <t>春近書店</t>
    </r>
    <rPh sb="0" eb="2">
      <t>ハルチカ</t>
    </rPh>
    <rPh sb="2" eb="4">
      <t>ショテン</t>
    </rPh>
    <phoneticPr fontId="1"/>
  </si>
  <si>
    <r>
      <rPr>
        <sz val="11"/>
        <rFont val="游ゴシック Medium"/>
        <family val="3"/>
        <charset val="128"/>
      </rPr>
      <t>宗教</t>
    </r>
    <rPh sb="0" eb="2">
      <t>シュウキョウ</t>
    </rPh>
    <phoneticPr fontId="1"/>
  </si>
  <si>
    <r>
      <rPr>
        <sz val="11"/>
        <rFont val="游ゴシック Medium"/>
        <family val="3"/>
        <charset val="128"/>
      </rPr>
      <t>田中</t>
    </r>
    <r>
      <rPr>
        <sz val="11"/>
        <rFont val="Consolas"/>
        <family val="3"/>
      </rPr>
      <t xml:space="preserve"> </t>
    </r>
    <r>
      <rPr>
        <sz val="11"/>
        <rFont val="游ゴシック Medium"/>
        <family val="3"/>
        <charset val="128"/>
      </rPr>
      <t>ひろみ</t>
    </r>
    <rPh sb="0" eb="2">
      <t>タナカ</t>
    </rPh>
    <phoneticPr fontId="1"/>
  </si>
  <si>
    <r>
      <rPr>
        <sz val="11"/>
        <rFont val="游ゴシック Medium"/>
        <family val="3"/>
        <charset val="128"/>
      </rPr>
      <t>仏像イラストレーターが作った</t>
    </r>
    <r>
      <rPr>
        <sz val="11"/>
        <rFont val="Consolas"/>
        <family val="3"/>
      </rPr>
      <t xml:space="preserve"> </t>
    </r>
    <r>
      <rPr>
        <sz val="11"/>
        <rFont val="游ゴシック Medium"/>
        <family val="3"/>
        <charset val="128"/>
      </rPr>
      <t>仏像ハンドブック</t>
    </r>
    <rPh sb="0" eb="2">
      <t>ブツゾウ</t>
    </rPh>
    <rPh sb="11" eb="12">
      <t>ツク</t>
    </rPh>
    <rPh sb="15" eb="17">
      <t>ブツゾウ</t>
    </rPh>
    <phoneticPr fontId="1"/>
  </si>
  <si>
    <r>
      <rPr>
        <sz val="11"/>
        <rFont val="游ゴシック Medium"/>
        <family val="3"/>
        <charset val="128"/>
      </rPr>
      <t>ウェッジ</t>
    </r>
    <r>
      <rPr>
        <sz val="11"/>
        <rFont val="Consolas"/>
        <family val="3"/>
      </rPr>
      <t xml:space="preserve"> (2020/11/18)</t>
    </r>
    <phoneticPr fontId="1"/>
  </si>
  <si>
    <r>
      <t>Amazon/</t>
    </r>
    <r>
      <rPr>
        <sz val="11"/>
        <rFont val="游ゴシック Medium"/>
        <family val="3"/>
        <charset val="128"/>
      </rPr>
      <t>配送料</t>
    </r>
    <r>
      <rPr>
        <sz val="11"/>
        <rFont val="Consolas"/>
        <family val="3"/>
      </rPr>
      <t>0</t>
    </r>
    <rPh sb="0" eb="6">
      <t>アマゾン</t>
    </rPh>
    <rPh sb="7" eb="10">
      <t>ハイソウリョウ</t>
    </rPh>
    <phoneticPr fontId="1"/>
  </si>
  <si>
    <r>
      <rPr>
        <sz val="11"/>
        <rFont val="游ゴシック Medium"/>
        <family val="3"/>
        <charset val="128"/>
      </rPr>
      <t>川口</t>
    </r>
    <r>
      <rPr>
        <sz val="11"/>
        <rFont val="Consolas"/>
        <family val="3"/>
      </rPr>
      <t xml:space="preserve"> </t>
    </r>
    <r>
      <rPr>
        <sz val="11"/>
        <rFont val="游ゴシック Medium"/>
        <family val="3"/>
        <charset val="128"/>
      </rPr>
      <t>謙二</t>
    </r>
    <rPh sb="0" eb="2">
      <t>カワグチ</t>
    </rPh>
    <rPh sb="3" eb="5">
      <t>ケンジ</t>
    </rPh>
    <phoneticPr fontId="1"/>
  </si>
  <si>
    <r>
      <rPr>
        <sz val="11"/>
        <rFont val="游ゴシック Medium"/>
        <family val="3"/>
        <charset val="128"/>
      </rPr>
      <t>日本の神様読み解き事典</t>
    </r>
    <rPh sb="0" eb="2">
      <t>ニホン</t>
    </rPh>
    <rPh sb="3" eb="5">
      <t>カミサマ</t>
    </rPh>
    <rPh sb="5" eb="6">
      <t>ヨ</t>
    </rPh>
    <rPh sb="7" eb="8">
      <t>ト</t>
    </rPh>
    <rPh sb="9" eb="11">
      <t>ジテン</t>
    </rPh>
    <phoneticPr fontId="1"/>
  </si>
  <si>
    <r>
      <rPr>
        <sz val="11"/>
        <rFont val="游ゴシック Medium"/>
        <family val="3"/>
        <charset val="128"/>
      </rPr>
      <t>柏書房</t>
    </r>
    <rPh sb="0" eb="1">
      <t>カシワ</t>
    </rPh>
    <rPh sb="1" eb="3">
      <t>ショボウ</t>
    </rPh>
    <phoneticPr fontId="1"/>
  </si>
  <si>
    <r>
      <rPr>
        <sz val="11"/>
        <rFont val="游ゴシック Medium"/>
        <family val="3"/>
        <charset val="128"/>
      </rPr>
      <t>宗教民俗研究所</t>
    </r>
    <rPh sb="0" eb="2">
      <t>シュウキョウ</t>
    </rPh>
    <rPh sb="2" eb="4">
      <t>ミンゾク</t>
    </rPh>
    <rPh sb="4" eb="7">
      <t>ケンキュウショ</t>
    </rPh>
    <phoneticPr fontId="1"/>
  </si>
  <si>
    <r>
      <t>Nippon</t>
    </r>
    <r>
      <rPr>
        <sz val="11"/>
        <rFont val="游ゴシック Medium"/>
        <family val="3"/>
        <charset val="128"/>
      </rPr>
      <t>神さま図鑑</t>
    </r>
    <rPh sb="0" eb="6">
      <t>ニッポン</t>
    </rPh>
    <rPh sb="6" eb="7">
      <t>カミ</t>
    </rPh>
    <rPh sb="9" eb="11">
      <t>ズカン</t>
    </rPh>
    <phoneticPr fontId="1"/>
  </si>
  <si>
    <r>
      <rPr>
        <sz val="11"/>
        <rFont val="游ゴシック Medium"/>
        <family val="3"/>
        <charset val="128"/>
      </rPr>
      <t>はまの出版</t>
    </r>
    <rPh sb="3" eb="5">
      <t>シュッパン</t>
    </rPh>
    <phoneticPr fontId="1"/>
  </si>
  <si>
    <r>
      <rPr>
        <sz val="11"/>
        <rFont val="游ゴシック Medium"/>
        <family val="3"/>
        <charset val="128"/>
      </rPr>
      <t>真言･梵字の基礎知識</t>
    </r>
    <rPh sb="0" eb="2">
      <t>シンゴン</t>
    </rPh>
    <rPh sb="3" eb="5">
      <t>ボンジ</t>
    </rPh>
    <rPh sb="6" eb="10">
      <t>キソチシキ</t>
    </rPh>
    <phoneticPr fontId="1"/>
  </si>
  <si>
    <r>
      <rPr>
        <sz val="11"/>
        <rFont val="游ゴシック Medium"/>
        <family val="3"/>
        <charset val="128"/>
      </rPr>
      <t>大法輪閣</t>
    </r>
    <rPh sb="0" eb="1">
      <t>ダイ</t>
    </rPh>
    <rPh sb="1" eb="3">
      <t>ホウリン</t>
    </rPh>
    <rPh sb="3" eb="4">
      <t>カク</t>
    </rPh>
    <phoneticPr fontId="1"/>
  </si>
  <si>
    <r>
      <rPr>
        <sz val="11"/>
        <rFont val="游ゴシック Medium"/>
        <family val="3"/>
        <charset val="128"/>
      </rPr>
      <t>日本仏教十三宗ここが違う</t>
    </r>
    <rPh sb="0" eb="2">
      <t>ニホン</t>
    </rPh>
    <rPh sb="2" eb="4">
      <t>ブッキョウ</t>
    </rPh>
    <rPh sb="4" eb="6">
      <t>ジュウサン</t>
    </rPh>
    <rPh sb="6" eb="7">
      <t>シュウ</t>
    </rPh>
    <rPh sb="10" eb="11">
      <t>チガ</t>
    </rPh>
    <phoneticPr fontId="1"/>
  </si>
  <si>
    <r>
      <rPr>
        <sz val="11"/>
        <rFont val="游ゴシック Medium"/>
        <family val="3"/>
        <charset val="128"/>
      </rPr>
      <t>末廣</t>
    </r>
    <r>
      <rPr>
        <sz val="11"/>
        <rFont val="Consolas"/>
        <family val="3"/>
      </rPr>
      <t xml:space="preserve"> </t>
    </r>
    <r>
      <rPr>
        <sz val="11"/>
        <rFont val="游ゴシック Medium"/>
        <family val="3"/>
        <charset val="128"/>
      </rPr>
      <t>照純</t>
    </r>
    <rPh sb="0" eb="2">
      <t>スエヒロ</t>
    </rPh>
    <rPh sb="3" eb="5">
      <t>ショウジュン</t>
    </rPh>
    <phoneticPr fontId="1"/>
  </si>
  <si>
    <r>
      <rPr>
        <sz val="11"/>
        <rFont val="游ゴシック Medium"/>
        <family val="3"/>
        <charset val="128"/>
      </rPr>
      <t>改訂新版</t>
    </r>
    <r>
      <rPr>
        <sz val="11"/>
        <rFont val="Consolas"/>
        <family val="3"/>
      </rPr>
      <t xml:space="preserve"> </t>
    </r>
    <r>
      <rPr>
        <sz val="11"/>
        <rFont val="游ゴシック Medium"/>
        <family val="3"/>
        <charset val="128"/>
      </rPr>
      <t>よくわかる</t>
    </r>
    <r>
      <rPr>
        <sz val="11"/>
        <rFont val="Consolas"/>
        <family val="3"/>
      </rPr>
      <t xml:space="preserve"> </t>
    </r>
    <r>
      <rPr>
        <sz val="11"/>
        <rFont val="游ゴシック Medium"/>
        <family val="3"/>
        <charset val="128"/>
      </rPr>
      <t>仏事の本</t>
    </r>
    <r>
      <rPr>
        <sz val="11"/>
        <rFont val="Consolas"/>
        <family val="3"/>
      </rPr>
      <t xml:space="preserve"> </t>
    </r>
    <r>
      <rPr>
        <sz val="11"/>
        <rFont val="游ゴシック Medium"/>
        <family val="3"/>
        <charset val="128"/>
      </rPr>
      <t>天台宗</t>
    </r>
    <rPh sb="0" eb="2">
      <t>カイテイ</t>
    </rPh>
    <rPh sb="2" eb="4">
      <t>シンパン</t>
    </rPh>
    <rPh sb="11" eb="13">
      <t>ブツジ</t>
    </rPh>
    <rPh sb="14" eb="15">
      <t>ホン</t>
    </rPh>
    <rPh sb="16" eb="19">
      <t>テンダイシュウ</t>
    </rPh>
    <phoneticPr fontId="1"/>
  </si>
  <si>
    <r>
      <rPr>
        <sz val="11"/>
        <rFont val="游ゴシック Medium"/>
        <family val="3"/>
        <charset val="128"/>
      </rPr>
      <t>世界文化社</t>
    </r>
    <rPh sb="0" eb="2">
      <t>セカイ</t>
    </rPh>
    <rPh sb="2" eb="4">
      <t>ブンカ</t>
    </rPh>
    <rPh sb="4" eb="5">
      <t>シャ</t>
    </rPh>
    <phoneticPr fontId="1"/>
  </si>
  <si>
    <r>
      <rPr>
        <sz val="11"/>
        <rFont val="游ゴシック Medium"/>
        <family val="3"/>
        <charset val="128"/>
      </rPr>
      <t>安食</t>
    </r>
    <rPh sb="0" eb="2">
      <t>アジキ</t>
    </rPh>
    <phoneticPr fontId="1"/>
  </si>
  <si>
    <r>
      <t>japan/</t>
    </r>
    <r>
      <rPr>
        <sz val="11"/>
        <rFont val="游ゴシック Medium"/>
        <family val="3"/>
        <charset val="128"/>
      </rPr>
      <t>身内</t>
    </r>
    <rPh sb="6" eb="8">
      <t>ミウチ</t>
    </rPh>
    <phoneticPr fontId="1"/>
  </si>
  <si>
    <r>
      <rPr>
        <sz val="11"/>
        <rFont val="游ゴシック Medium"/>
        <family val="3"/>
        <charset val="128"/>
      </rPr>
      <t>杉田</t>
    </r>
    <r>
      <rPr>
        <sz val="11"/>
        <rFont val="Consolas"/>
        <family val="3"/>
      </rPr>
      <t xml:space="preserve"> </t>
    </r>
    <r>
      <rPr>
        <sz val="11"/>
        <rFont val="游ゴシック Medium"/>
        <family val="3"/>
        <charset val="128"/>
      </rPr>
      <t>明維子・</t>
    </r>
    <r>
      <rPr>
        <sz val="11"/>
        <rFont val="Consolas"/>
        <family val="3"/>
      </rPr>
      <t>AICO</t>
    </r>
    <rPh sb="0" eb="2">
      <t>スギタ</t>
    </rPh>
    <rPh sb="3" eb="6">
      <t>アイコ</t>
    </rPh>
    <phoneticPr fontId="1"/>
  </si>
  <si>
    <r>
      <rPr>
        <sz val="11"/>
        <rFont val="游ゴシック Medium"/>
        <family val="3"/>
        <charset val="128"/>
      </rPr>
      <t>画・文</t>
    </r>
    <rPh sb="0" eb="1">
      <t>ガ</t>
    </rPh>
    <rPh sb="2" eb="3">
      <t>ブン</t>
    </rPh>
    <phoneticPr fontId="1"/>
  </si>
  <si>
    <r>
      <rPr>
        <sz val="11"/>
        <rFont val="游ゴシック Medium"/>
        <family val="3"/>
        <charset val="128"/>
      </rPr>
      <t>真説</t>
    </r>
    <r>
      <rPr>
        <sz val="11"/>
        <rFont val="Consolas"/>
        <family val="3"/>
      </rPr>
      <t xml:space="preserve"> </t>
    </r>
    <r>
      <rPr>
        <sz val="11"/>
        <rFont val="游ゴシック Medium"/>
        <family val="3"/>
        <charset val="128"/>
      </rPr>
      <t>般若心経</t>
    </r>
    <r>
      <rPr>
        <sz val="11"/>
        <rFont val="Consolas"/>
        <family val="3"/>
      </rPr>
      <t xml:space="preserve"> </t>
    </r>
    <r>
      <rPr>
        <sz val="11"/>
        <rFont val="游ゴシック Medium"/>
        <family val="3"/>
        <charset val="128"/>
      </rPr>
      <t>しあわせな青い鳥はあなたの中に</t>
    </r>
    <rPh sb="0" eb="2">
      <t>シンセツ</t>
    </rPh>
    <rPh sb="3" eb="7">
      <t>ハンニャシンギョウ</t>
    </rPh>
    <rPh sb="13" eb="14">
      <t>アオ</t>
    </rPh>
    <rPh sb="15" eb="16">
      <t>トリ</t>
    </rPh>
    <rPh sb="21" eb="22">
      <t>ナカ</t>
    </rPh>
    <phoneticPr fontId="1"/>
  </si>
  <si>
    <r>
      <rPr>
        <sz val="11"/>
        <rFont val="游ゴシック Medium"/>
        <family val="3"/>
        <charset val="128"/>
      </rPr>
      <t>青月社</t>
    </r>
    <r>
      <rPr>
        <sz val="11"/>
        <rFont val="Consolas"/>
        <family val="3"/>
      </rPr>
      <t>/</t>
    </r>
    <r>
      <rPr>
        <sz val="11"/>
        <rFont val="游ゴシック Medium"/>
        <family val="3"/>
        <charset val="128"/>
      </rPr>
      <t>キャリィ社</t>
    </r>
    <rPh sb="8" eb="9">
      <t>シャ</t>
    </rPh>
    <phoneticPr fontId="1"/>
  </si>
  <si>
    <r>
      <rPr>
        <sz val="11"/>
        <rFont val="游ゴシック Medium"/>
        <family val="3"/>
        <charset val="128"/>
      </rPr>
      <t>本人から</t>
    </r>
    <rPh sb="0" eb="2">
      <t>ホンニン</t>
    </rPh>
    <phoneticPr fontId="1"/>
  </si>
  <si>
    <r>
      <rPr>
        <sz val="11"/>
        <rFont val="游ゴシック Medium"/>
        <family val="3"/>
        <charset val="128"/>
      </rPr>
      <t>本人から「</t>
    </r>
    <r>
      <rPr>
        <sz val="11"/>
        <rFont val="Consolas"/>
        <family val="3"/>
      </rPr>
      <t>To YOKO SAN</t>
    </r>
    <r>
      <rPr>
        <sz val="11"/>
        <rFont val="游ゴシック Medium"/>
        <family val="3"/>
        <charset val="128"/>
      </rPr>
      <t>」の「ためがき」</t>
    </r>
    <r>
      <rPr>
        <sz val="11"/>
        <rFont val="Consolas"/>
        <family val="3"/>
      </rPr>
      <t>(</t>
    </r>
    <r>
      <rPr>
        <sz val="11"/>
        <rFont val="游ゴシック Medium"/>
        <family val="3"/>
        <charset val="128"/>
      </rPr>
      <t>絵・サイン</t>
    </r>
    <r>
      <rPr>
        <sz val="11"/>
        <rFont val="Consolas"/>
        <family val="3"/>
      </rPr>
      <t>)</t>
    </r>
    <r>
      <rPr>
        <sz val="11"/>
        <rFont val="游ゴシック Medium"/>
        <family val="3"/>
        <charset val="128"/>
      </rPr>
      <t>付</t>
    </r>
    <rPh sb="0" eb="2">
      <t>ホンニン</t>
    </rPh>
    <rPh sb="25" eb="26">
      <t>エ</t>
    </rPh>
    <rPh sb="31" eb="32">
      <t>ツキ</t>
    </rPh>
    <phoneticPr fontId="1"/>
  </si>
  <si>
    <r>
      <rPr>
        <sz val="11"/>
        <rFont val="游ゴシック Medium"/>
        <family val="3"/>
        <charset val="128"/>
      </rPr>
      <t>若林隆</t>
    </r>
    <r>
      <rPr>
        <sz val="11"/>
        <rFont val="Consolas"/>
        <family val="3"/>
      </rPr>
      <t xml:space="preserve"> </t>
    </r>
    <r>
      <rPr>
        <sz val="11"/>
        <rFont val="游ゴシック Medium"/>
        <family val="3"/>
        <charset val="128"/>
      </rPr>
      <t>光</t>
    </r>
    <rPh sb="0" eb="2">
      <t>ワカバヤシ</t>
    </rPh>
    <phoneticPr fontId="1"/>
  </si>
  <si>
    <r>
      <rPr>
        <sz val="11"/>
        <rFont val="游ゴシック Medium"/>
        <family val="3"/>
        <charset val="128"/>
      </rPr>
      <t>文化財</t>
    </r>
    <r>
      <rPr>
        <sz val="11"/>
        <rFont val="Consolas"/>
        <family val="3"/>
      </rPr>
      <t>Watching/</t>
    </r>
    <r>
      <rPr>
        <sz val="11"/>
        <rFont val="游ゴシック Medium"/>
        <family val="3"/>
        <charset val="128"/>
      </rPr>
      <t>仏像編</t>
    </r>
    <r>
      <rPr>
        <sz val="11"/>
        <rFont val="Consolas"/>
        <family val="3"/>
      </rPr>
      <t>/</t>
    </r>
    <r>
      <rPr>
        <sz val="11"/>
        <rFont val="游ゴシック Medium"/>
        <family val="3"/>
        <charset val="128"/>
      </rPr>
      <t>早わかり仏像の心とかたち</t>
    </r>
    <rPh sb="0" eb="3">
      <t>ブンカザイ</t>
    </rPh>
    <rPh sb="3" eb="11">
      <t>ウォッチング</t>
    </rPh>
    <rPh sb="12" eb="14">
      <t>ブツゾウ</t>
    </rPh>
    <rPh sb="14" eb="15">
      <t>ヘン</t>
    </rPh>
    <rPh sb="16" eb="17">
      <t>ハヤ</t>
    </rPh>
    <rPh sb="20" eb="22">
      <t>ブツゾウ</t>
    </rPh>
    <rPh sb="23" eb="24">
      <t>ココロ</t>
    </rPh>
    <phoneticPr fontId="1"/>
  </si>
  <si>
    <r>
      <t xml:space="preserve">Do-Life Guide 228 </t>
    </r>
    <r>
      <rPr>
        <sz val="11"/>
        <rFont val="游ゴシック Medium"/>
        <family val="3"/>
        <charset val="128"/>
      </rPr>
      <t>趣味創作シリーズ</t>
    </r>
    <rPh sb="18" eb="20">
      <t>シュミ</t>
    </rPh>
    <rPh sb="20" eb="22">
      <t>ソウサク</t>
    </rPh>
    <phoneticPr fontId="1"/>
  </si>
  <si>
    <r>
      <rPr>
        <sz val="11"/>
        <rFont val="游ゴシック Medium"/>
        <family val="3"/>
        <charset val="128"/>
      </rPr>
      <t>日本交通公社</t>
    </r>
    <rPh sb="0" eb="2">
      <t>ニホン</t>
    </rPh>
    <rPh sb="2" eb="6">
      <t>コウツウコウシャ</t>
    </rPh>
    <phoneticPr fontId="1"/>
  </si>
  <si>
    <r>
      <rPr>
        <sz val="11"/>
        <rFont val="游ゴシック Medium"/>
        <family val="3"/>
        <charset val="128"/>
      </rPr>
      <t>荒俣</t>
    </r>
    <r>
      <rPr>
        <sz val="11"/>
        <rFont val="Consolas"/>
        <family val="3"/>
      </rPr>
      <t xml:space="preserve"> </t>
    </r>
    <r>
      <rPr>
        <sz val="11"/>
        <rFont val="游ゴシック Medium"/>
        <family val="3"/>
        <charset val="128"/>
      </rPr>
      <t>宏</t>
    </r>
    <rPh sb="0" eb="2">
      <t>アラマタ</t>
    </rPh>
    <rPh sb="3" eb="4">
      <t>ヒロシ</t>
    </rPh>
    <phoneticPr fontId="1"/>
  </si>
  <si>
    <r>
      <rPr>
        <sz val="11"/>
        <rFont val="游ゴシック Medium"/>
        <family val="3"/>
        <charset val="128"/>
      </rPr>
      <t>いまい</t>
    </r>
    <r>
      <rPr>
        <sz val="11"/>
        <rFont val="Consolas"/>
        <family val="3"/>
      </rPr>
      <t xml:space="preserve"> </t>
    </r>
    <r>
      <rPr>
        <sz val="11"/>
        <rFont val="游ゴシック Medium"/>
        <family val="3"/>
        <charset val="128"/>
      </rPr>
      <t>かおる</t>
    </r>
    <phoneticPr fontId="1"/>
  </si>
  <si>
    <r>
      <rPr>
        <sz val="11"/>
        <rFont val="游ゴシック Medium"/>
        <family val="3"/>
        <charset val="128"/>
      </rPr>
      <t>絵</t>
    </r>
    <rPh sb="0" eb="1">
      <t>エ</t>
    </rPh>
    <phoneticPr fontId="1"/>
  </si>
  <si>
    <r>
      <rPr>
        <sz val="11"/>
        <rFont val="游ゴシック Medium"/>
        <family val="3"/>
        <charset val="128"/>
      </rPr>
      <t>歌舞伎</t>
    </r>
    <r>
      <rPr>
        <sz val="11"/>
        <rFont val="Consolas"/>
        <family val="3"/>
      </rPr>
      <t>Character</t>
    </r>
    <r>
      <rPr>
        <sz val="11"/>
        <rFont val="游ゴシック Medium"/>
        <family val="3"/>
        <charset val="128"/>
      </rPr>
      <t>事典</t>
    </r>
    <rPh sb="0" eb="3">
      <t>カブキ</t>
    </rPh>
    <rPh sb="3" eb="12">
      <t>キャラクター</t>
    </rPh>
    <rPh sb="12" eb="14">
      <t>ジテン</t>
    </rPh>
    <phoneticPr fontId="1"/>
  </si>
  <si>
    <r>
      <rPr>
        <sz val="11"/>
        <rFont val="游ゴシック Medium"/>
        <family val="3"/>
        <charset val="128"/>
      </rPr>
      <t>新書館</t>
    </r>
    <rPh sb="0" eb="2">
      <t>シンショ</t>
    </rPh>
    <rPh sb="2" eb="3">
      <t>カン</t>
    </rPh>
    <phoneticPr fontId="1"/>
  </si>
  <si>
    <r>
      <rPr>
        <sz val="11"/>
        <rFont val="游ゴシック Medium"/>
        <family val="3"/>
        <charset val="128"/>
      </rPr>
      <t>井村</t>
    </r>
    <r>
      <rPr>
        <sz val="11"/>
        <rFont val="Consolas"/>
        <family val="3"/>
      </rPr>
      <t xml:space="preserve"> </t>
    </r>
    <r>
      <rPr>
        <sz val="11"/>
        <rFont val="游ゴシック Medium"/>
        <family val="3"/>
        <charset val="128"/>
      </rPr>
      <t>君江</t>
    </r>
    <rPh sb="0" eb="2">
      <t>イムラ</t>
    </rPh>
    <rPh sb="3" eb="5">
      <t>キミエ</t>
    </rPh>
    <phoneticPr fontId="1"/>
  </si>
  <si>
    <r>
      <rPr>
        <sz val="11"/>
        <rFont val="游ゴシック Medium"/>
        <family val="3"/>
        <charset val="128"/>
      </rPr>
      <t>中山</t>
    </r>
    <r>
      <rPr>
        <sz val="11"/>
        <rFont val="Consolas"/>
        <family val="3"/>
      </rPr>
      <t xml:space="preserve"> </t>
    </r>
    <r>
      <rPr>
        <sz val="11"/>
        <rFont val="游ゴシック Medium"/>
        <family val="3"/>
        <charset val="128"/>
      </rPr>
      <t>星香</t>
    </r>
    <rPh sb="0" eb="2">
      <t>ナカヤマ</t>
    </rPh>
    <rPh sb="3" eb="5">
      <t>ホシカ</t>
    </rPh>
    <phoneticPr fontId="1"/>
  </si>
  <si>
    <r>
      <rPr>
        <sz val="11"/>
        <rFont val="游ゴシック Medium"/>
        <family val="3"/>
        <charset val="128"/>
      </rPr>
      <t>妖精</t>
    </r>
    <r>
      <rPr>
        <sz val="11"/>
        <rFont val="Consolas"/>
        <family val="3"/>
      </rPr>
      <t>Character</t>
    </r>
    <r>
      <rPr>
        <sz val="11"/>
        <rFont val="游ゴシック Medium"/>
        <family val="3"/>
        <charset val="128"/>
      </rPr>
      <t>事典</t>
    </r>
    <rPh sb="0" eb="2">
      <t>ヨウセイ</t>
    </rPh>
    <rPh sb="2" eb="11">
      <t>キャラクター</t>
    </rPh>
    <rPh sb="11" eb="13">
      <t>ジテン</t>
    </rPh>
    <phoneticPr fontId="1"/>
  </si>
  <si>
    <r>
      <rPr>
        <sz val="11"/>
        <rFont val="游ゴシック Medium"/>
        <family val="3"/>
        <charset val="128"/>
      </rPr>
      <t>鏡</t>
    </r>
    <r>
      <rPr>
        <sz val="11"/>
        <rFont val="Consolas"/>
        <family val="3"/>
      </rPr>
      <t xml:space="preserve"> </t>
    </r>
    <r>
      <rPr>
        <sz val="11"/>
        <rFont val="游ゴシック Medium"/>
        <family val="3"/>
        <charset val="128"/>
      </rPr>
      <t>リュウジ･宇佐</t>
    </r>
    <r>
      <rPr>
        <sz val="11"/>
        <rFont val="Consolas"/>
        <family val="3"/>
      </rPr>
      <t xml:space="preserve"> </t>
    </r>
    <r>
      <rPr>
        <sz val="11"/>
        <rFont val="游ゴシック Medium"/>
        <family val="3"/>
        <charset val="128"/>
      </rPr>
      <t>和通</t>
    </r>
    <rPh sb="0" eb="1">
      <t>カガミ</t>
    </rPh>
    <rPh sb="7" eb="9">
      <t>ウサ</t>
    </rPh>
    <rPh sb="10" eb="11">
      <t>ワ</t>
    </rPh>
    <rPh sb="11" eb="12">
      <t>ツウ</t>
    </rPh>
    <phoneticPr fontId="1"/>
  </si>
  <si>
    <r>
      <rPr>
        <sz val="11"/>
        <rFont val="游ゴシック Medium"/>
        <family val="3"/>
        <charset val="128"/>
      </rPr>
      <t>天使の事典</t>
    </r>
    <r>
      <rPr>
        <sz val="11"/>
        <rFont val="Consolas"/>
        <family val="3"/>
      </rPr>
      <t>/Babylonia</t>
    </r>
    <r>
      <rPr>
        <sz val="11"/>
        <rFont val="游ゴシック Medium"/>
        <family val="3"/>
        <charset val="128"/>
      </rPr>
      <t>から現代まで</t>
    </r>
    <r>
      <rPr>
        <sz val="11"/>
        <rFont val="Consolas"/>
        <family val="3"/>
      </rPr>
      <t>/Know Your Angels</t>
    </r>
    <rPh sb="0" eb="2">
      <t>テンシ</t>
    </rPh>
    <rPh sb="3" eb="5">
      <t>ジテン</t>
    </rPh>
    <rPh sb="6" eb="15">
      <t>バビロニア</t>
    </rPh>
    <rPh sb="17" eb="19">
      <t>ゲンダイ</t>
    </rPh>
    <phoneticPr fontId="1"/>
  </si>
  <si>
    <r>
      <rPr>
        <sz val="11"/>
        <rFont val="游ゴシック Medium"/>
        <family val="3"/>
        <charset val="128"/>
      </rPr>
      <t>床鍋</t>
    </r>
    <r>
      <rPr>
        <sz val="11"/>
        <rFont val="Consolas"/>
        <family val="3"/>
      </rPr>
      <t xml:space="preserve"> </t>
    </r>
    <r>
      <rPr>
        <sz val="11"/>
        <rFont val="游ゴシック Medium"/>
        <family val="3"/>
        <charset val="128"/>
      </rPr>
      <t>剛彦</t>
    </r>
    <r>
      <rPr>
        <sz val="11"/>
        <rFont val="Consolas"/>
        <family val="3"/>
      </rPr>
      <t>/</t>
    </r>
    <r>
      <rPr>
        <sz val="11"/>
        <rFont val="游ゴシック Medium"/>
        <family val="3"/>
        <charset val="128"/>
      </rPr>
      <t>吉田八岑</t>
    </r>
    <rPh sb="0" eb="2">
      <t>トコナベ</t>
    </rPh>
    <rPh sb="3" eb="5">
      <t>タケヒコ</t>
    </rPh>
    <rPh sb="6" eb="8">
      <t>ヨシダ</t>
    </rPh>
    <phoneticPr fontId="1"/>
  </si>
  <si>
    <r>
      <rPr>
        <sz val="11"/>
        <rFont val="游ゴシック Medium"/>
        <family val="3"/>
        <charset val="128"/>
      </rPr>
      <t>訳</t>
    </r>
    <r>
      <rPr>
        <sz val="11"/>
        <rFont val="Consolas"/>
        <family val="3"/>
      </rPr>
      <t>/</t>
    </r>
    <r>
      <rPr>
        <sz val="11"/>
        <rFont val="游ゴシック Medium"/>
        <family val="3"/>
        <charset val="128"/>
      </rPr>
      <t>協力</t>
    </r>
    <r>
      <rPr>
        <sz val="11"/>
        <rFont val="Consolas"/>
        <family val="3"/>
      </rPr>
      <t xml:space="preserve"> </t>
    </r>
    <rPh sb="0" eb="1">
      <t>ヤク</t>
    </rPh>
    <rPh sb="2" eb="4">
      <t>キョウリョク</t>
    </rPh>
    <phoneticPr fontId="1"/>
  </si>
  <si>
    <r>
      <rPr>
        <sz val="11"/>
        <rFont val="游ゴシック Medium"/>
        <family val="3"/>
        <charset val="128"/>
      </rPr>
      <t>地獄の辞典</t>
    </r>
    <r>
      <rPr>
        <sz val="11"/>
        <rFont val="Consolas"/>
        <family val="3"/>
      </rPr>
      <t>/Dictionnaire Infernal</t>
    </r>
    <rPh sb="0" eb="2">
      <t>ジゴク</t>
    </rPh>
    <rPh sb="3" eb="5">
      <t>ジテン</t>
    </rPh>
    <phoneticPr fontId="1"/>
  </si>
  <si>
    <r>
      <rPr>
        <sz val="11"/>
        <rFont val="游ゴシック Medium"/>
        <family val="3"/>
        <charset val="128"/>
      </rPr>
      <t>講談社</t>
    </r>
    <rPh sb="0" eb="3">
      <t>コウダンシャ</t>
    </rPh>
    <phoneticPr fontId="1"/>
  </si>
  <si>
    <r>
      <rPr>
        <sz val="11"/>
        <rFont val="游ゴシック Medium"/>
        <family val="3"/>
        <charset val="128"/>
      </rPr>
      <t>栂</t>
    </r>
    <r>
      <rPr>
        <sz val="11"/>
        <rFont val="Consolas"/>
        <family val="3"/>
      </rPr>
      <t xml:space="preserve"> </t>
    </r>
    <r>
      <rPr>
        <sz val="11"/>
        <rFont val="游ゴシック Medium"/>
        <family val="3"/>
        <charset val="128"/>
      </rPr>
      <t>正行</t>
    </r>
    <rPh sb="0" eb="1">
      <t>トガ</t>
    </rPh>
    <rPh sb="2" eb="4">
      <t>マサユキ</t>
    </rPh>
    <phoneticPr fontId="1"/>
  </si>
  <si>
    <r>
      <rPr>
        <sz val="11"/>
        <rFont val="游ゴシック Medium"/>
        <family val="3"/>
        <charset val="128"/>
      </rPr>
      <t>黒魔術</t>
    </r>
    <r>
      <rPr>
        <sz val="11"/>
        <rFont val="Consolas"/>
        <family val="3"/>
      </rPr>
      <t>/The Black Arts</t>
    </r>
    <rPh sb="0" eb="1">
      <t>クロ</t>
    </rPh>
    <rPh sb="1" eb="3">
      <t>マジュツ</t>
    </rPh>
    <phoneticPr fontId="1"/>
  </si>
  <si>
    <r>
      <rPr>
        <sz val="11"/>
        <rFont val="游ゴシック Medium"/>
        <family val="3"/>
        <charset val="128"/>
      </rPr>
      <t>河出書房新社</t>
    </r>
    <rPh sb="0" eb="4">
      <t>カワデショボウ</t>
    </rPh>
    <rPh sb="4" eb="5">
      <t>シン</t>
    </rPh>
    <rPh sb="5" eb="6">
      <t>シャ</t>
    </rPh>
    <phoneticPr fontId="1"/>
  </si>
  <si>
    <r>
      <rPr>
        <sz val="11"/>
        <rFont val="游ゴシック Medium"/>
        <family val="3"/>
        <charset val="128"/>
      </rPr>
      <t>鶴亀堂書店共和店</t>
    </r>
    <rPh sb="0" eb="2">
      <t>ツルカメ</t>
    </rPh>
    <rPh sb="2" eb="3">
      <t>ドウ</t>
    </rPh>
    <rPh sb="3" eb="5">
      <t>ショテン</t>
    </rPh>
    <rPh sb="5" eb="7">
      <t>キョウワ</t>
    </rPh>
    <rPh sb="7" eb="8">
      <t>テン</t>
    </rPh>
    <phoneticPr fontId="1"/>
  </si>
  <si>
    <r>
      <rPr>
        <sz val="11"/>
        <rFont val="游ゴシック Medium"/>
        <family val="3"/>
        <charset val="128"/>
      </rPr>
      <t>村田</t>
    </r>
    <r>
      <rPr>
        <sz val="11"/>
        <rFont val="Consolas"/>
        <family val="3"/>
      </rPr>
      <t xml:space="preserve"> </t>
    </r>
    <r>
      <rPr>
        <sz val="11"/>
        <rFont val="游ゴシック Medium"/>
        <family val="3"/>
        <charset val="128"/>
      </rPr>
      <t>薫</t>
    </r>
    <rPh sb="0" eb="2">
      <t>ムラタ</t>
    </rPh>
    <rPh sb="3" eb="4">
      <t>カオル</t>
    </rPh>
    <phoneticPr fontId="1"/>
  </si>
  <si>
    <r>
      <t>Phenomema/</t>
    </r>
    <r>
      <rPr>
        <sz val="11"/>
        <rFont val="游ゴシック Medium"/>
        <family val="3"/>
        <charset val="128"/>
      </rPr>
      <t>怪奇現象博物館</t>
    </r>
    <r>
      <rPr>
        <sz val="11"/>
        <rFont val="Consolas"/>
        <family val="3"/>
      </rPr>
      <t>/a Book of Wonders</t>
    </r>
    <rPh sb="0" eb="9">
      <t>フェノメナ</t>
    </rPh>
    <rPh sb="10" eb="12">
      <t>カイキ</t>
    </rPh>
    <rPh sb="12" eb="14">
      <t>ゲンショウ</t>
    </rPh>
    <rPh sb="14" eb="17">
      <t>ハクブツカン</t>
    </rPh>
    <phoneticPr fontId="1"/>
  </si>
  <si>
    <r>
      <rPr>
        <sz val="11"/>
        <rFont val="游ゴシック Medium"/>
        <family val="3"/>
        <charset val="128"/>
      </rPr>
      <t>北宋社</t>
    </r>
    <rPh sb="0" eb="3">
      <t>ホクソウシャ</t>
    </rPh>
    <phoneticPr fontId="1"/>
  </si>
  <si>
    <r>
      <rPr>
        <sz val="11"/>
        <rFont val="游ゴシック Medium"/>
        <family val="3"/>
        <charset val="128"/>
      </rPr>
      <t>阿佐ヶ谷</t>
    </r>
    <r>
      <rPr>
        <sz val="11"/>
        <rFont val="Consolas"/>
        <family val="3"/>
      </rPr>
      <t>/</t>
    </r>
    <r>
      <rPr>
        <sz val="11"/>
        <rFont val="游ゴシック Medium"/>
        <family val="3"/>
        <charset val="128"/>
      </rPr>
      <t>ふるほんや</t>
    </r>
    <rPh sb="0" eb="4">
      <t>アサガヤ</t>
    </rPh>
    <phoneticPr fontId="1"/>
  </si>
  <si>
    <r>
      <rPr>
        <sz val="11"/>
        <rFont val="游ゴシック Medium"/>
        <family val="3"/>
        <charset val="128"/>
      </rPr>
      <t>乗蓮寺</t>
    </r>
    <r>
      <rPr>
        <sz val="11"/>
        <rFont val="Consolas"/>
        <family val="3"/>
      </rPr>
      <t>Pamphlet</t>
    </r>
    <rPh sb="0" eb="3">
      <t>ジョウレンジ</t>
    </rPh>
    <rPh sb="3" eb="11">
      <t>パンフレット</t>
    </rPh>
    <phoneticPr fontId="1"/>
  </si>
  <si>
    <r>
      <rPr>
        <sz val="11"/>
        <rFont val="游ゴシック Medium"/>
        <family val="3"/>
        <charset val="128"/>
      </rPr>
      <t>町田</t>
    </r>
    <r>
      <rPr>
        <sz val="11"/>
        <rFont val="Consolas"/>
        <family val="3"/>
      </rPr>
      <t xml:space="preserve"> </t>
    </r>
    <r>
      <rPr>
        <sz val="11"/>
        <rFont val="游ゴシック Medium"/>
        <family val="3"/>
        <charset val="128"/>
      </rPr>
      <t>甲一</t>
    </r>
    <rPh sb="0" eb="2">
      <t>マチダ</t>
    </rPh>
    <rPh sb="3" eb="5">
      <t>コウイチ</t>
    </rPh>
    <phoneticPr fontId="1"/>
  </si>
  <si>
    <r>
      <rPr>
        <sz val="11"/>
        <rFont val="游ゴシック Medium"/>
        <family val="3"/>
        <charset val="128"/>
      </rPr>
      <t>仏像──</t>
    </r>
    <r>
      <rPr>
        <sz val="11"/>
        <rFont val="Consolas"/>
        <family val="3"/>
      </rPr>
      <t>Iconography</t>
    </r>
    <rPh sb="0" eb="2">
      <t>ブツゾウ</t>
    </rPh>
    <rPh sb="4" eb="15">
      <t>イコノグラフィ</t>
    </rPh>
    <phoneticPr fontId="1"/>
  </si>
  <si>
    <r>
      <rPr>
        <sz val="11"/>
        <rFont val="游ゴシック Medium"/>
        <family val="3"/>
        <charset val="128"/>
      </rPr>
      <t>岩波書店</t>
    </r>
    <rPh sb="0" eb="2">
      <t>イワナミ</t>
    </rPh>
    <rPh sb="2" eb="4">
      <t>ショテン</t>
    </rPh>
    <phoneticPr fontId="1"/>
  </si>
  <si>
    <r>
      <t>ethnic/art/</t>
    </r>
    <r>
      <rPr>
        <sz val="11"/>
        <rFont val="游ゴシック Medium"/>
        <family val="3"/>
        <charset val="128"/>
      </rPr>
      <t>宗教</t>
    </r>
    <phoneticPr fontId="1"/>
  </si>
  <si>
    <r>
      <rPr>
        <sz val="11"/>
        <rFont val="游ゴシック Medium"/>
        <family val="3"/>
        <charset val="128"/>
      </rPr>
      <t>フジタヴァンテ</t>
    </r>
    <r>
      <rPr>
        <sz val="11"/>
        <rFont val="Consolas"/>
        <family val="3"/>
      </rPr>
      <t>/</t>
    </r>
    <r>
      <rPr>
        <sz val="11"/>
        <rFont val="游ゴシック Medium"/>
        <family val="3"/>
        <charset val="128"/>
      </rPr>
      <t>小西</t>
    </r>
    <r>
      <rPr>
        <sz val="11"/>
        <rFont val="Consolas"/>
        <family val="3"/>
      </rPr>
      <t xml:space="preserve"> </t>
    </r>
    <r>
      <rPr>
        <sz val="11"/>
        <rFont val="游ゴシック Medium"/>
        <family val="3"/>
        <charset val="128"/>
      </rPr>
      <t>正捷</t>
    </r>
    <rPh sb="8" eb="10">
      <t>コニシ</t>
    </rPh>
    <rPh sb="11" eb="13">
      <t>マサカツ</t>
    </rPh>
    <phoneticPr fontId="1"/>
  </si>
  <si>
    <r>
      <rPr>
        <sz val="11"/>
        <rFont val="游ゴシック Medium"/>
        <family val="3"/>
        <charset val="128"/>
      </rPr>
      <t>編</t>
    </r>
    <r>
      <rPr>
        <sz val="11"/>
        <rFont val="Consolas"/>
        <family val="3"/>
      </rPr>
      <t>/</t>
    </r>
    <r>
      <rPr>
        <sz val="11"/>
        <rFont val="游ゴシック Medium"/>
        <family val="3"/>
        <charset val="128"/>
      </rPr>
      <t>監修</t>
    </r>
    <rPh sb="0" eb="1">
      <t>ヘン</t>
    </rPh>
    <rPh sb="2" eb="4">
      <t>カンシュウ</t>
    </rPh>
    <phoneticPr fontId="1"/>
  </si>
  <si>
    <r>
      <rPr>
        <sz val="11"/>
        <rFont val="游ゴシック Medium"/>
        <family val="3"/>
        <charset val="128"/>
      </rPr>
      <t>ヴィジュアルフォークロア</t>
    </r>
    <r>
      <rPr>
        <sz val="11"/>
        <rFont val="Consolas"/>
        <family val="3"/>
      </rPr>
      <t>+</t>
    </r>
    <r>
      <rPr>
        <sz val="11"/>
        <rFont val="游ゴシック Medium"/>
        <family val="3"/>
        <charset val="128"/>
      </rPr>
      <t>宮本久義</t>
    </r>
    <rPh sb="13" eb="15">
      <t>ミヤモト</t>
    </rPh>
    <rPh sb="15" eb="17">
      <t>ヒサヨシ</t>
    </rPh>
    <phoneticPr fontId="1"/>
  </si>
  <si>
    <r>
      <rPr>
        <sz val="11"/>
        <rFont val="游ゴシック Medium"/>
        <family val="3"/>
        <charset val="128"/>
      </rPr>
      <t>編集構成</t>
    </r>
    <rPh sb="0" eb="2">
      <t>ヘンシュウ</t>
    </rPh>
    <rPh sb="2" eb="4">
      <t>コウセイ</t>
    </rPh>
    <phoneticPr fontId="1"/>
  </si>
  <si>
    <r>
      <rPr>
        <sz val="11"/>
        <rFont val="游ゴシック Medium"/>
        <family val="3"/>
        <charset val="128"/>
      </rPr>
      <t>原インドの世界</t>
    </r>
    <r>
      <rPr>
        <sz val="11"/>
        <rFont val="Consolas"/>
        <family val="3"/>
      </rPr>
      <t>/</t>
    </r>
    <r>
      <rPr>
        <sz val="11"/>
        <rFont val="游ゴシック Medium"/>
        <family val="3"/>
        <charset val="128"/>
      </rPr>
      <t>生活･信仰･美術</t>
    </r>
    <rPh sb="0" eb="1">
      <t>ゲン</t>
    </rPh>
    <rPh sb="5" eb="7">
      <t>セカイ</t>
    </rPh>
    <rPh sb="8" eb="10">
      <t>セイカツ</t>
    </rPh>
    <rPh sb="11" eb="13">
      <t>シンコウ</t>
    </rPh>
    <rPh sb="14" eb="16">
      <t>ビジュツ</t>
    </rPh>
    <phoneticPr fontId="1"/>
  </si>
  <si>
    <r>
      <rPr>
        <sz val="11"/>
        <rFont val="游ゴシック Medium"/>
        <family val="3"/>
        <charset val="128"/>
      </rPr>
      <t>東京美術</t>
    </r>
    <rPh sb="0" eb="2">
      <t>トウキョウ</t>
    </rPh>
    <rPh sb="2" eb="4">
      <t>ビジュツ</t>
    </rPh>
    <phoneticPr fontId="1"/>
  </si>
  <si>
    <r>
      <rPr>
        <sz val="11"/>
        <rFont val="游ゴシック Medium"/>
        <family val="3"/>
        <charset val="128"/>
      </rPr>
      <t>長谷川</t>
    </r>
    <r>
      <rPr>
        <sz val="11"/>
        <rFont val="Consolas"/>
        <family val="3"/>
      </rPr>
      <t xml:space="preserve"> </t>
    </r>
    <r>
      <rPr>
        <sz val="11"/>
        <rFont val="游ゴシック Medium"/>
        <family val="3"/>
        <charset val="128"/>
      </rPr>
      <t>明</t>
    </r>
    <rPh sb="0" eb="3">
      <t>ハセガワ</t>
    </rPh>
    <rPh sb="4" eb="5">
      <t>アキラ</t>
    </rPh>
    <phoneticPr fontId="1"/>
  </si>
  <si>
    <r>
      <t>Inde</t>
    </r>
    <r>
      <rPr>
        <sz val="11"/>
        <rFont val="游ゴシック Medium"/>
        <family val="3"/>
        <charset val="128"/>
      </rPr>
      <t>神話</t>
    </r>
    <r>
      <rPr>
        <sz val="11"/>
        <rFont val="Consolas"/>
        <family val="3"/>
      </rPr>
      <t xml:space="preserve"> </t>
    </r>
    <r>
      <rPr>
        <sz val="11"/>
        <rFont val="游ゴシック Medium"/>
        <family val="3"/>
        <charset val="128"/>
      </rPr>
      <t>入門</t>
    </r>
    <rPh sb="0" eb="6">
      <t>インドシンワ</t>
    </rPh>
    <rPh sb="7" eb="9">
      <t>ニュウモン</t>
    </rPh>
    <phoneticPr fontId="1"/>
  </si>
  <si>
    <r>
      <rPr>
        <sz val="11"/>
        <rFont val="游ゴシック Medium"/>
        <family val="3"/>
        <charset val="128"/>
      </rPr>
      <t>とんぼの本</t>
    </r>
    <rPh sb="4" eb="5">
      <t>ホン</t>
    </rPh>
    <phoneticPr fontId="1"/>
  </si>
  <si>
    <r>
      <rPr>
        <sz val="11"/>
        <rFont val="游ゴシック Medium"/>
        <family val="3"/>
        <charset val="128"/>
      </rPr>
      <t>後藤</t>
    </r>
    <r>
      <rPr>
        <sz val="11"/>
        <rFont val="Consolas"/>
        <family val="3"/>
      </rPr>
      <t xml:space="preserve"> </t>
    </r>
    <r>
      <rPr>
        <sz val="11"/>
        <rFont val="游ゴシック Medium"/>
        <family val="3"/>
        <charset val="128"/>
      </rPr>
      <t>英夫・長谷川</t>
    </r>
    <r>
      <rPr>
        <sz val="11"/>
        <rFont val="Consolas"/>
        <family val="3"/>
      </rPr>
      <t xml:space="preserve"> </t>
    </r>
    <r>
      <rPr>
        <sz val="11"/>
        <rFont val="游ゴシック Medium"/>
        <family val="3"/>
        <charset val="128"/>
      </rPr>
      <t>公茂・三山</t>
    </r>
    <r>
      <rPr>
        <sz val="11"/>
        <rFont val="Consolas"/>
        <family val="3"/>
      </rPr>
      <t xml:space="preserve"> </t>
    </r>
    <r>
      <rPr>
        <sz val="11"/>
        <rFont val="游ゴシック Medium"/>
        <family val="3"/>
        <charset val="128"/>
      </rPr>
      <t>進</t>
    </r>
    <rPh sb="0" eb="2">
      <t>ゴトウ</t>
    </rPh>
    <rPh sb="3" eb="5">
      <t>ヒデオ</t>
    </rPh>
    <rPh sb="6" eb="9">
      <t>ハセガワ</t>
    </rPh>
    <rPh sb="10" eb="12">
      <t>キミシゲ</t>
    </rPh>
    <rPh sb="13" eb="15">
      <t>ミヤマ</t>
    </rPh>
    <rPh sb="16" eb="17">
      <t>ススム</t>
    </rPh>
    <phoneticPr fontId="1"/>
  </si>
  <si>
    <r>
      <rPr>
        <b/>
        <sz val="11"/>
        <color indexed="33"/>
        <rFont val="游ゴシック Medium"/>
        <family val="3"/>
        <charset val="128"/>
      </rPr>
      <t>円空</t>
    </r>
    <r>
      <rPr>
        <b/>
        <sz val="11"/>
        <color indexed="33"/>
        <rFont val="Consolas"/>
        <family val="3"/>
      </rPr>
      <t xml:space="preserve"> </t>
    </r>
    <r>
      <rPr>
        <b/>
        <sz val="11"/>
        <color indexed="33"/>
        <rFont val="游ゴシック Medium"/>
        <family val="3"/>
        <charset val="128"/>
      </rPr>
      <t>巡礼</t>
    </r>
    <rPh sb="0" eb="2">
      <t>エンクウ</t>
    </rPh>
    <rPh sb="3" eb="5">
      <t>ジュンレイ</t>
    </rPh>
    <phoneticPr fontId="1"/>
  </si>
  <si>
    <r>
      <rPr>
        <sz val="11"/>
        <rFont val="游ゴシック Medium"/>
        <family val="3"/>
        <charset val="128"/>
      </rPr>
      <t>澁澤龍彦</t>
    </r>
    <rPh sb="0" eb="4">
      <t>シブサワタツヒコ</t>
    </rPh>
    <phoneticPr fontId="1"/>
  </si>
  <si>
    <r>
      <rPr>
        <sz val="11"/>
        <rFont val="游ゴシック Medium"/>
        <family val="3"/>
        <charset val="128"/>
      </rPr>
      <t>巌谷國士・高橋睦郎・種村季弘</t>
    </r>
    <rPh sb="0" eb="2">
      <t>イワヤ</t>
    </rPh>
    <rPh sb="2" eb="4">
      <t>クニオ</t>
    </rPh>
    <rPh sb="5" eb="7">
      <t>タカハシ</t>
    </rPh>
    <rPh sb="7" eb="9">
      <t>ムツオ</t>
    </rPh>
    <rPh sb="10" eb="14">
      <t>タネムラスエヒロ</t>
    </rPh>
    <phoneticPr fontId="1"/>
  </si>
  <si>
    <r>
      <rPr>
        <sz val="11"/>
        <rFont val="游ゴシック Medium"/>
        <family val="3"/>
        <charset val="128"/>
      </rPr>
      <t>構成</t>
    </r>
    <rPh sb="0" eb="2">
      <t>コウセイ</t>
    </rPh>
    <phoneticPr fontId="1"/>
  </si>
  <si>
    <r>
      <rPr>
        <sz val="11"/>
        <rFont val="游ゴシック Medium"/>
        <family val="3"/>
        <charset val="128"/>
      </rPr>
      <t>澁澤龍彦事典</t>
    </r>
    <r>
      <rPr>
        <sz val="11"/>
        <rFont val="Consolas"/>
        <family val="3"/>
      </rPr>
      <t>/Encyclopedia Draconia</t>
    </r>
    <rPh sb="0" eb="4">
      <t>シブサワタツヒコ</t>
    </rPh>
    <rPh sb="4" eb="6">
      <t>ジテン</t>
    </rPh>
    <phoneticPr fontId="1"/>
  </si>
  <si>
    <r>
      <rPr>
        <sz val="11"/>
        <rFont val="游ゴシック Medium"/>
        <family val="3"/>
        <charset val="128"/>
      </rPr>
      <t>コロナ･</t>
    </r>
    <r>
      <rPr>
        <sz val="11"/>
        <rFont val="Consolas"/>
        <family val="3"/>
      </rPr>
      <t>Books/9</t>
    </r>
    <rPh sb="4" eb="9">
      <t>ブックス</t>
    </rPh>
    <phoneticPr fontId="1"/>
  </si>
  <si>
    <r>
      <rPr>
        <sz val="11"/>
        <rFont val="游ゴシック Medium"/>
        <family val="3"/>
        <charset val="128"/>
      </rPr>
      <t>青木日出夫</t>
    </r>
    <rPh sb="0" eb="2">
      <t>アオキ</t>
    </rPh>
    <rPh sb="2" eb="5">
      <t>ヒデオ</t>
    </rPh>
    <phoneticPr fontId="1"/>
  </si>
  <si>
    <r>
      <t>Eros</t>
    </r>
    <r>
      <rPr>
        <sz val="11"/>
        <rFont val="游ゴシック Medium"/>
        <family val="3"/>
        <charset val="128"/>
      </rPr>
      <t>の世界</t>
    </r>
    <r>
      <rPr>
        <sz val="11"/>
        <rFont val="Consolas"/>
        <family val="3"/>
      </rPr>
      <t>/</t>
    </r>
    <r>
      <rPr>
        <sz val="11"/>
        <rFont val="游ゴシック Medium"/>
        <family val="3"/>
        <charset val="128"/>
      </rPr>
      <t>図説</t>
    </r>
    <r>
      <rPr>
        <sz val="11"/>
        <rFont val="Consolas"/>
        <family val="3"/>
      </rPr>
      <t>/Erotica</t>
    </r>
    <r>
      <rPr>
        <sz val="11"/>
        <rFont val="游ゴシック Medium"/>
        <family val="3"/>
        <charset val="128"/>
      </rPr>
      <t>幻想篇</t>
    </r>
    <r>
      <rPr>
        <sz val="11"/>
        <rFont val="Consolas"/>
        <family val="3"/>
      </rPr>
      <t>/Erotica Fantastica</t>
    </r>
    <rPh sb="0" eb="4">
      <t>エロス</t>
    </rPh>
    <rPh sb="5" eb="7">
      <t>セカイ</t>
    </rPh>
    <rPh sb="8" eb="10">
      <t>ズセツ</t>
    </rPh>
    <rPh sb="11" eb="18">
      <t>エロティカ</t>
    </rPh>
    <rPh sb="18" eb="20">
      <t>ゲンソウ</t>
    </rPh>
    <rPh sb="20" eb="21">
      <t>ヘン</t>
    </rPh>
    <phoneticPr fontId="1"/>
  </si>
  <si>
    <r>
      <rPr>
        <sz val="11"/>
        <rFont val="游ゴシック Medium"/>
        <family val="3"/>
        <charset val="128"/>
      </rPr>
      <t>河出書房新社</t>
    </r>
    <rPh sb="0" eb="4">
      <t>カワデショボウ</t>
    </rPh>
    <rPh sb="4" eb="6">
      <t>シンシャ</t>
    </rPh>
    <phoneticPr fontId="1"/>
  </si>
  <si>
    <r>
      <rPr>
        <sz val="11"/>
        <rFont val="游ゴシック Medium"/>
        <family val="3"/>
        <charset val="128"/>
      </rPr>
      <t>岩田慶治</t>
    </r>
    <rPh sb="0" eb="2">
      <t>イワタ</t>
    </rPh>
    <rPh sb="2" eb="4">
      <t>ケイジ</t>
    </rPh>
    <phoneticPr fontId="1"/>
  </si>
  <si>
    <r>
      <rPr>
        <sz val="11"/>
        <rFont val="游ゴシック Medium"/>
        <family val="3"/>
        <charset val="128"/>
      </rPr>
      <t>カミの誕生</t>
    </r>
    <r>
      <rPr>
        <sz val="11"/>
        <rFont val="Consolas"/>
        <family val="3"/>
      </rPr>
      <t>/</t>
    </r>
    <r>
      <rPr>
        <sz val="11"/>
        <rFont val="游ゴシック Medium"/>
        <family val="3"/>
        <charset val="128"/>
      </rPr>
      <t>原始宗教</t>
    </r>
    <rPh sb="3" eb="5">
      <t>タンジョウ</t>
    </rPh>
    <rPh sb="6" eb="10">
      <t>ゲンシシュウキョウ</t>
    </rPh>
    <phoneticPr fontId="1"/>
  </si>
  <si>
    <r>
      <rPr>
        <sz val="11"/>
        <rFont val="游ゴシック Medium"/>
        <family val="3"/>
        <charset val="128"/>
      </rPr>
      <t>世界の宗教</t>
    </r>
    <r>
      <rPr>
        <sz val="11"/>
        <rFont val="Consolas"/>
        <family val="3"/>
      </rPr>
      <t>/10</t>
    </r>
    <rPh sb="0" eb="2">
      <t>セカイ</t>
    </rPh>
    <rPh sb="3" eb="5">
      <t>シュウキョウ</t>
    </rPh>
    <phoneticPr fontId="1"/>
  </si>
  <si>
    <r>
      <rPr>
        <sz val="11"/>
        <rFont val="游ゴシック Medium"/>
        <family val="3"/>
        <charset val="128"/>
      </rPr>
      <t>淡交社</t>
    </r>
    <rPh sb="0" eb="3">
      <t>タンコウシャ</t>
    </rPh>
    <phoneticPr fontId="1"/>
  </si>
  <si>
    <r>
      <rPr>
        <sz val="11"/>
        <rFont val="游ゴシック Medium"/>
        <family val="3"/>
        <charset val="128"/>
      </rPr>
      <t>世界の宗教と経典</t>
    </r>
    <r>
      <rPr>
        <sz val="11"/>
        <rFont val="Consolas"/>
        <family val="3"/>
      </rPr>
      <t>/</t>
    </r>
    <r>
      <rPr>
        <sz val="11"/>
        <rFont val="游ゴシック Medium"/>
        <family val="3"/>
        <charset val="128"/>
      </rPr>
      <t>総解説</t>
    </r>
    <rPh sb="0" eb="2">
      <t>セカイ</t>
    </rPh>
    <rPh sb="3" eb="5">
      <t>シュウキョウ</t>
    </rPh>
    <rPh sb="6" eb="8">
      <t>ケイテン</t>
    </rPh>
    <rPh sb="9" eb="10">
      <t>ソウ</t>
    </rPh>
    <rPh sb="10" eb="12">
      <t>カイセツ</t>
    </rPh>
    <phoneticPr fontId="1"/>
  </si>
  <si>
    <r>
      <rPr>
        <sz val="11"/>
        <rFont val="游ゴシック Medium"/>
        <family val="3"/>
        <charset val="128"/>
      </rPr>
      <t>総解説</t>
    </r>
    <r>
      <rPr>
        <sz val="11"/>
        <rFont val="Consolas"/>
        <family val="3"/>
      </rPr>
      <t>Series</t>
    </r>
    <rPh sb="0" eb="3">
      <t>ソウカイセツ</t>
    </rPh>
    <rPh sb="3" eb="9">
      <t>シリーズ</t>
    </rPh>
    <phoneticPr fontId="1"/>
  </si>
  <si>
    <r>
      <rPr>
        <sz val="11"/>
        <rFont val="游ゴシック Medium"/>
        <family val="3"/>
        <charset val="128"/>
      </rPr>
      <t>自由国民社</t>
    </r>
    <rPh sb="0" eb="5">
      <t>ジユウコクミンシャ</t>
    </rPh>
    <phoneticPr fontId="1"/>
  </si>
  <si>
    <r>
      <rPr>
        <sz val="11"/>
        <rFont val="游ゴシック Medium"/>
        <family val="3"/>
        <charset val="128"/>
      </rPr>
      <t>世界の奇書</t>
    </r>
    <r>
      <rPr>
        <sz val="11"/>
        <rFont val="Consolas"/>
        <family val="3"/>
      </rPr>
      <t>/</t>
    </r>
    <r>
      <rPr>
        <sz val="11"/>
        <rFont val="游ゴシック Medium"/>
        <family val="3"/>
        <charset val="128"/>
      </rPr>
      <t>総解説</t>
    </r>
    <rPh sb="0" eb="2">
      <t>セカイ</t>
    </rPh>
    <rPh sb="3" eb="5">
      <t>キショ</t>
    </rPh>
    <rPh sb="6" eb="7">
      <t>ソウ</t>
    </rPh>
    <rPh sb="7" eb="9">
      <t>カイセツ</t>
    </rPh>
    <phoneticPr fontId="1"/>
  </si>
  <si>
    <r>
      <rPr>
        <sz val="11"/>
        <rFont val="游ゴシック Medium"/>
        <family val="3"/>
        <charset val="128"/>
      </rPr>
      <t>竹之内悦子･藤村美織</t>
    </r>
    <rPh sb="0" eb="3">
      <t>タケノウチ</t>
    </rPh>
    <rPh sb="3" eb="5">
      <t>エツコ</t>
    </rPh>
    <rPh sb="6" eb="8">
      <t>フジムラ</t>
    </rPh>
    <rPh sb="8" eb="10">
      <t>ミオリ</t>
    </rPh>
    <phoneticPr fontId="1"/>
  </si>
  <si>
    <r>
      <rPr>
        <sz val="11"/>
        <rFont val="游ゴシック Medium"/>
        <family val="3"/>
        <charset val="128"/>
      </rPr>
      <t>クルミの股割り女</t>
    </r>
    <r>
      <rPr>
        <sz val="11"/>
        <rFont val="Consolas"/>
        <family val="3"/>
      </rPr>
      <t xml:space="preserve"> </t>
    </r>
    <r>
      <rPr>
        <sz val="11"/>
        <rFont val="游ゴシック Medium"/>
        <family val="3"/>
        <charset val="128"/>
      </rPr>
      <t>コルクの栓抜き男</t>
    </r>
    <r>
      <rPr>
        <sz val="11"/>
        <rFont val="Consolas"/>
        <family val="3"/>
      </rPr>
      <t>/Die Frau als NuBknacker oder der Mann als Korkenzieher/Eros</t>
    </r>
    <r>
      <rPr>
        <sz val="11"/>
        <rFont val="游ゴシック Medium"/>
        <family val="3"/>
        <charset val="128"/>
      </rPr>
      <t>の原点</t>
    </r>
    <rPh sb="4" eb="5">
      <t>マタ</t>
    </rPh>
    <rPh sb="5" eb="6">
      <t>ワ</t>
    </rPh>
    <rPh sb="7" eb="8">
      <t>オンナ</t>
    </rPh>
    <rPh sb="13" eb="15">
      <t>センヌ</t>
    </rPh>
    <rPh sb="16" eb="17">
      <t>オトコ</t>
    </rPh>
    <rPh sb="73" eb="77">
      <t>エロス</t>
    </rPh>
    <rPh sb="78" eb="80">
      <t>ゲンテン</t>
    </rPh>
    <phoneticPr fontId="1"/>
  </si>
  <si>
    <r>
      <rPr>
        <sz val="11"/>
        <rFont val="游ゴシック Medium"/>
        <family val="3"/>
        <charset val="128"/>
      </rPr>
      <t>山手書房新社</t>
    </r>
    <rPh sb="0" eb="2">
      <t>ヤマテ</t>
    </rPh>
    <rPh sb="2" eb="4">
      <t>ショボウ</t>
    </rPh>
    <rPh sb="4" eb="6">
      <t>シンシャ</t>
    </rPh>
    <phoneticPr fontId="1"/>
  </si>
  <si>
    <r>
      <rPr>
        <sz val="11"/>
        <rFont val="游ゴシック Medium"/>
        <family val="3"/>
        <charset val="128"/>
      </rPr>
      <t>辞典</t>
    </r>
    <rPh sb="0" eb="2">
      <t>ジテン</t>
    </rPh>
    <phoneticPr fontId="1"/>
  </si>
  <si>
    <r>
      <rPr>
        <sz val="11"/>
        <rFont val="游ゴシック Medium"/>
        <family val="3"/>
        <charset val="128"/>
      </rPr>
      <t>五味太郎</t>
    </r>
    <rPh sb="0" eb="4">
      <t>ゴミタロウ</t>
    </rPh>
    <phoneticPr fontId="1"/>
  </si>
  <si>
    <r>
      <rPr>
        <sz val="11"/>
        <rFont val="游ゴシック Medium"/>
        <family val="3"/>
        <charset val="128"/>
      </rPr>
      <t>監修・制作</t>
    </r>
    <phoneticPr fontId="1"/>
  </si>
  <si>
    <r>
      <rPr>
        <sz val="11"/>
        <rFont val="游ゴシック Medium"/>
        <family val="3"/>
        <charset val="128"/>
      </rPr>
      <t>大山直美</t>
    </r>
    <r>
      <rPr>
        <sz val="11"/>
        <rFont val="Consolas"/>
        <family val="3"/>
      </rPr>
      <t>/</t>
    </r>
    <r>
      <rPr>
        <sz val="11"/>
        <rFont val="游ゴシック Medium"/>
        <family val="3"/>
        <charset val="128"/>
      </rPr>
      <t>ジョン・タラント</t>
    </r>
    <phoneticPr fontId="1"/>
  </si>
  <si>
    <r>
      <rPr>
        <b/>
        <sz val="11"/>
        <color indexed="33"/>
        <rFont val="游ゴシック Medium"/>
        <family val="3"/>
        <charset val="128"/>
      </rPr>
      <t>日本語擬態辞典（英語人と日本語人のための）</t>
    </r>
    <rPh sb="0" eb="3">
      <t>ニホンゴ</t>
    </rPh>
    <rPh sb="3" eb="5">
      <t>ギタイ</t>
    </rPh>
    <rPh sb="5" eb="7">
      <t>ジテン</t>
    </rPh>
    <rPh sb="8" eb="10">
      <t>エイゴ</t>
    </rPh>
    <rPh sb="10" eb="11">
      <t>ジン</t>
    </rPh>
    <rPh sb="12" eb="15">
      <t>ニホンゴ</t>
    </rPh>
    <rPh sb="15" eb="16">
      <t>ジン</t>
    </rPh>
    <phoneticPr fontId="1"/>
  </si>
  <si>
    <r>
      <rPr>
        <sz val="11"/>
        <rFont val="游ゴシック Medium"/>
        <family val="3"/>
        <charset val="128"/>
      </rPr>
      <t>哲学</t>
    </r>
    <r>
      <rPr>
        <sz val="11"/>
        <rFont val="Consolas"/>
        <family val="3"/>
      </rPr>
      <t>Summit/A Summit Philosophers Conference</t>
    </r>
    <rPh sb="0" eb="2">
      <t>テツガク</t>
    </rPh>
    <rPh sb="2" eb="8">
      <t>サミット</t>
    </rPh>
    <phoneticPr fontId="1"/>
  </si>
  <si>
    <r>
      <rPr>
        <sz val="11"/>
        <rFont val="游ゴシック Medium"/>
        <family val="3"/>
        <charset val="128"/>
      </rPr>
      <t>角川春樹事務所</t>
    </r>
    <rPh sb="0" eb="2">
      <t>カドカワ</t>
    </rPh>
    <rPh sb="2" eb="4">
      <t>ハルキ</t>
    </rPh>
    <rPh sb="4" eb="7">
      <t>ジムショ</t>
    </rPh>
    <phoneticPr fontId="1"/>
  </si>
  <si>
    <r>
      <rPr>
        <sz val="11"/>
        <rFont val="游ゴシック Medium"/>
        <family val="3"/>
        <charset val="128"/>
      </rPr>
      <t>大場正史</t>
    </r>
    <rPh sb="0" eb="2">
      <t>オオバ</t>
    </rPh>
    <rPh sb="2" eb="4">
      <t>マサフミ</t>
    </rPh>
    <phoneticPr fontId="1"/>
  </si>
  <si>
    <r>
      <rPr>
        <sz val="11"/>
        <rFont val="游ゴシック Medium"/>
        <family val="3"/>
        <charset val="128"/>
      </rPr>
      <t>西洋拷問刑罰史</t>
    </r>
    <rPh sb="0" eb="2">
      <t>セイヨウ</t>
    </rPh>
    <rPh sb="2" eb="4">
      <t>ゴウモン</t>
    </rPh>
    <rPh sb="4" eb="6">
      <t>ケイバツ</t>
    </rPh>
    <rPh sb="6" eb="7">
      <t>シ</t>
    </rPh>
    <phoneticPr fontId="1"/>
  </si>
  <si>
    <r>
      <rPr>
        <sz val="11"/>
        <rFont val="游ゴシック Medium"/>
        <family val="3"/>
        <charset val="128"/>
      </rPr>
      <t>雄山閣</t>
    </r>
    <rPh sb="0" eb="1">
      <t>ユウ</t>
    </rPh>
    <rPh sb="1" eb="2">
      <t>ザン</t>
    </rPh>
    <rPh sb="2" eb="3">
      <t>カク</t>
    </rPh>
    <phoneticPr fontId="1"/>
  </si>
  <si>
    <r>
      <rPr>
        <sz val="11"/>
        <rFont val="游ゴシック Medium"/>
        <family val="3"/>
        <charset val="128"/>
      </rPr>
      <t>清水書店</t>
    </r>
    <rPh sb="0" eb="2">
      <t>シミズ</t>
    </rPh>
    <rPh sb="2" eb="4">
      <t>ショテン</t>
    </rPh>
    <phoneticPr fontId="1"/>
  </si>
  <si>
    <r>
      <rPr>
        <sz val="11"/>
        <rFont val="游ゴシック Medium"/>
        <family val="3"/>
        <charset val="128"/>
      </rPr>
      <t>笹間良彦</t>
    </r>
    <rPh sb="0" eb="2">
      <t>ササマ</t>
    </rPh>
    <rPh sb="2" eb="4">
      <t>ヨシヒコ</t>
    </rPh>
    <phoneticPr fontId="1"/>
  </si>
  <si>
    <r>
      <rPr>
        <sz val="11"/>
        <rFont val="游ゴシック Medium"/>
        <family val="3"/>
        <charset val="128"/>
      </rPr>
      <t>図録</t>
    </r>
    <r>
      <rPr>
        <sz val="11"/>
        <rFont val="Consolas"/>
        <family val="3"/>
      </rPr>
      <t xml:space="preserve"> </t>
    </r>
    <r>
      <rPr>
        <sz val="11"/>
        <rFont val="游ゴシック Medium"/>
        <family val="3"/>
        <charset val="128"/>
      </rPr>
      <t>性の日本史</t>
    </r>
    <rPh sb="0" eb="2">
      <t>ズロク</t>
    </rPh>
    <rPh sb="3" eb="4">
      <t>セイ</t>
    </rPh>
    <rPh sb="5" eb="8">
      <t>ニホンシ</t>
    </rPh>
    <phoneticPr fontId="1"/>
  </si>
  <si>
    <r>
      <t>ethnic/</t>
    </r>
    <r>
      <rPr>
        <sz val="11"/>
        <rFont val="游ゴシック Medium"/>
        <family val="3"/>
        <charset val="128"/>
      </rPr>
      <t>歴史・社会</t>
    </r>
    <phoneticPr fontId="1"/>
  </si>
  <si>
    <r>
      <rPr>
        <b/>
        <sz val="11"/>
        <color indexed="33"/>
        <rFont val="游ゴシック Medium"/>
        <family val="3"/>
        <charset val="128"/>
      </rPr>
      <t>世界の民族地図</t>
    </r>
    <rPh sb="0" eb="2">
      <t>セカイ</t>
    </rPh>
    <rPh sb="3" eb="5">
      <t>ミンゾク</t>
    </rPh>
    <rPh sb="5" eb="7">
      <t>チズ</t>
    </rPh>
    <phoneticPr fontId="1"/>
  </si>
  <si>
    <r>
      <rPr>
        <sz val="11"/>
        <rFont val="游ゴシック Medium"/>
        <family val="3"/>
        <charset val="128"/>
      </rPr>
      <t>惠谷</t>
    </r>
    <r>
      <rPr>
        <sz val="11"/>
        <rFont val="Consolas"/>
        <family val="3"/>
      </rPr>
      <t xml:space="preserve"> </t>
    </r>
    <r>
      <rPr>
        <sz val="11"/>
        <rFont val="游ゴシック Medium"/>
        <family val="3"/>
        <charset val="128"/>
      </rPr>
      <t>治</t>
    </r>
    <rPh sb="0" eb="2">
      <t>エヤ</t>
    </rPh>
    <rPh sb="3" eb="4">
      <t>オサム</t>
    </rPh>
    <phoneticPr fontId="1"/>
  </si>
  <si>
    <r>
      <rPr>
        <sz val="11"/>
        <rFont val="游ゴシック Medium"/>
        <family val="3"/>
        <charset val="128"/>
      </rPr>
      <t>世界危険情報大地図館</t>
    </r>
    <rPh sb="0" eb="6">
      <t>セカイキケンジョウホウ</t>
    </rPh>
    <rPh sb="6" eb="10">
      <t>ダイチズカン</t>
    </rPh>
    <phoneticPr fontId="1"/>
  </si>
  <si>
    <r>
      <rPr>
        <sz val="11"/>
        <rFont val="游ゴシック Medium"/>
        <family val="3"/>
        <charset val="128"/>
      </rPr>
      <t>ポスト･サピオ</t>
    </r>
    <r>
      <rPr>
        <sz val="11"/>
        <rFont val="Consolas"/>
        <family val="3"/>
      </rPr>
      <t xml:space="preserve"> Mook</t>
    </r>
    <rPh sb="8" eb="12">
      <t>ムック</t>
    </rPh>
    <phoneticPr fontId="1"/>
  </si>
  <si>
    <r>
      <rPr>
        <sz val="11"/>
        <rFont val="游ゴシック Medium"/>
        <family val="3"/>
        <charset val="128"/>
      </rPr>
      <t>小学館</t>
    </r>
    <rPh sb="0" eb="3">
      <t>ショウガクカン</t>
    </rPh>
    <phoneticPr fontId="1"/>
  </si>
  <si>
    <r>
      <rPr>
        <sz val="11"/>
        <rFont val="游ゴシック Medium"/>
        <family val="3"/>
        <charset val="128"/>
      </rPr>
      <t>ビジネスサーチ･ジャパン</t>
    </r>
    <phoneticPr fontId="1"/>
  </si>
  <si>
    <r>
      <rPr>
        <sz val="11"/>
        <rFont val="游ゴシック Medium"/>
        <family val="3"/>
        <charset val="128"/>
      </rPr>
      <t>鎌田正文</t>
    </r>
    <rPh sb="0" eb="2">
      <t>カマタ</t>
    </rPh>
    <rPh sb="2" eb="4">
      <t>マサフミ</t>
    </rPh>
    <phoneticPr fontId="1"/>
  </si>
  <si>
    <r>
      <rPr>
        <sz val="11"/>
        <rFont val="游ゴシック Medium"/>
        <family val="3"/>
        <charset val="128"/>
      </rPr>
      <t>代表</t>
    </r>
    <rPh sb="0" eb="2">
      <t>ダイヒョウ</t>
    </rPh>
    <phoneticPr fontId="1"/>
  </si>
  <si>
    <r>
      <rPr>
        <sz val="11"/>
        <rFont val="游ゴシック Medium"/>
        <family val="3"/>
        <charset val="128"/>
      </rPr>
      <t>図解</t>
    </r>
    <r>
      <rPr>
        <sz val="11"/>
        <rFont val="Consolas"/>
        <family val="3"/>
      </rPr>
      <t>/</t>
    </r>
    <r>
      <rPr>
        <sz val="11"/>
        <rFont val="游ゴシック Medium"/>
        <family val="3"/>
        <charset val="128"/>
      </rPr>
      <t>業界地図が一目でわかる本</t>
    </r>
    <r>
      <rPr>
        <sz val="11"/>
        <rFont val="Consolas"/>
        <family val="3"/>
      </rPr>
      <t>/</t>
    </r>
    <r>
      <rPr>
        <sz val="11"/>
        <rFont val="游ゴシック Medium"/>
        <family val="3"/>
        <charset val="128"/>
      </rPr>
      <t>日本企業の「勢力図」･「再編図」を徹底網羅</t>
    </r>
    <r>
      <rPr>
        <sz val="11"/>
        <rFont val="Consolas"/>
        <family val="3"/>
      </rPr>
      <t>!</t>
    </r>
    <rPh sb="0" eb="2">
      <t>ズカイ</t>
    </rPh>
    <rPh sb="3" eb="5">
      <t>ギョウカイ</t>
    </rPh>
    <rPh sb="5" eb="7">
      <t>チズ</t>
    </rPh>
    <rPh sb="8" eb="10">
      <t>ヒトメ</t>
    </rPh>
    <rPh sb="14" eb="15">
      <t>ホン</t>
    </rPh>
    <rPh sb="16" eb="18">
      <t>ニホン</t>
    </rPh>
    <rPh sb="18" eb="20">
      <t>キギョウ</t>
    </rPh>
    <rPh sb="22" eb="24">
      <t>セイリョク</t>
    </rPh>
    <rPh sb="24" eb="25">
      <t>ズ</t>
    </rPh>
    <rPh sb="28" eb="30">
      <t>サイヘン</t>
    </rPh>
    <rPh sb="30" eb="31">
      <t>ズ</t>
    </rPh>
    <rPh sb="33" eb="35">
      <t>テッテイ</t>
    </rPh>
    <rPh sb="35" eb="37">
      <t>モウラ</t>
    </rPh>
    <phoneticPr fontId="1"/>
  </si>
  <si>
    <r>
      <rPr>
        <sz val="11"/>
        <rFont val="游ゴシック Medium"/>
        <family val="3"/>
        <charset val="128"/>
      </rPr>
      <t>三笠書房</t>
    </r>
    <rPh sb="0" eb="2">
      <t>ミカサ</t>
    </rPh>
    <rPh sb="2" eb="4">
      <t>ショボウ</t>
    </rPh>
    <phoneticPr fontId="1"/>
  </si>
  <si>
    <r>
      <rPr>
        <sz val="11"/>
        <rFont val="游ゴシック Medium"/>
        <family val="3"/>
        <charset val="128"/>
      </rPr>
      <t>密教の本</t>
    </r>
    <r>
      <rPr>
        <sz val="11"/>
        <rFont val="Consolas"/>
        <family val="3"/>
      </rPr>
      <t>/</t>
    </r>
    <r>
      <rPr>
        <sz val="11"/>
        <rFont val="游ゴシック Medium"/>
        <family val="3"/>
        <charset val="128"/>
      </rPr>
      <t>驚くべき秘儀･修法の世界</t>
    </r>
    <rPh sb="0" eb="2">
      <t>ミッキョウ</t>
    </rPh>
    <rPh sb="3" eb="4">
      <t>ホン</t>
    </rPh>
    <rPh sb="5" eb="6">
      <t>オドロ</t>
    </rPh>
    <rPh sb="9" eb="11">
      <t>ヒギ</t>
    </rPh>
    <rPh sb="12" eb="14">
      <t>シュホウ</t>
    </rPh>
    <rPh sb="15" eb="17">
      <t>セカイ</t>
    </rPh>
    <phoneticPr fontId="1"/>
  </si>
  <si>
    <r>
      <rPr>
        <sz val="11"/>
        <rFont val="游ゴシック Medium"/>
        <family val="3"/>
        <charset val="128"/>
      </rPr>
      <t>学研</t>
    </r>
    <rPh sb="0" eb="2">
      <t>ガッケン</t>
    </rPh>
    <phoneticPr fontId="1"/>
  </si>
  <si>
    <r>
      <rPr>
        <sz val="11"/>
        <rFont val="游ゴシック Medium"/>
        <family val="3"/>
        <charset val="128"/>
      </rPr>
      <t>か舎</t>
    </r>
    <r>
      <rPr>
        <sz val="11"/>
        <rFont val="Consolas"/>
        <family val="3"/>
      </rPr>
      <t>+</t>
    </r>
    <r>
      <rPr>
        <sz val="11"/>
        <rFont val="游ゴシック Medium"/>
        <family val="3"/>
        <charset val="128"/>
      </rPr>
      <t>菊池昌治</t>
    </r>
    <rPh sb="1" eb="2">
      <t>シャ</t>
    </rPh>
    <rPh sb="3" eb="5">
      <t>キクチ</t>
    </rPh>
    <rPh sb="5" eb="7">
      <t>マサハル</t>
    </rPh>
    <phoneticPr fontId="1"/>
  </si>
  <si>
    <r>
      <rPr>
        <sz val="11"/>
        <rFont val="游ゴシック Medium"/>
        <family val="3"/>
        <charset val="128"/>
      </rPr>
      <t>京都の魔界をゆく</t>
    </r>
    <r>
      <rPr>
        <sz val="11"/>
        <rFont val="Consolas"/>
        <family val="3"/>
      </rPr>
      <t>/</t>
    </r>
    <r>
      <rPr>
        <sz val="11"/>
        <rFont val="游ゴシック Medium"/>
        <family val="3"/>
        <charset val="128"/>
      </rPr>
      <t>絵解き案内</t>
    </r>
    <rPh sb="0" eb="2">
      <t>キョウト</t>
    </rPh>
    <rPh sb="3" eb="5">
      <t>マカイ</t>
    </rPh>
    <rPh sb="9" eb="11">
      <t>エト</t>
    </rPh>
    <rPh sb="12" eb="14">
      <t>アンナイ</t>
    </rPh>
    <phoneticPr fontId="1"/>
  </si>
  <si>
    <r>
      <rPr>
        <sz val="11"/>
        <rFont val="游ゴシック Medium"/>
        <family val="3"/>
        <charset val="128"/>
      </rPr>
      <t>桐生</t>
    </r>
    <r>
      <rPr>
        <sz val="11"/>
        <rFont val="Consolas"/>
        <family val="3"/>
      </rPr>
      <t xml:space="preserve"> </t>
    </r>
    <r>
      <rPr>
        <sz val="11"/>
        <rFont val="游ゴシック Medium"/>
        <family val="3"/>
        <charset val="128"/>
      </rPr>
      <t>操</t>
    </r>
    <r>
      <rPr>
        <sz val="11"/>
        <rFont val="Consolas"/>
        <family val="3"/>
      </rPr>
      <t>/</t>
    </r>
    <r>
      <rPr>
        <sz val="11"/>
        <rFont val="游ゴシック Medium"/>
        <family val="3"/>
        <charset val="128"/>
      </rPr>
      <t>港</t>
    </r>
    <r>
      <rPr>
        <sz val="11"/>
        <rFont val="Consolas"/>
        <family val="3"/>
      </rPr>
      <t xml:space="preserve"> </t>
    </r>
    <r>
      <rPr>
        <sz val="11"/>
        <rFont val="游ゴシック Medium"/>
        <family val="3"/>
        <charset val="128"/>
      </rPr>
      <t>千尋</t>
    </r>
    <r>
      <rPr>
        <sz val="11"/>
        <rFont val="Consolas"/>
        <family val="3"/>
      </rPr>
      <t>/</t>
    </r>
    <r>
      <rPr>
        <sz val="11"/>
        <rFont val="游ゴシック Medium"/>
        <family val="3"/>
        <charset val="128"/>
      </rPr>
      <t>篠田勝英</t>
    </r>
    <r>
      <rPr>
        <sz val="11"/>
        <rFont val="Consolas"/>
        <family val="3"/>
      </rPr>
      <t>/etc.</t>
    </r>
    <rPh sb="0" eb="2">
      <t>キリュウ</t>
    </rPh>
    <rPh sb="3" eb="4">
      <t>ミサオ</t>
    </rPh>
    <rPh sb="5" eb="6">
      <t>ミナト</t>
    </rPh>
    <rPh sb="7" eb="9">
      <t>チヒロ</t>
    </rPh>
    <rPh sb="10" eb="12">
      <t>シノダ</t>
    </rPh>
    <rPh sb="12" eb="14">
      <t>カツヒデ</t>
    </rPh>
    <phoneticPr fontId="1"/>
  </si>
  <si>
    <r>
      <t>World Mystery Tour 13/Vol.3/Paris</t>
    </r>
    <r>
      <rPr>
        <sz val="11"/>
        <rFont val="游ゴシック Medium"/>
        <family val="3"/>
        <charset val="128"/>
      </rPr>
      <t>編</t>
    </r>
    <r>
      <rPr>
        <sz val="11"/>
        <rFont val="Consolas"/>
        <family val="3"/>
      </rPr>
      <t>/</t>
    </r>
    <r>
      <rPr>
        <sz val="11"/>
        <rFont val="游ゴシック Medium"/>
        <family val="3"/>
        <charset val="128"/>
      </rPr>
      <t>華の都は、闇の都となる</t>
    </r>
    <rPh sb="0" eb="5">
      <t>ワールド</t>
    </rPh>
    <rPh sb="6" eb="13">
      <t>ミステリー</t>
    </rPh>
    <rPh sb="14" eb="18">
      <t>ツアー</t>
    </rPh>
    <rPh sb="28" eb="33">
      <t>パリ</t>
    </rPh>
    <rPh sb="33" eb="34">
      <t>ヘン</t>
    </rPh>
    <rPh sb="35" eb="36">
      <t>ハナ</t>
    </rPh>
    <rPh sb="37" eb="38">
      <t>ミヤコ</t>
    </rPh>
    <rPh sb="40" eb="41">
      <t>ヤミ</t>
    </rPh>
    <rPh sb="42" eb="43">
      <t>ミヤコ</t>
    </rPh>
    <phoneticPr fontId="1"/>
  </si>
  <si>
    <r>
      <rPr>
        <sz val="11"/>
        <rFont val="游ゴシック Medium"/>
        <family val="3"/>
        <charset val="128"/>
      </rPr>
      <t>同朋舎</t>
    </r>
    <rPh sb="0" eb="2">
      <t>ドウホウ</t>
    </rPh>
    <rPh sb="2" eb="3">
      <t>シャ</t>
    </rPh>
    <phoneticPr fontId="1"/>
  </si>
  <si>
    <r>
      <rPr>
        <sz val="11"/>
        <rFont val="游ゴシック Medium"/>
        <family val="3"/>
        <charset val="128"/>
      </rPr>
      <t>西武池袋</t>
    </r>
    <r>
      <rPr>
        <sz val="11"/>
        <rFont val="Consolas"/>
        <family val="3"/>
      </rPr>
      <t>Libro</t>
    </r>
    <rPh sb="0" eb="2">
      <t>セイブ</t>
    </rPh>
    <rPh sb="2" eb="4">
      <t>イケブクロ</t>
    </rPh>
    <rPh sb="4" eb="9">
      <t>リブロ</t>
    </rPh>
    <phoneticPr fontId="1"/>
  </si>
  <si>
    <r>
      <rPr>
        <sz val="11"/>
        <rFont val="游ゴシック Medium"/>
        <family val="3"/>
        <charset val="128"/>
      </rPr>
      <t>水木しげる</t>
    </r>
    <r>
      <rPr>
        <sz val="11"/>
        <rFont val="Consolas"/>
        <family val="3"/>
      </rPr>
      <t>/</t>
    </r>
    <r>
      <rPr>
        <sz val="11"/>
        <rFont val="游ゴシック Medium"/>
        <family val="3"/>
        <charset val="128"/>
      </rPr>
      <t>島村奈津</t>
    </r>
    <r>
      <rPr>
        <sz val="11"/>
        <rFont val="Consolas"/>
        <family val="3"/>
      </rPr>
      <t>/</t>
    </r>
    <r>
      <rPr>
        <sz val="11"/>
        <rFont val="游ゴシック Medium"/>
        <family val="3"/>
        <charset val="128"/>
      </rPr>
      <t>巖谷國士</t>
    </r>
    <r>
      <rPr>
        <sz val="11"/>
        <rFont val="Consolas"/>
        <family val="3"/>
      </rPr>
      <t>/etc.</t>
    </r>
    <rPh sb="0" eb="2">
      <t>ミズキ</t>
    </rPh>
    <rPh sb="6" eb="10">
      <t>シマムラナツ</t>
    </rPh>
    <rPh sb="11" eb="13">
      <t>イワヤ</t>
    </rPh>
    <rPh sb="13" eb="15">
      <t>クニオ</t>
    </rPh>
    <phoneticPr fontId="1"/>
  </si>
  <si>
    <r>
      <t>World Mystery Tour 13/Vol.2/</t>
    </r>
    <r>
      <rPr>
        <sz val="11"/>
        <rFont val="游ゴシック Medium"/>
        <family val="3"/>
        <charset val="128"/>
      </rPr>
      <t>イタリア編</t>
    </r>
    <r>
      <rPr>
        <sz val="11"/>
        <rFont val="Consolas"/>
        <family val="3"/>
      </rPr>
      <t>/</t>
    </r>
    <r>
      <rPr>
        <sz val="11"/>
        <rFont val="游ゴシック Medium"/>
        <family val="3"/>
        <charset val="128"/>
      </rPr>
      <t>地中海の異郷を巡る</t>
    </r>
    <rPh sb="0" eb="5">
      <t>ワールド</t>
    </rPh>
    <rPh sb="6" eb="13">
      <t>ミステリー</t>
    </rPh>
    <rPh sb="14" eb="18">
      <t>ツアー</t>
    </rPh>
    <rPh sb="32" eb="33">
      <t>ヘン</t>
    </rPh>
    <rPh sb="34" eb="37">
      <t>チチュウカイ</t>
    </rPh>
    <rPh sb="38" eb="40">
      <t>イキョウ</t>
    </rPh>
    <rPh sb="41" eb="42">
      <t>メグ</t>
    </rPh>
    <phoneticPr fontId="1"/>
  </si>
  <si>
    <r>
      <rPr>
        <sz val="11"/>
        <rFont val="游ゴシック Medium"/>
        <family val="3"/>
        <charset val="128"/>
      </rPr>
      <t>日本怪奇幻想紀行</t>
    </r>
    <r>
      <rPr>
        <sz val="11"/>
        <rFont val="Consolas"/>
        <family val="3"/>
      </rPr>
      <t>/</t>
    </r>
    <r>
      <rPr>
        <sz val="11"/>
        <rFont val="游ゴシック Medium"/>
        <family val="3"/>
        <charset val="128"/>
      </rPr>
      <t>一之巻</t>
    </r>
    <r>
      <rPr>
        <sz val="11"/>
        <rFont val="Consolas"/>
        <family val="3"/>
      </rPr>
      <t>/</t>
    </r>
    <r>
      <rPr>
        <sz val="11"/>
        <rFont val="游ゴシック Medium"/>
        <family val="3"/>
        <charset val="128"/>
      </rPr>
      <t>妖怪</t>
    </r>
    <r>
      <rPr>
        <sz val="11"/>
        <rFont val="Consolas"/>
        <family val="3"/>
      </rPr>
      <t>/</t>
    </r>
    <r>
      <rPr>
        <sz val="11"/>
        <rFont val="游ゴシック Medium"/>
        <family val="3"/>
        <charset val="128"/>
      </rPr>
      <t>百鬼巡り</t>
    </r>
    <rPh sb="0" eb="2">
      <t>ニホン</t>
    </rPh>
    <rPh sb="2" eb="4">
      <t>カイキ</t>
    </rPh>
    <rPh sb="4" eb="6">
      <t>ゲンソウ</t>
    </rPh>
    <rPh sb="6" eb="8">
      <t>キコウ</t>
    </rPh>
    <rPh sb="9" eb="12">
      <t>イチノカン</t>
    </rPh>
    <rPh sb="13" eb="15">
      <t>ヨウカイ</t>
    </rPh>
    <rPh sb="16" eb="18">
      <t>ヒャッキ</t>
    </rPh>
    <rPh sb="18" eb="19">
      <t>メグ</t>
    </rPh>
    <phoneticPr fontId="1"/>
  </si>
  <si>
    <r>
      <rPr>
        <sz val="11"/>
        <rFont val="游ゴシック Medium"/>
        <family val="3"/>
        <charset val="128"/>
      </rPr>
      <t>好事家たちが誘う、妖しと怖し九つの旅</t>
    </r>
    <rPh sb="0" eb="3">
      <t>コウズカ</t>
    </rPh>
    <rPh sb="6" eb="7">
      <t>サソ</t>
    </rPh>
    <rPh sb="9" eb="10">
      <t>アヤ</t>
    </rPh>
    <rPh sb="12" eb="13">
      <t>コワ</t>
    </rPh>
    <rPh sb="14" eb="15">
      <t>ココノ</t>
    </rPh>
    <rPh sb="17" eb="18">
      <t>タビ</t>
    </rPh>
    <phoneticPr fontId="1"/>
  </si>
  <si>
    <r>
      <rPr>
        <sz val="11"/>
        <rFont val="游ゴシック Medium"/>
        <family val="3"/>
        <charset val="128"/>
      </rPr>
      <t>同朋舎</t>
    </r>
    <r>
      <rPr>
        <sz val="11"/>
        <rFont val="Consolas"/>
        <family val="3"/>
      </rPr>
      <t>:</t>
    </r>
    <r>
      <rPr>
        <sz val="11"/>
        <rFont val="游ゴシック Medium"/>
        <family val="3"/>
        <charset val="128"/>
      </rPr>
      <t>発行</t>
    </r>
    <r>
      <rPr>
        <sz val="11"/>
        <rFont val="Consolas"/>
        <family val="3"/>
      </rPr>
      <t>/</t>
    </r>
    <r>
      <rPr>
        <sz val="11"/>
        <rFont val="游ゴシック Medium"/>
        <family val="3"/>
        <charset val="128"/>
      </rPr>
      <t>角川書店</t>
    </r>
    <r>
      <rPr>
        <sz val="11"/>
        <rFont val="Consolas"/>
        <family val="3"/>
      </rPr>
      <t>:</t>
    </r>
    <r>
      <rPr>
        <sz val="11"/>
        <rFont val="游ゴシック Medium"/>
        <family val="3"/>
        <charset val="128"/>
      </rPr>
      <t>発売</t>
    </r>
    <rPh sb="0" eb="2">
      <t>ドウホウ</t>
    </rPh>
    <rPh sb="2" eb="3">
      <t>シャ</t>
    </rPh>
    <rPh sb="4" eb="6">
      <t>ハッコウ</t>
    </rPh>
    <rPh sb="7" eb="9">
      <t>カドカワ</t>
    </rPh>
    <rPh sb="9" eb="11">
      <t>ショテン</t>
    </rPh>
    <rPh sb="12" eb="14">
      <t>ハツバイ</t>
    </rPh>
    <phoneticPr fontId="1"/>
  </si>
  <si>
    <r>
      <rPr>
        <sz val="11"/>
        <rFont val="游ゴシック Medium"/>
        <family val="3"/>
        <charset val="128"/>
      </rPr>
      <t>日本怪奇幻想紀行</t>
    </r>
    <r>
      <rPr>
        <sz val="11"/>
        <rFont val="Consolas"/>
        <family val="3"/>
      </rPr>
      <t>/</t>
    </r>
    <r>
      <rPr>
        <sz val="11"/>
        <rFont val="游ゴシック Medium"/>
        <family val="3"/>
        <charset val="128"/>
      </rPr>
      <t>二之巻</t>
    </r>
    <r>
      <rPr>
        <sz val="11"/>
        <rFont val="Consolas"/>
        <family val="3"/>
      </rPr>
      <t>/</t>
    </r>
    <r>
      <rPr>
        <sz val="11"/>
        <rFont val="游ゴシック Medium"/>
        <family val="3"/>
        <charset val="128"/>
      </rPr>
      <t>祟り･呪い道中</t>
    </r>
    <rPh sb="0" eb="2">
      <t>ニホン</t>
    </rPh>
    <rPh sb="2" eb="4">
      <t>カイキ</t>
    </rPh>
    <rPh sb="4" eb="6">
      <t>ゲンソウ</t>
    </rPh>
    <rPh sb="6" eb="8">
      <t>キコウ</t>
    </rPh>
    <rPh sb="9" eb="10">
      <t>ニ</t>
    </rPh>
    <rPh sb="10" eb="11">
      <t>ノ</t>
    </rPh>
    <rPh sb="11" eb="12">
      <t>カン</t>
    </rPh>
    <rPh sb="13" eb="14">
      <t>タタ</t>
    </rPh>
    <rPh sb="16" eb="17">
      <t>ノロ</t>
    </rPh>
    <rPh sb="18" eb="20">
      <t>ドウチュウ</t>
    </rPh>
    <phoneticPr fontId="1"/>
  </si>
  <si>
    <r>
      <rPr>
        <sz val="11"/>
        <rFont val="游ゴシック Medium"/>
        <family val="3"/>
        <charset val="128"/>
      </rPr>
      <t>長瀬久子</t>
    </r>
    <rPh sb="0" eb="2">
      <t>ナガセ</t>
    </rPh>
    <rPh sb="2" eb="4">
      <t>ヒサコ</t>
    </rPh>
    <phoneticPr fontId="1"/>
  </si>
  <si>
    <r>
      <rPr>
        <sz val="11"/>
        <rFont val="游ゴシック Medium"/>
        <family val="3"/>
        <charset val="128"/>
      </rPr>
      <t>魔女･産婆･看護婦</t>
    </r>
    <r>
      <rPr>
        <sz val="11"/>
        <rFont val="Consolas"/>
        <family val="3"/>
      </rPr>
      <t>/</t>
    </r>
    <r>
      <rPr>
        <sz val="11"/>
        <rFont val="游ゴシック Medium"/>
        <family val="3"/>
        <charset val="128"/>
      </rPr>
      <t>女性医療家の歴史</t>
    </r>
    <r>
      <rPr>
        <sz val="11"/>
        <rFont val="Consolas"/>
        <family val="3"/>
      </rPr>
      <t>/Witches,Midwives,and Nurses.Complaints and Disorders</t>
    </r>
    <rPh sb="0" eb="2">
      <t>マジョ</t>
    </rPh>
    <rPh sb="3" eb="5">
      <t>サンバ</t>
    </rPh>
    <rPh sb="6" eb="9">
      <t>カンゴフ</t>
    </rPh>
    <rPh sb="10" eb="12">
      <t>ジョセイ</t>
    </rPh>
    <rPh sb="12" eb="14">
      <t>イリョウ</t>
    </rPh>
    <rPh sb="14" eb="15">
      <t>カ</t>
    </rPh>
    <rPh sb="16" eb="18">
      <t>レキシ</t>
    </rPh>
    <phoneticPr fontId="1"/>
  </si>
  <si>
    <r>
      <rPr>
        <sz val="11"/>
        <rFont val="游ゴシック Medium"/>
        <family val="3"/>
        <charset val="128"/>
      </rPr>
      <t>りぶらりあ選書</t>
    </r>
    <r>
      <rPr>
        <sz val="11"/>
        <rFont val="Consolas"/>
        <family val="3"/>
      </rPr>
      <t>/Libraria</t>
    </r>
    <rPh sb="5" eb="7">
      <t>センショ</t>
    </rPh>
    <phoneticPr fontId="1"/>
  </si>
  <si>
    <r>
      <rPr>
        <sz val="11"/>
        <rFont val="游ゴシック Medium"/>
        <family val="3"/>
        <charset val="128"/>
      </rPr>
      <t>秋山さと子</t>
    </r>
    <rPh sb="0" eb="2">
      <t>アキヤマ</t>
    </rPh>
    <rPh sb="2" eb="5">
      <t>サトコ</t>
    </rPh>
    <phoneticPr fontId="1"/>
  </si>
  <si>
    <r>
      <rPr>
        <sz val="11"/>
        <rFont val="游ゴシック Medium"/>
        <family val="3"/>
        <charset val="128"/>
      </rPr>
      <t>あずさ弓─日本における</t>
    </r>
    <r>
      <rPr>
        <sz val="11"/>
        <rFont val="Consolas"/>
        <family val="3"/>
      </rPr>
      <t>Chaman</t>
    </r>
    <r>
      <rPr>
        <sz val="11"/>
        <rFont val="游ゴシック Medium"/>
        <family val="3"/>
        <charset val="128"/>
      </rPr>
      <t>的行為</t>
    </r>
    <r>
      <rPr>
        <sz val="11"/>
        <rFont val="Consolas"/>
        <family val="3"/>
      </rPr>
      <t>/The Catalpa Bow/A Study of Shamanistic Practices in Japan</t>
    </r>
    <rPh sb="3" eb="4">
      <t>ユミ</t>
    </rPh>
    <rPh sb="5" eb="7">
      <t>ニホン</t>
    </rPh>
    <rPh sb="11" eb="17">
      <t>シャーマン</t>
    </rPh>
    <rPh sb="17" eb="18">
      <t>テキ</t>
    </rPh>
    <rPh sb="18" eb="20">
      <t>コウイ</t>
    </rPh>
    <phoneticPr fontId="1"/>
  </si>
  <si>
    <r>
      <rPr>
        <sz val="11"/>
        <rFont val="游ゴシック Medium"/>
        <family val="3"/>
        <charset val="128"/>
      </rPr>
      <t>岩波現代選書</t>
    </r>
    <rPh sb="0" eb="2">
      <t>イワナミ</t>
    </rPh>
    <rPh sb="2" eb="4">
      <t>ゲンダイ</t>
    </rPh>
    <rPh sb="4" eb="6">
      <t>センショ</t>
    </rPh>
    <phoneticPr fontId="1"/>
  </si>
  <si>
    <r>
      <rPr>
        <sz val="11"/>
        <rFont val="游ゴシック Medium"/>
        <family val="3"/>
        <charset val="128"/>
      </rPr>
      <t>加太こうじ</t>
    </r>
    <rPh sb="0" eb="2">
      <t>カタ</t>
    </rPh>
    <phoneticPr fontId="1"/>
  </si>
  <si>
    <r>
      <t>[</t>
    </r>
    <r>
      <rPr>
        <sz val="11"/>
        <rFont val="游ゴシック Medium"/>
        <family val="3"/>
        <charset val="128"/>
      </rPr>
      <t>明治</t>
    </r>
    <r>
      <rPr>
        <sz val="11"/>
        <rFont val="Consolas"/>
        <family val="3"/>
      </rPr>
      <t>][</t>
    </r>
    <r>
      <rPr>
        <sz val="11"/>
        <rFont val="游ゴシック Medium"/>
        <family val="3"/>
        <charset val="128"/>
      </rPr>
      <t>大正</t>
    </r>
    <r>
      <rPr>
        <sz val="11"/>
        <rFont val="Consolas"/>
        <family val="3"/>
      </rPr>
      <t>]</t>
    </r>
    <r>
      <rPr>
        <sz val="11"/>
        <rFont val="游ゴシック Medium"/>
        <family val="3"/>
        <charset val="128"/>
      </rPr>
      <t>犯罪史</t>
    </r>
    <rPh sb="1" eb="3">
      <t>メイジ</t>
    </rPh>
    <rPh sb="5" eb="7">
      <t>タイショウ</t>
    </rPh>
    <rPh sb="8" eb="10">
      <t>ハンザイ</t>
    </rPh>
    <rPh sb="10" eb="11">
      <t>シ</t>
    </rPh>
    <phoneticPr fontId="1"/>
  </si>
  <si>
    <r>
      <rPr>
        <sz val="11"/>
        <rFont val="游ゴシック Medium"/>
        <family val="3"/>
        <charset val="128"/>
      </rPr>
      <t>現代史出版会</t>
    </r>
    <r>
      <rPr>
        <sz val="11"/>
        <rFont val="Consolas"/>
        <family val="3"/>
      </rPr>
      <t>:</t>
    </r>
    <r>
      <rPr>
        <sz val="11"/>
        <rFont val="游ゴシック Medium"/>
        <family val="3"/>
        <charset val="128"/>
      </rPr>
      <t>発行</t>
    </r>
    <r>
      <rPr>
        <sz val="11"/>
        <rFont val="Consolas"/>
        <family val="3"/>
      </rPr>
      <t>/</t>
    </r>
    <r>
      <rPr>
        <sz val="11"/>
        <rFont val="游ゴシック Medium"/>
        <family val="3"/>
        <charset val="128"/>
      </rPr>
      <t>徳間書店</t>
    </r>
    <r>
      <rPr>
        <sz val="11"/>
        <rFont val="Consolas"/>
        <family val="3"/>
      </rPr>
      <t>:</t>
    </r>
    <r>
      <rPr>
        <sz val="11"/>
        <rFont val="游ゴシック Medium"/>
        <family val="3"/>
        <charset val="128"/>
      </rPr>
      <t>発売</t>
    </r>
    <rPh sb="0" eb="3">
      <t>ゲンダイシ</t>
    </rPh>
    <rPh sb="3" eb="5">
      <t>シュッパン</t>
    </rPh>
    <rPh sb="5" eb="6">
      <t>カイ</t>
    </rPh>
    <rPh sb="7" eb="9">
      <t>ハッコウ</t>
    </rPh>
    <rPh sb="10" eb="12">
      <t>トクマ</t>
    </rPh>
    <rPh sb="12" eb="14">
      <t>ショテン</t>
    </rPh>
    <rPh sb="15" eb="17">
      <t>ハツバイ</t>
    </rPh>
    <phoneticPr fontId="1"/>
  </si>
  <si>
    <r>
      <rPr>
        <sz val="11"/>
        <rFont val="游ゴシック Medium"/>
        <family val="3"/>
        <charset val="128"/>
      </rPr>
      <t>関口</t>
    </r>
    <r>
      <rPr>
        <sz val="11"/>
        <rFont val="Consolas"/>
        <family val="3"/>
      </rPr>
      <t xml:space="preserve"> </t>
    </r>
    <r>
      <rPr>
        <sz val="11"/>
        <rFont val="游ゴシック Medium"/>
        <family val="3"/>
        <charset val="128"/>
      </rPr>
      <t>篤</t>
    </r>
    <rPh sb="0" eb="2">
      <t>セキグチ</t>
    </rPh>
    <rPh sb="3" eb="4">
      <t>アツシ</t>
    </rPh>
    <phoneticPr fontId="1"/>
  </si>
  <si>
    <r>
      <rPr>
        <sz val="11"/>
        <rFont val="游ゴシック Medium"/>
        <family val="3"/>
        <charset val="128"/>
      </rPr>
      <t>現代殺人百科</t>
    </r>
    <r>
      <rPr>
        <sz val="11"/>
        <rFont val="Consolas"/>
        <family val="3"/>
      </rPr>
      <t>/Encyclopedia of Modern Murder</t>
    </r>
    <rPh sb="0" eb="2">
      <t>ゲンダイ</t>
    </rPh>
    <rPh sb="2" eb="4">
      <t>サツジン</t>
    </rPh>
    <rPh sb="4" eb="6">
      <t>ヒャッカ</t>
    </rPh>
    <phoneticPr fontId="1"/>
  </si>
  <si>
    <r>
      <rPr>
        <sz val="11"/>
        <rFont val="游ゴシック Medium"/>
        <family val="3"/>
        <charset val="128"/>
      </rPr>
      <t>赤根洋子</t>
    </r>
    <rPh sb="0" eb="2">
      <t>アカネ</t>
    </rPh>
    <rPh sb="2" eb="4">
      <t>ヨウコ</t>
    </rPh>
    <phoneticPr fontId="1"/>
  </si>
  <si>
    <r>
      <rPr>
        <sz val="11"/>
        <rFont val="游ゴシック Medium"/>
        <family val="3"/>
        <charset val="128"/>
      </rPr>
      <t>スリ</t>
    </r>
    <r>
      <rPr>
        <sz val="11"/>
        <rFont val="Consolas"/>
        <family val="3"/>
      </rPr>
      <t>/Taschendiebe:der heimlichen Zunft auf die Finger geshaut</t>
    </r>
    <r>
      <rPr>
        <sz val="8"/>
        <rFont val="Consolas"/>
        <family val="3"/>
      </rPr>
      <t>/</t>
    </r>
    <r>
      <rPr>
        <sz val="8"/>
        <rFont val="游ゴシック Medium"/>
        <family val="3"/>
        <charset val="128"/>
      </rPr>
      <t>その技術と生活</t>
    </r>
    <rPh sb="62" eb="64">
      <t>ギジュツ</t>
    </rPh>
    <rPh sb="65" eb="67">
      <t>セイカツ</t>
    </rPh>
    <phoneticPr fontId="1"/>
  </si>
  <si>
    <r>
      <rPr>
        <sz val="11"/>
        <rFont val="游ゴシック Medium"/>
        <family val="3"/>
        <charset val="128"/>
      </rPr>
      <t>自由価格本</t>
    </r>
    <rPh sb="0" eb="2">
      <t>ジユウ</t>
    </rPh>
    <rPh sb="2" eb="4">
      <t>カカク</t>
    </rPh>
    <rPh sb="4" eb="5">
      <t>ボン</t>
    </rPh>
    <phoneticPr fontId="1"/>
  </si>
  <si>
    <r>
      <rPr>
        <sz val="11"/>
        <rFont val="游ゴシック Medium"/>
        <family val="3"/>
        <charset val="128"/>
      </rPr>
      <t>井上廣美</t>
    </r>
    <rPh sb="0" eb="2">
      <t>イノウエ</t>
    </rPh>
    <rPh sb="2" eb="4">
      <t>ヒロミ</t>
    </rPh>
    <phoneticPr fontId="1"/>
  </si>
  <si>
    <r>
      <t>Taboo</t>
    </r>
    <r>
      <rPr>
        <sz val="11"/>
        <rFont val="游ゴシック Medium"/>
        <family val="3"/>
        <charset val="128"/>
      </rPr>
      <t>の事典</t>
    </r>
    <r>
      <rPr>
        <sz val="11"/>
        <rFont val="Consolas"/>
        <family val="3"/>
      </rPr>
      <t>/A Dictionary of the Forbitten/</t>
    </r>
    <r>
      <rPr>
        <sz val="11"/>
        <rFont val="游ゴシック Medium"/>
        <family val="3"/>
        <charset val="128"/>
      </rPr>
      <t>それはなぜ【悪い】のか</t>
    </r>
    <r>
      <rPr>
        <sz val="11"/>
        <rFont val="Consolas"/>
        <family val="3"/>
      </rPr>
      <t>?</t>
    </r>
    <r>
      <rPr>
        <sz val="11"/>
        <rFont val="游ゴシック Medium"/>
        <family val="3"/>
        <charset val="128"/>
      </rPr>
      <t>【いけない】のか</t>
    </r>
    <r>
      <rPr>
        <sz val="11"/>
        <rFont val="Consolas"/>
        <family val="3"/>
      </rPr>
      <t>?/Don't Do It!</t>
    </r>
    <rPh sb="0" eb="5">
      <t>タブー</t>
    </rPh>
    <rPh sb="6" eb="8">
      <t>ジテン</t>
    </rPh>
    <rPh sb="45" eb="46">
      <t>ワル</t>
    </rPh>
    <phoneticPr fontId="1"/>
  </si>
  <si>
    <r>
      <rPr>
        <sz val="11"/>
        <rFont val="游ゴシック Medium"/>
        <family val="3"/>
        <charset val="128"/>
      </rPr>
      <t>監訳</t>
    </r>
    <rPh sb="0" eb="2">
      <t>カンヤク</t>
    </rPh>
    <phoneticPr fontId="1"/>
  </si>
  <si>
    <r>
      <rPr>
        <sz val="11"/>
        <rFont val="游ゴシック Medium"/>
        <family val="3"/>
        <charset val="128"/>
      </rPr>
      <t>悪趣味百科</t>
    </r>
    <r>
      <rPr>
        <sz val="11"/>
        <rFont val="Consolas"/>
        <family val="3"/>
      </rPr>
      <t>/The Encyclopedia of Bad Taste</t>
    </r>
    <rPh sb="0" eb="3">
      <t>アクシュミ</t>
    </rPh>
    <rPh sb="3" eb="5">
      <t>ヒャッカ</t>
    </rPh>
    <rPh sb="6" eb="35">
      <t>ザ　エンサイクロペディア　オブ　バッド　テイスト</t>
    </rPh>
    <phoneticPr fontId="1"/>
  </si>
  <si>
    <r>
      <t>Book</t>
    </r>
    <r>
      <rPr>
        <sz val="11"/>
        <rFont val="游ゴシック Medium"/>
        <family val="3"/>
        <charset val="128"/>
      </rPr>
      <t>･</t>
    </r>
    <r>
      <rPr>
        <sz val="11"/>
        <rFont val="Consolas"/>
        <family val="3"/>
      </rPr>
      <t>8</t>
    </r>
    <r>
      <rPr>
        <sz val="11"/>
        <rFont val="游ゴシック Medium"/>
        <family val="3"/>
        <charset val="128"/>
      </rPr>
      <t>大塚</t>
    </r>
    <rPh sb="0" eb="4">
      <t>ブック</t>
    </rPh>
    <rPh sb="6" eb="8">
      <t>オオツカ</t>
    </rPh>
    <phoneticPr fontId="1"/>
  </si>
  <si>
    <r>
      <rPr>
        <sz val="11"/>
        <rFont val="游ゴシック Medium"/>
        <family val="3"/>
        <charset val="128"/>
      </rPr>
      <t>白井健三郎</t>
    </r>
    <rPh sb="0" eb="2">
      <t>シライ</t>
    </rPh>
    <rPh sb="2" eb="5">
      <t>ケンザブロウ</t>
    </rPh>
    <phoneticPr fontId="1"/>
  </si>
  <si>
    <r>
      <t>Sade</t>
    </r>
    <r>
      <rPr>
        <sz val="11"/>
        <rFont val="游ゴシック Medium"/>
        <family val="3"/>
        <charset val="128"/>
      </rPr>
      <t>は有罪か</t>
    </r>
    <r>
      <rPr>
        <sz val="11"/>
        <rFont val="Consolas"/>
        <family val="3"/>
      </rPr>
      <t>/Faut-il Bruler Sade?</t>
    </r>
    <rPh sb="0" eb="4">
      <t>サド</t>
    </rPh>
    <rPh sb="5" eb="7">
      <t>ユウザイ</t>
    </rPh>
    <phoneticPr fontId="1"/>
  </si>
  <si>
    <r>
      <rPr>
        <sz val="11"/>
        <rFont val="游ゴシック Medium"/>
        <family val="3"/>
        <charset val="128"/>
      </rPr>
      <t>現代思潮社</t>
    </r>
    <rPh sb="0" eb="2">
      <t>ゲンダイ</t>
    </rPh>
    <rPh sb="2" eb="5">
      <t>シチョウシャ</t>
    </rPh>
    <phoneticPr fontId="1"/>
  </si>
  <si>
    <r>
      <rPr>
        <sz val="11"/>
        <rFont val="游ゴシック Medium"/>
        <family val="3"/>
        <charset val="128"/>
      </rPr>
      <t>たもかく本の森</t>
    </r>
    <rPh sb="4" eb="5">
      <t>ホン</t>
    </rPh>
    <rPh sb="6" eb="7">
      <t>モリ</t>
    </rPh>
    <phoneticPr fontId="1"/>
  </si>
  <si>
    <r>
      <rPr>
        <sz val="11"/>
        <rFont val="游ゴシック Medium"/>
        <family val="3"/>
        <charset val="128"/>
      </rPr>
      <t>出口裕弘</t>
    </r>
    <rPh sb="0" eb="2">
      <t>デグチ</t>
    </rPh>
    <rPh sb="2" eb="4">
      <t>ヤスヒロ</t>
    </rPh>
    <phoneticPr fontId="1"/>
  </si>
  <si>
    <r>
      <rPr>
        <sz val="11"/>
        <rFont val="游ゴシック Medium"/>
        <family val="3"/>
        <charset val="128"/>
      </rPr>
      <t>訳</t>
    </r>
    <r>
      <rPr>
        <sz val="11"/>
        <rFont val="Consolas"/>
        <family val="3"/>
      </rPr>
      <t xml:space="preserve"> </t>
    </r>
    <rPh sb="0" eb="1">
      <t>ヤク</t>
    </rPh>
    <phoneticPr fontId="1"/>
  </si>
  <si>
    <r>
      <rPr>
        <sz val="8"/>
        <rFont val="游ゴシック Medium"/>
        <family val="3"/>
        <charset val="128"/>
      </rPr>
      <t>無神学大全</t>
    </r>
    <r>
      <rPr>
        <sz val="11"/>
        <rFont val="Consolas"/>
        <family val="3"/>
      </rPr>
      <t xml:space="preserve"> </t>
    </r>
    <r>
      <rPr>
        <sz val="11"/>
        <rFont val="游ゴシック Medium"/>
        <family val="3"/>
        <charset val="128"/>
      </rPr>
      <t>内的体験</t>
    </r>
    <r>
      <rPr>
        <sz val="11"/>
        <rFont val="Consolas"/>
        <family val="3"/>
      </rPr>
      <t>/L'Experience inte'rieure</t>
    </r>
    <rPh sb="0" eb="1">
      <t>ム</t>
    </rPh>
    <rPh sb="1" eb="3">
      <t>シンガク</t>
    </rPh>
    <rPh sb="3" eb="5">
      <t>タイゼン</t>
    </rPh>
    <rPh sb="6" eb="8">
      <t>ナイテキ</t>
    </rPh>
    <rPh sb="8" eb="10">
      <t>タイケン</t>
    </rPh>
    <phoneticPr fontId="1"/>
  </si>
  <si>
    <r>
      <rPr>
        <sz val="11"/>
        <rFont val="游ゴシック Medium"/>
        <family val="3"/>
        <charset val="128"/>
      </rPr>
      <t>古本大學</t>
    </r>
    <rPh sb="0" eb="2">
      <t>フルホン</t>
    </rPh>
    <rPh sb="2" eb="4">
      <t>ダイガク</t>
    </rPh>
    <phoneticPr fontId="1"/>
  </si>
  <si>
    <r>
      <rPr>
        <sz val="11"/>
        <rFont val="游ゴシック Medium"/>
        <family val="3"/>
        <charset val="128"/>
      </rPr>
      <t>川澄英男</t>
    </r>
    <rPh sb="0" eb="2">
      <t>カワスミ</t>
    </rPh>
    <rPh sb="2" eb="4">
      <t>ヒデオ</t>
    </rPh>
    <phoneticPr fontId="1"/>
  </si>
  <si>
    <r>
      <rPr>
        <sz val="11"/>
        <rFont val="游ゴシック Medium"/>
        <family val="3"/>
        <charset val="128"/>
      </rPr>
      <t>夢魔</t>
    </r>
    <r>
      <rPr>
        <sz val="11"/>
        <rFont val="Consolas"/>
        <family val="3"/>
      </rPr>
      <t xml:space="preserve"> </t>
    </r>
    <r>
      <rPr>
        <sz val="11"/>
        <rFont val="游ゴシック Medium"/>
        <family val="3"/>
        <charset val="128"/>
      </rPr>
      <t>内部空間からの来訪者</t>
    </r>
    <r>
      <rPr>
        <sz val="11"/>
        <rFont val="Consolas"/>
        <family val="3"/>
      </rPr>
      <t>/Creature from Innerspace</t>
    </r>
    <rPh sb="0" eb="2">
      <t>ムマ</t>
    </rPh>
    <rPh sb="3" eb="5">
      <t>ナイブ</t>
    </rPh>
    <rPh sb="5" eb="7">
      <t>クウカン</t>
    </rPh>
    <rPh sb="10" eb="13">
      <t>ライホウシャ</t>
    </rPh>
    <phoneticPr fontId="1"/>
  </si>
  <si>
    <r>
      <rPr>
        <sz val="11"/>
        <rFont val="游ゴシック Medium"/>
        <family val="3"/>
        <charset val="128"/>
      </rPr>
      <t>未来社</t>
    </r>
    <rPh sb="0" eb="2">
      <t>ミライ</t>
    </rPh>
    <rPh sb="2" eb="3">
      <t>シャ</t>
    </rPh>
    <phoneticPr fontId="1"/>
  </si>
  <si>
    <r>
      <rPr>
        <sz val="11"/>
        <rFont val="游ゴシック Medium"/>
        <family val="3"/>
        <charset val="128"/>
      </rPr>
      <t>芹沢常行</t>
    </r>
    <rPh sb="0" eb="2">
      <t>セリザワ</t>
    </rPh>
    <rPh sb="2" eb="4">
      <t>ツネユキ</t>
    </rPh>
    <phoneticPr fontId="1"/>
  </si>
  <si>
    <r>
      <rPr>
        <sz val="11"/>
        <rFont val="游ゴシック Medium"/>
        <family val="3"/>
        <charset val="128"/>
      </rPr>
      <t>検死読本</t>
    </r>
    <rPh sb="0" eb="2">
      <t>ケンシ</t>
    </rPh>
    <rPh sb="2" eb="4">
      <t>ドクホン</t>
    </rPh>
    <phoneticPr fontId="1"/>
  </si>
  <si>
    <r>
      <rPr>
        <sz val="11"/>
        <rFont val="游ゴシック Medium"/>
        <family val="3"/>
        <charset val="128"/>
      </rPr>
      <t>立花書房</t>
    </r>
    <rPh sb="0" eb="2">
      <t>タチバナ</t>
    </rPh>
    <rPh sb="2" eb="4">
      <t>ショボウ</t>
    </rPh>
    <phoneticPr fontId="1"/>
  </si>
  <si>
    <r>
      <rPr>
        <sz val="11"/>
        <rFont val="游ゴシック Medium"/>
        <family val="3"/>
        <charset val="128"/>
      </rPr>
      <t>室</t>
    </r>
    <r>
      <rPr>
        <sz val="11"/>
        <rFont val="Consolas"/>
        <family val="3"/>
      </rPr>
      <t xml:space="preserve"> </t>
    </r>
    <r>
      <rPr>
        <sz val="11"/>
        <rFont val="游ゴシック Medium"/>
        <family val="3"/>
        <charset val="128"/>
      </rPr>
      <t>淳介</t>
    </r>
    <rPh sb="0" eb="1">
      <t>ムロ</t>
    </rPh>
    <rPh sb="2" eb="4">
      <t>ジュンスケ</t>
    </rPh>
    <phoneticPr fontId="1"/>
  </si>
  <si>
    <r>
      <rPr>
        <sz val="11"/>
        <rFont val="游ゴシック Medium"/>
        <family val="3"/>
        <charset val="128"/>
      </rPr>
      <t>訳</t>
    </r>
    <r>
      <rPr>
        <sz val="11"/>
        <rFont val="Consolas"/>
        <family val="3"/>
      </rPr>
      <t>:</t>
    </r>
    <r>
      <rPr>
        <sz val="11"/>
        <rFont val="游ゴシック Medium"/>
        <family val="3"/>
        <charset val="128"/>
      </rPr>
      <t>早稲田大学仏文科教授</t>
    </r>
    <rPh sb="0" eb="1">
      <t>ヤク</t>
    </rPh>
    <rPh sb="2" eb="5">
      <t>ワセダ</t>
    </rPh>
    <rPh sb="5" eb="7">
      <t>ダイガク</t>
    </rPh>
    <rPh sb="7" eb="10">
      <t>フツブンカ</t>
    </rPh>
    <rPh sb="10" eb="12">
      <t>キョウジュ</t>
    </rPh>
    <phoneticPr fontId="1"/>
  </si>
  <si>
    <r>
      <rPr>
        <sz val="11"/>
        <rFont val="游ゴシック Medium"/>
        <family val="3"/>
        <charset val="128"/>
      </rPr>
      <t>エロチシズム</t>
    </r>
    <r>
      <rPr>
        <sz val="11"/>
        <rFont val="Consolas"/>
        <family val="3"/>
      </rPr>
      <t>/L'Erotisme</t>
    </r>
    <phoneticPr fontId="1"/>
  </si>
  <si>
    <r>
      <rPr>
        <sz val="11"/>
        <rFont val="游ゴシック Medium"/>
        <family val="3"/>
        <charset val="128"/>
      </rPr>
      <t>ダヴィッド社</t>
    </r>
    <rPh sb="5" eb="6">
      <t>シャ</t>
    </rPh>
    <phoneticPr fontId="1"/>
  </si>
  <si>
    <r>
      <rPr>
        <sz val="11"/>
        <rFont val="游ゴシック Medium"/>
        <family val="3"/>
        <charset val="128"/>
      </rPr>
      <t>池袋西口公園古本市</t>
    </r>
    <rPh sb="0" eb="2">
      <t>イケブクロ</t>
    </rPh>
    <rPh sb="2" eb="4">
      <t>ニシグチ</t>
    </rPh>
    <rPh sb="4" eb="6">
      <t>コウエン</t>
    </rPh>
    <rPh sb="6" eb="8">
      <t>フルホン</t>
    </rPh>
    <rPh sb="8" eb="9">
      <t>イチ</t>
    </rPh>
    <phoneticPr fontId="1"/>
  </si>
  <si>
    <r>
      <rPr>
        <sz val="11"/>
        <rFont val="游ゴシック Medium"/>
        <family val="3"/>
        <charset val="128"/>
      </rPr>
      <t>文成堂書店</t>
    </r>
    <rPh sb="0" eb="2">
      <t>ブンセイ</t>
    </rPh>
    <rPh sb="2" eb="3">
      <t>ドウ</t>
    </rPh>
    <rPh sb="3" eb="5">
      <t>ショテン</t>
    </rPh>
    <phoneticPr fontId="1"/>
  </si>
  <si>
    <r>
      <rPr>
        <sz val="11"/>
        <rFont val="游ゴシック Medium"/>
        <family val="3"/>
        <charset val="128"/>
      </rPr>
      <t>山上伊豆母</t>
    </r>
    <rPh sb="0" eb="2">
      <t>ヤマカミ</t>
    </rPh>
    <rPh sb="2" eb="5">
      <t>イヅモ</t>
    </rPh>
    <phoneticPr fontId="1"/>
  </si>
  <si>
    <r>
      <rPr>
        <sz val="11"/>
        <rFont val="游ゴシック Medium"/>
        <family val="3"/>
        <charset val="128"/>
      </rPr>
      <t>日本風俗史学会</t>
    </r>
    <rPh sb="0" eb="2">
      <t>ニホン</t>
    </rPh>
    <rPh sb="2" eb="4">
      <t>フウゾク</t>
    </rPh>
    <rPh sb="4" eb="5">
      <t>シ</t>
    </rPh>
    <rPh sb="5" eb="7">
      <t>ガッカイ</t>
    </rPh>
    <phoneticPr fontId="1"/>
  </si>
  <si>
    <r>
      <rPr>
        <sz val="11"/>
        <rFont val="游ゴシック Medium"/>
        <family val="3"/>
        <charset val="128"/>
      </rPr>
      <t>編集</t>
    </r>
    <rPh sb="0" eb="2">
      <t>ヘンシュウ</t>
    </rPh>
    <phoneticPr fontId="1"/>
  </si>
  <si>
    <r>
      <rPr>
        <sz val="11"/>
        <rFont val="游ゴシック Medium"/>
        <family val="3"/>
        <charset val="128"/>
      </rPr>
      <t>巫女の歴史</t>
    </r>
    <rPh sb="0" eb="2">
      <t>ミコ</t>
    </rPh>
    <rPh sb="3" eb="5">
      <t>レキシ</t>
    </rPh>
    <phoneticPr fontId="1"/>
  </si>
  <si>
    <r>
      <t>hbs/</t>
    </r>
    <r>
      <rPr>
        <sz val="11"/>
        <rFont val="游ゴシック Medium"/>
        <family val="3"/>
        <charset val="128"/>
      </rPr>
      <t>風俗文化史選書</t>
    </r>
    <r>
      <rPr>
        <sz val="11"/>
        <rFont val="Consolas"/>
        <family val="3"/>
      </rPr>
      <t>4</t>
    </r>
    <rPh sb="4" eb="6">
      <t>フウゾク</t>
    </rPh>
    <rPh sb="6" eb="9">
      <t>ブンカシ</t>
    </rPh>
    <rPh sb="9" eb="11">
      <t>センショ</t>
    </rPh>
    <phoneticPr fontId="1"/>
  </si>
  <si>
    <r>
      <rPr>
        <sz val="11"/>
        <rFont val="游ゴシック Medium"/>
        <family val="3"/>
        <charset val="128"/>
      </rPr>
      <t>中野栄三</t>
    </r>
    <rPh sb="0" eb="2">
      <t>ナカノ</t>
    </rPh>
    <rPh sb="2" eb="4">
      <t>エイゾウ</t>
    </rPh>
    <phoneticPr fontId="1"/>
  </si>
  <si>
    <r>
      <rPr>
        <sz val="11"/>
        <rFont val="游ゴシック Medium"/>
        <family val="3"/>
        <charset val="128"/>
      </rPr>
      <t>遊女の生活</t>
    </r>
    <rPh sb="0" eb="2">
      <t>ユウジョ</t>
    </rPh>
    <rPh sb="3" eb="5">
      <t>セイカツ</t>
    </rPh>
    <phoneticPr fontId="1"/>
  </si>
  <si>
    <r>
      <rPr>
        <sz val="11"/>
        <rFont val="游ゴシック Medium"/>
        <family val="3"/>
        <charset val="128"/>
      </rPr>
      <t>生活史叢書</t>
    </r>
    <r>
      <rPr>
        <sz val="11"/>
        <rFont val="Consolas"/>
        <family val="3"/>
      </rPr>
      <t>6</t>
    </r>
    <rPh sb="0" eb="3">
      <t>セイカツシ</t>
    </rPh>
    <rPh sb="3" eb="5">
      <t>ソウショ</t>
    </rPh>
    <phoneticPr fontId="1"/>
  </si>
  <si>
    <r>
      <rPr>
        <sz val="11"/>
        <rFont val="游ゴシック Medium"/>
        <family val="3"/>
        <charset val="128"/>
      </rPr>
      <t>塚本</t>
    </r>
    <r>
      <rPr>
        <sz val="11"/>
        <rFont val="Consolas"/>
        <family val="3"/>
      </rPr>
      <t xml:space="preserve"> </t>
    </r>
    <r>
      <rPr>
        <sz val="11"/>
        <rFont val="游ゴシック Medium"/>
        <family val="3"/>
        <charset val="128"/>
      </rPr>
      <t>哲</t>
    </r>
    <r>
      <rPr>
        <sz val="11"/>
        <rFont val="Consolas"/>
        <family val="3"/>
      </rPr>
      <t>/</t>
    </r>
    <r>
      <rPr>
        <sz val="11"/>
        <rFont val="游ゴシック Medium"/>
        <family val="3"/>
        <charset val="128"/>
      </rPr>
      <t>間宮</t>
    </r>
    <r>
      <rPr>
        <sz val="11"/>
        <rFont val="Consolas"/>
        <family val="3"/>
      </rPr>
      <t xml:space="preserve"> </t>
    </r>
    <r>
      <rPr>
        <sz val="11"/>
        <rFont val="游ゴシック Medium"/>
        <family val="3"/>
        <charset val="128"/>
      </rPr>
      <t>武</t>
    </r>
    <r>
      <rPr>
        <sz val="11"/>
        <rFont val="Consolas"/>
        <family val="3"/>
      </rPr>
      <t>/</t>
    </r>
    <r>
      <rPr>
        <sz val="11"/>
        <rFont val="游ゴシック Medium"/>
        <family val="3"/>
        <charset val="128"/>
      </rPr>
      <t>千葉裕典</t>
    </r>
    <rPh sb="0" eb="2">
      <t>ツカモト</t>
    </rPh>
    <rPh sb="5" eb="7">
      <t>マミヤ</t>
    </rPh>
    <rPh sb="8" eb="9">
      <t>タケシ</t>
    </rPh>
    <rPh sb="10" eb="12">
      <t>チバ</t>
    </rPh>
    <rPh sb="12" eb="14">
      <t>ヒロノリ</t>
    </rPh>
    <phoneticPr fontId="1"/>
  </si>
  <si>
    <r>
      <rPr>
        <sz val="11"/>
        <rFont val="游ゴシック Medium"/>
        <family val="3"/>
        <charset val="128"/>
      </rPr>
      <t>塚本</t>
    </r>
    <r>
      <rPr>
        <sz val="11"/>
        <rFont val="Consolas"/>
        <family val="3"/>
      </rPr>
      <t xml:space="preserve"> </t>
    </r>
    <r>
      <rPr>
        <sz val="11"/>
        <rFont val="游ゴシック Medium"/>
        <family val="3"/>
        <charset val="128"/>
      </rPr>
      <t>哲</t>
    </r>
    <r>
      <rPr>
        <sz val="11"/>
        <rFont val="Consolas"/>
        <family val="3"/>
      </rPr>
      <t>/</t>
    </r>
    <r>
      <rPr>
        <sz val="11"/>
        <rFont val="游ゴシック Medium"/>
        <family val="3"/>
        <charset val="128"/>
      </rPr>
      <t>俵谷正樹</t>
    </r>
    <r>
      <rPr>
        <sz val="11"/>
        <rFont val="Consolas"/>
        <family val="3"/>
      </rPr>
      <t>/</t>
    </r>
    <r>
      <rPr>
        <sz val="11"/>
        <rFont val="游ゴシック Medium"/>
        <family val="3"/>
        <charset val="128"/>
      </rPr>
      <t>間宮</t>
    </r>
    <r>
      <rPr>
        <sz val="11"/>
        <rFont val="Consolas"/>
        <family val="3"/>
      </rPr>
      <t xml:space="preserve"> </t>
    </r>
    <r>
      <rPr>
        <sz val="11"/>
        <rFont val="游ゴシック Medium"/>
        <family val="3"/>
        <charset val="128"/>
      </rPr>
      <t>武</t>
    </r>
    <r>
      <rPr>
        <sz val="11"/>
        <rFont val="Consolas"/>
        <family val="3"/>
      </rPr>
      <t>/</t>
    </r>
    <r>
      <rPr>
        <sz val="11"/>
        <rFont val="游ゴシック Medium"/>
        <family val="3"/>
        <charset val="128"/>
      </rPr>
      <t>千葉裕典</t>
    </r>
    <r>
      <rPr>
        <sz val="11"/>
        <rFont val="Consolas"/>
        <family val="3"/>
      </rPr>
      <t>/</t>
    </r>
    <r>
      <rPr>
        <sz val="11"/>
        <rFont val="游ゴシック Medium"/>
        <family val="3"/>
        <charset val="128"/>
      </rPr>
      <t>副田義成</t>
    </r>
    <r>
      <rPr>
        <sz val="11"/>
        <rFont val="Consolas"/>
        <family val="3"/>
      </rPr>
      <t>/</t>
    </r>
    <r>
      <rPr>
        <sz val="11"/>
        <rFont val="游ゴシック Medium"/>
        <family val="3"/>
        <charset val="128"/>
      </rPr>
      <t>津留</t>
    </r>
    <r>
      <rPr>
        <sz val="11"/>
        <rFont val="Consolas"/>
        <family val="3"/>
      </rPr>
      <t xml:space="preserve"> </t>
    </r>
    <r>
      <rPr>
        <sz val="11"/>
        <rFont val="游ゴシック Medium"/>
        <family val="3"/>
        <charset val="128"/>
      </rPr>
      <t>宏</t>
    </r>
    <r>
      <rPr>
        <sz val="11"/>
        <rFont val="Consolas"/>
        <family val="3"/>
      </rPr>
      <t>/</t>
    </r>
    <r>
      <rPr>
        <sz val="11"/>
        <rFont val="游ゴシック Medium"/>
        <family val="3"/>
        <charset val="128"/>
      </rPr>
      <t>吉沢</t>
    </r>
    <r>
      <rPr>
        <sz val="11"/>
        <rFont val="Consolas"/>
        <family val="3"/>
      </rPr>
      <t xml:space="preserve"> </t>
    </r>
    <r>
      <rPr>
        <sz val="11"/>
        <rFont val="游ゴシック Medium"/>
        <family val="3"/>
        <charset val="128"/>
      </rPr>
      <t>勲</t>
    </r>
    <r>
      <rPr>
        <sz val="11"/>
        <rFont val="Consolas"/>
        <family val="3"/>
      </rPr>
      <t>/</t>
    </r>
    <r>
      <rPr>
        <sz val="11"/>
        <rFont val="游ゴシック Medium"/>
        <family val="3"/>
        <charset val="128"/>
      </rPr>
      <t>塚本</t>
    </r>
    <r>
      <rPr>
        <sz val="11"/>
        <rFont val="Consolas"/>
        <family val="3"/>
      </rPr>
      <t xml:space="preserve"> </t>
    </r>
    <r>
      <rPr>
        <sz val="11"/>
        <rFont val="游ゴシック Medium"/>
        <family val="3"/>
        <charset val="128"/>
      </rPr>
      <t>操</t>
    </r>
    <rPh sb="0" eb="2">
      <t>ツカモト</t>
    </rPh>
    <rPh sb="5" eb="7">
      <t>タワラヤ</t>
    </rPh>
    <rPh sb="7" eb="9">
      <t>マサキ</t>
    </rPh>
    <rPh sb="10" eb="12">
      <t>マミヤ</t>
    </rPh>
    <rPh sb="13" eb="14">
      <t>タケシ</t>
    </rPh>
    <rPh sb="15" eb="17">
      <t>チバ</t>
    </rPh>
    <rPh sb="17" eb="19">
      <t>ヒロノリ</t>
    </rPh>
    <rPh sb="20" eb="22">
      <t>フクダ</t>
    </rPh>
    <rPh sb="22" eb="24">
      <t>ヨシナリ</t>
    </rPh>
    <rPh sb="25" eb="27">
      <t>ツル</t>
    </rPh>
    <rPh sb="28" eb="29">
      <t>ヒロシ</t>
    </rPh>
    <rPh sb="30" eb="32">
      <t>ヨシザワ</t>
    </rPh>
    <rPh sb="33" eb="34">
      <t>イサオ</t>
    </rPh>
    <rPh sb="35" eb="37">
      <t>ツカモト</t>
    </rPh>
    <rPh sb="38" eb="39">
      <t>ミサオ</t>
    </rPh>
    <phoneticPr fontId="1"/>
  </si>
  <si>
    <r>
      <rPr>
        <sz val="11"/>
        <rFont val="游ゴシック Medium"/>
        <family val="3"/>
        <charset val="128"/>
      </rPr>
      <t>老人と性</t>
    </r>
    <rPh sb="0" eb="2">
      <t>ロウジン</t>
    </rPh>
    <rPh sb="3" eb="4">
      <t>セイ</t>
    </rPh>
    <phoneticPr fontId="1"/>
  </si>
  <si>
    <r>
      <rPr>
        <sz val="11"/>
        <rFont val="游ゴシック Medium"/>
        <family val="3"/>
        <charset val="128"/>
      </rPr>
      <t>日常出版</t>
    </r>
    <rPh sb="0" eb="2">
      <t>ニチジョウ</t>
    </rPh>
    <rPh sb="2" eb="4">
      <t>シュッパン</t>
    </rPh>
    <phoneticPr fontId="1"/>
  </si>
  <si>
    <r>
      <rPr>
        <sz val="11"/>
        <rFont val="游ゴシック Medium"/>
        <family val="3"/>
        <charset val="128"/>
      </rPr>
      <t>奥野信太郎</t>
    </r>
    <rPh sb="0" eb="2">
      <t>オクノ</t>
    </rPh>
    <rPh sb="2" eb="5">
      <t>シンタロウ</t>
    </rPh>
    <phoneticPr fontId="1"/>
  </si>
  <si>
    <r>
      <rPr>
        <sz val="11"/>
        <rFont val="游ゴシック Medium"/>
        <family val="3"/>
        <charset val="128"/>
      </rPr>
      <t>小西茂也</t>
    </r>
    <rPh sb="0" eb="2">
      <t>コニシ</t>
    </rPh>
    <rPh sb="2" eb="4">
      <t>シゲナリ</t>
    </rPh>
    <phoneticPr fontId="1"/>
  </si>
  <si>
    <r>
      <rPr>
        <sz val="11"/>
        <rFont val="游ゴシック Medium"/>
        <family val="3"/>
        <charset val="128"/>
      </rPr>
      <t>ほくろの位置について</t>
    </r>
    <rPh sb="4" eb="6">
      <t>イチ</t>
    </rPh>
    <phoneticPr fontId="1"/>
  </si>
  <si>
    <r>
      <rPr>
        <sz val="11"/>
        <rFont val="游ゴシック Medium"/>
        <family val="3"/>
        <charset val="128"/>
      </rPr>
      <t>世界艶笑譚</t>
    </r>
    <rPh sb="0" eb="2">
      <t>セカイ</t>
    </rPh>
    <rPh sb="2" eb="4">
      <t>エンショウ</t>
    </rPh>
    <rPh sb="4" eb="5">
      <t>タン</t>
    </rPh>
    <phoneticPr fontId="1"/>
  </si>
  <si>
    <r>
      <rPr>
        <sz val="11"/>
        <rFont val="游ゴシック Medium"/>
        <family val="3"/>
        <charset val="128"/>
      </rPr>
      <t>六興出版社</t>
    </r>
    <rPh sb="0" eb="2">
      <t>ロッコウ</t>
    </rPh>
    <rPh sb="2" eb="5">
      <t>シュッパンシャ</t>
    </rPh>
    <phoneticPr fontId="1"/>
  </si>
  <si>
    <r>
      <rPr>
        <sz val="11"/>
        <rFont val="游ゴシック Medium"/>
        <family val="3"/>
        <charset val="128"/>
      </rPr>
      <t>中川書房</t>
    </r>
    <rPh sb="0" eb="2">
      <t>ナカガワ</t>
    </rPh>
    <rPh sb="2" eb="4">
      <t>ショボウ</t>
    </rPh>
    <phoneticPr fontId="1"/>
  </si>
  <si>
    <r>
      <rPr>
        <sz val="11"/>
        <rFont val="游ゴシック Medium"/>
        <family val="3"/>
        <charset val="128"/>
      </rPr>
      <t>秋山</t>
    </r>
    <r>
      <rPr>
        <sz val="11"/>
        <rFont val="Consolas"/>
        <family val="3"/>
      </rPr>
      <t xml:space="preserve"> </t>
    </r>
    <r>
      <rPr>
        <sz val="11"/>
        <rFont val="游ゴシック Medium"/>
        <family val="3"/>
        <charset val="128"/>
      </rPr>
      <t>祐徳太子</t>
    </r>
    <rPh sb="0" eb="2">
      <t>アキヤマ</t>
    </rPh>
    <rPh sb="3" eb="5">
      <t>ユウトク</t>
    </rPh>
    <rPh sb="5" eb="7">
      <t>タイシ</t>
    </rPh>
    <phoneticPr fontId="1"/>
  </si>
  <si>
    <r>
      <rPr>
        <sz val="11"/>
        <rFont val="游ゴシック Medium"/>
        <family val="3"/>
        <charset val="128"/>
      </rPr>
      <t>ブリキ男</t>
    </r>
    <rPh sb="3" eb="4">
      <t>オトコ</t>
    </rPh>
    <phoneticPr fontId="1"/>
  </si>
  <si>
    <r>
      <rPr>
        <sz val="11"/>
        <rFont val="游ゴシック Medium"/>
        <family val="3"/>
        <charset val="128"/>
      </rPr>
      <t>晶文社</t>
    </r>
    <rPh sb="0" eb="3">
      <t>ショウブンシャ</t>
    </rPh>
    <phoneticPr fontId="1"/>
  </si>
  <si>
    <r>
      <rPr>
        <sz val="11"/>
        <rFont val="游ゴシック Medium"/>
        <family val="3"/>
        <charset val="128"/>
      </rPr>
      <t>飛鳥広章</t>
    </r>
    <rPh sb="0" eb="2">
      <t>アスカ</t>
    </rPh>
    <rPh sb="2" eb="4">
      <t>コウショウ</t>
    </rPh>
    <phoneticPr fontId="1"/>
  </si>
  <si>
    <r>
      <rPr>
        <sz val="11"/>
        <rFont val="游ゴシック Medium"/>
        <family val="3"/>
        <charset val="128"/>
      </rPr>
      <t>呪文・じゅ文・呪文</t>
    </r>
    <rPh sb="0" eb="2">
      <t>ジュモン</t>
    </rPh>
    <rPh sb="5" eb="6">
      <t>モン</t>
    </rPh>
    <rPh sb="7" eb="9">
      <t>ジュモン</t>
    </rPh>
    <phoneticPr fontId="1"/>
  </si>
  <si>
    <r>
      <rPr>
        <sz val="11"/>
        <rFont val="游ゴシック Medium"/>
        <family val="3"/>
        <charset val="128"/>
      </rPr>
      <t>オーエス出版社</t>
    </r>
    <rPh sb="4" eb="7">
      <t>シュッパンシャ</t>
    </rPh>
    <phoneticPr fontId="1"/>
  </si>
  <si>
    <r>
      <rPr>
        <sz val="11"/>
        <rFont val="游ゴシック Medium"/>
        <family val="3"/>
        <charset val="128"/>
      </rPr>
      <t>辻野</t>
    </r>
    <r>
      <rPr>
        <sz val="11"/>
        <rFont val="Consolas"/>
        <family val="3"/>
      </rPr>
      <t xml:space="preserve"> </t>
    </r>
    <r>
      <rPr>
        <sz val="11"/>
        <rFont val="游ゴシック Medium"/>
        <family val="3"/>
        <charset val="128"/>
      </rPr>
      <t>功</t>
    </r>
    <r>
      <rPr>
        <sz val="11"/>
        <rFont val="Consolas"/>
        <family val="3"/>
      </rPr>
      <t>/</t>
    </r>
    <r>
      <rPr>
        <sz val="11"/>
        <rFont val="游ゴシック Medium"/>
        <family val="3"/>
        <charset val="128"/>
      </rPr>
      <t>仲尾</t>
    </r>
    <r>
      <rPr>
        <sz val="11"/>
        <rFont val="Consolas"/>
        <family val="3"/>
      </rPr>
      <t xml:space="preserve"> </t>
    </r>
    <r>
      <rPr>
        <sz val="11"/>
        <rFont val="游ゴシック Medium"/>
        <family val="3"/>
        <charset val="128"/>
      </rPr>
      <t>宏</t>
    </r>
    <r>
      <rPr>
        <sz val="11"/>
        <rFont val="Consolas"/>
        <family val="3"/>
      </rPr>
      <t>/</t>
    </r>
    <r>
      <rPr>
        <sz val="11"/>
        <rFont val="游ゴシック Medium"/>
        <family val="3"/>
        <charset val="128"/>
      </rPr>
      <t>加藤靖弘</t>
    </r>
    <r>
      <rPr>
        <sz val="11"/>
        <rFont val="Consolas"/>
        <family val="3"/>
      </rPr>
      <t>/</t>
    </r>
    <r>
      <rPr>
        <sz val="11"/>
        <rFont val="游ゴシック Medium"/>
        <family val="3"/>
        <charset val="128"/>
      </rPr>
      <t>沢田俊明</t>
    </r>
    <r>
      <rPr>
        <sz val="11"/>
        <rFont val="Consolas"/>
        <family val="3"/>
      </rPr>
      <t>/</t>
    </r>
    <r>
      <rPr>
        <sz val="11"/>
        <rFont val="游ゴシック Medium"/>
        <family val="3"/>
        <charset val="128"/>
      </rPr>
      <t>鈴木清史</t>
    </r>
    <r>
      <rPr>
        <sz val="11"/>
        <rFont val="Consolas"/>
        <family val="3"/>
      </rPr>
      <t>/</t>
    </r>
    <r>
      <rPr>
        <sz val="11"/>
        <rFont val="游ゴシック Medium"/>
        <family val="3"/>
        <charset val="128"/>
      </rPr>
      <t>浜嶋</t>
    </r>
    <r>
      <rPr>
        <sz val="11"/>
        <rFont val="Consolas"/>
        <family val="3"/>
      </rPr>
      <t xml:space="preserve"> </t>
    </r>
    <r>
      <rPr>
        <sz val="11"/>
        <rFont val="游ゴシック Medium"/>
        <family val="3"/>
        <charset val="128"/>
      </rPr>
      <t>聡</t>
    </r>
    <r>
      <rPr>
        <sz val="11"/>
        <rFont val="Consolas"/>
        <family val="3"/>
      </rPr>
      <t>/</t>
    </r>
    <r>
      <rPr>
        <sz val="11"/>
        <rFont val="游ゴシック Medium"/>
        <family val="3"/>
        <charset val="128"/>
      </rPr>
      <t>海野めぐみ</t>
    </r>
    <rPh sb="0" eb="2">
      <t>ツジノ</t>
    </rPh>
    <rPh sb="3" eb="4">
      <t>イサオ</t>
    </rPh>
    <phoneticPr fontId="1"/>
  </si>
  <si>
    <r>
      <rPr>
        <sz val="11"/>
        <rFont val="游ゴシック Medium"/>
        <family val="3"/>
        <charset val="128"/>
      </rPr>
      <t>世界の少数民族を知る事典</t>
    </r>
    <r>
      <rPr>
        <sz val="11"/>
        <rFont val="Consolas"/>
        <family val="3"/>
      </rPr>
      <t>/World Minorities vols. 1, 2 &amp; 3</t>
    </r>
    <rPh sb="0" eb="2">
      <t>セカイ</t>
    </rPh>
    <rPh sb="3" eb="5">
      <t>ショウスウ</t>
    </rPh>
    <rPh sb="5" eb="7">
      <t>ミンゾク</t>
    </rPh>
    <rPh sb="8" eb="9">
      <t>シ</t>
    </rPh>
    <rPh sb="10" eb="12">
      <t>ジテン</t>
    </rPh>
    <phoneticPr fontId="1"/>
  </si>
  <si>
    <r>
      <rPr>
        <sz val="11"/>
        <rFont val="游ゴシック Medium"/>
        <family val="3"/>
        <charset val="128"/>
      </rPr>
      <t>武田雅哉</t>
    </r>
    <rPh sb="0" eb="2">
      <t>タケダ</t>
    </rPh>
    <rPh sb="2" eb="4">
      <t>マサヤ</t>
    </rPh>
    <phoneticPr fontId="1"/>
  </si>
  <si>
    <r>
      <rPr>
        <sz val="11"/>
        <rFont val="游ゴシック Medium"/>
        <family val="3"/>
        <charset val="128"/>
      </rPr>
      <t>サイと一角獣</t>
    </r>
    <r>
      <rPr>
        <sz val="11"/>
        <rFont val="Consolas"/>
        <family val="3"/>
      </rPr>
      <t>/History of the Rhinoceros/In:Chinese Clay Figures/</t>
    </r>
    <r>
      <rPr>
        <sz val="11"/>
        <rFont val="游ゴシック Medium"/>
        <family val="3"/>
        <charset val="128"/>
      </rPr>
      <t>中国人と聖なる角の</t>
    </r>
    <r>
      <rPr>
        <sz val="11"/>
        <rFont val="Consolas"/>
        <family val="3"/>
      </rPr>
      <t>Iconology</t>
    </r>
    <rPh sb="3" eb="6">
      <t>イッカクジュウ</t>
    </rPh>
    <rPh sb="57" eb="59">
      <t>チュウゴク</t>
    </rPh>
    <rPh sb="59" eb="60">
      <t>ジン</t>
    </rPh>
    <rPh sb="61" eb="62">
      <t>セイ</t>
    </rPh>
    <rPh sb="64" eb="65">
      <t>ツノ</t>
    </rPh>
    <rPh sb="66" eb="75">
      <t>イコノロジー</t>
    </rPh>
    <phoneticPr fontId="1"/>
  </si>
  <si>
    <r>
      <rPr>
        <sz val="11"/>
        <rFont val="游ゴシック Medium"/>
        <family val="3"/>
        <charset val="128"/>
      </rPr>
      <t>博品社</t>
    </r>
    <rPh sb="0" eb="3">
      <t>ハクヒンシャ</t>
    </rPh>
    <phoneticPr fontId="1"/>
  </si>
  <si>
    <r>
      <rPr>
        <sz val="11"/>
        <rFont val="游ゴシック Medium"/>
        <family val="3"/>
        <charset val="128"/>
      </rPr>
      <t>御茶ノ水の古本屋</t>
    </r>
    <rPh sb="0" eb="2">
      <t>オチャ</t>
    </rPh>
    <rPh sb="3" eb="4">
      <t>ミズ</t>
    </rPh>
    <rPh sb="5" eb="8">
      <t>フルホンヤ</t>
    </rPh>
    <phoneticPr fontId="1"/>
  </si>
  <si>
    <r>
      <rPr>
        <sz val="11"/>
        <rFont val="游ゴシック Medium"/>
        <family val="3"/>
        <charset val="128"/>
      </rPr>
      <t>文</t>
    </r>
    <r>
      <rPr>
        <sz val="11"/>
        <rFont val="Consolas"/>
        <family val="3"/>
      </rPr>
      <t>/</t>
    </r>
    <r>
      <rPr>
        <sz val="11"/>
        <rFont val="游ゴシック Medium"/>
        <family val="3"/>
        <charset val="128"/>
      </rPr>
      <t>絵</t>
    </r>
    <rPh sb="0" eb="1">
      <t>ブン</t>
    </rPh>
    <rPh sb="2" eb="3">
      <t>エ</t>
    </rPh>
    <phoneticPr fontId="1"/>
  </si>
  <si>
    <r>
      <rPr>
        <sz val="11"/>
        <rFont val="游ゴシック Medium"/>
        <family val="3"/>
        <charset val="128"/>
      </rPr>
      <t>柳瀬尚紀</t>
    </r>
    <rPh sb="0" eb="2">
      <t>ヤナセ</t>
    </rPh>
    <rPh sb="2" eb="4">
      <t>ナオノリ</t>
    </rPh>
    <phoneticPr fontId="1"/>
  </si>
  <si>
    <r>
      <t>WICHES/</t>
    </r>
    <r>
      <rPr>
        <sz val="11"/>
        <rFont val="游ゴシック Medium"/>
        <family val="3"/>
        <charset val="128"/>
      </rPr>
      <t>魔女たち</t>
    </r>
    <rPh sb="7" eb="9">
      <t>マジョ</t>
    </rPh>
    <phoneticPr fontId="1"/>
  </si>
  <si>
    <r>
      <rPr>
        <sz val="11"/>
        <rFont val="游ゴシック Medium"/>
        <family val="3"/>
        <charset val="128"/>
      </rPr>
      <t>サンリオ・ファミリー・ライブラリー</t>
    </r>
    <phoneticPr fontId="1"/>
  </si>
  <si>
    <r>
      <rPr>
        <sz val="11"/>
        <rFont val="游ゴシック Medium"/>
        <family val="3"/>
        <charset val="128"/>
      </rPr>
      <t>サンリオ</t>
    </r>
    <phoneticPr fontId="1"/>
  </si>
  <si>
    <r>
      <t>Amazon/</t>
    </r>
    <r>
      <rPr>
        <sz val="11"/>
        <rFont val="游ゴシック Medium"/>
        <family val="3"/>
        <charset val="128"/>
      </rPr>
      <t>配送料</t>
    </r>
    <r>
      <rPr>
        <sz val="11"/>
        <rFont val="Consolas"/>
        <family val="3"/>
      </rPr>
      <t>257</t>
    </r>
    <rPh sb="0" eb="6">
      <t>アマゾン</t>
    </rPh>
    <rPh sb="7" eb="10">
      <t>ハイソウリョウ</t>
    </rPh>
    <phoneticPr fontId="1"/>
  </si>
  <si>
    <r>
      <rPr>
        <sz val="11"/>
        <rFont val="游ゴシック Medium"/>
        <family val="3"/>
        <charset val="128"/>
      </rPr>
      <t>視覚デザイン研究所</t>
    </r>
    <rPh sb="0" eb="2">
      <t>シカク</t>
    </rPh>
    <rPh sb="6" eb="9">
      <t>ケンキュウショ</t>
    </rPh>
    <phoneticPr fontId="1"/>
  </si>
  <si>
    <r>
      <t>Venus</t>
    </r>
    <r>
      <rPr>
        <sz val="11"/>
        <rFont val="游ゴシック Medium"/>
        <family val="3"/>
        <charset val="128"/>
      </rPr>
      <t>の片思い</t>
    </r>
    <r>
      <rPr>
        <sz val="11"/>
        <rFont val="Consolas"/>
        <family val="3"/>
      </rPr>
      <t>/</t>
    </r>
    <r>
      <rPr>
        <sz val="11"/>
        <rFont val="游ゴシック Medium"/>
        <family val="3"/>
        <charset val="128"/>
      </rPr>
      <t>神話の名</t>
    </r>
    <r>
      <rPr>
        <sz val="11"/>
        <rFont val="Consolas"/>
        <family val="3"/>
      </rPr>
      <t>Scene</t>
    </r>
    <r>
      <rPr>
        <sz val="11"/>
        <rFont val="游ゴシック Medium"/>
        <family val="3"/>
        <charset val="128"/>
      </rPr>
      <t>集</t>
    </r>
    <rPh sb="0" eb="5">
      <t>ヴィーナス</t>
    </rPh>
    <rPh sb="6" eb="8">
      <t>カタオモ</t>
    </rPh>
    <rPh sb="10" eb="12">
      <t>シンワ</t>
    </rPh>
    <rPh sb="13" eb="14">
      <t>メイ</t>
    </rPh>
    <rPh sb="14" eb="19">
      <t>シーン</t>
    </rPh>
    <rPh sb="19" eb="20">
      <t>シュウ</t>
    </rPh>
    <phoneticPr fontId="1"/>
  </si>
  <si>
    <r>
      <rPr>
        <sz val="11"/>
        <rFont val="游ゴシック Medium"/>
        <family val="3"/>
        <charset val="128"/>
      </rPr>
      <t>視覚</t>
    </r>
    <r>
      <rPr>
        <sz val="11"/>
        <rFont val="Consolas"/>
        <family val="3"/>
      </rPr>
      <t>Design</t>
    </r>
    <r>
      <rPr>
        <sz val="11"/>
        <rFont val="游ゴシック Medium"/>
        <family val="3"/>
        <charset val="128"/>
      </rPr>
      <t>研究所</t>
    </r>
    <r>
      <rPr>
        <sz val="11"/>
        <rFont val="Consolas"/>
        <family val="3"/>
      </rPr>
      <t>:</t>
    </r>
    <r>
      <rPr>
        <sz val="11"/>
        <rFont val="游ゴシック Medium"/>
        <family val="3"/>
        <charset val="128"/>
      </rPr>
      <t>編</t>
    </r>
    <rPh sb="0" eb="2">
      <t>シカク</t>
    </rPh>
    <rPh sb="2" eb="8">
      <t>デザイン</t>
    </rPh>
    <rPh sb="8" eb="11">
      <t>ケンキュウショ</t>
    </rPh>
    <rPh sb="12" eb="13">
      <t>ヘン</t>
    </rPh>
    <phoneticPr fontId="1"/>
  </si>
  <si>
    <r>
      <rPr>
        <sz val="11"/>
        <rFont val="游ゴシック Medium"/>
        <family val="3"/>
        <charset val="128"/>
      </rPr>
      <t>悪魔の</t>
    </r>
    <r>
      <rPr>
        <sz val="11"/>
        <rFont val="Consolas"/>
        <family val="3"/>
      </rPr>
      <t>Dance/</t>
    </r>
    <r>
      <rPr>
        <sz val="11"/>
        <rFont val="游ゴシック Medium"/>
        <family val="3"/>
        <charset val="128"/>
      </rPr>
      <t>絵の中から誘う悪魔</t>
    </r>
    <rPh sb="0" eb="2">
      <t>アクマ</t>
    </rPh>
    <rPh sb="3" eb="8">
      <t>ダンス</t>
    </rPh>
    <rPh sb="9" eb="10">
      <t>エ</t>
    </rPh>
    <rPh sb="11" eb="12">
      <t>ナカ</t>
    </rPh>
    <rPh sb="14" eb="15">
      <t>サソ</t>
    </rPh>
    <rPh sb="16" eb="18">
      <t>アクマ</t>
    </rPh>
    <phoneticPr fontId="1"/>
  </si>
  <si>
    <r>
      <rPr>
        <sz val="11"/>
        <rFont val="游ゴシック Medium"/>
        <family val="3"/>
        <charset val="128"/>
      </rPr>
      <t>市川</t>
    </r>
    <r>
      <rPr>
        <sz val="11"/>
        <rFont val="Consolas"/>
        <family val="3"/>
      </rPr>
      <t xml:space="preserve"> </t>
    </r>
    <r>
      <rPr>
        <sz val="11"/>
        <rFont val="游ゴシック Medium"/>
        <family val="3"/>
        <charset val="128"/>
      </rPr>
      <t>定春</t>
    </r>
    <rPh sb="0" eb="2">
      <t>イチカワ</t>
    </rPh>
    <rPh sb="3" eb="5">
      <t>サダハル</t>
    </rPh>
    <phoneticPr fontId="1"/>
  </si>
  <si>
    <r>
      <rPr>
        <sz val="11"/>
        <rFont val="游ゴシック Medium"/>
        <family val="3"/>
        <charset val="128"/>
      </rPr>
      <t>武器事典</t>
    </r>
    <r>
      <rPr>
        <sz val="11"/>
        <rFont val="Consolas"/>
        <family val="3"/>
      </rPr>
      <t>/Dictionary of the Wepon</t>
    </r>
    <rPh sb="0" eb="2">
      <t>ブキ</t>
    </rPh>
    <rPh sb="2" eb="4">
      <t>ジテン</t>
    </rPh>
    <phoneticPr fontId="1"/>
  </si>
  <si>
    <r>
      <t xml:space="preserve">Truth In Fantasy </t>
    </r>
    <r>
      <rPr>
        <sz val="11"/>
        <rFont val="游ゴシック Medium"/>
        <family val="3"/>
        <charset val="128"/>
      </rPr>
      <t>辞典</t>
    </r>
    <r>
      <rPr>
        <sz val="11"/>
        <rFont val="Consolas"/>
        <family val="3"/>
      </rPr>
      <t xml:space="preserve"> Series 01</t>
    </r>
    <rPh sb="17" eb="19">
      <t>ジテン</t>
    </rPh>
    <phoneticPr fontId="1"/>
  </si>
  <si>
    <r>
      <rPr>
        <sz val="11"/>
        <rFont val="游ゴシック Medium"/>
        <family val="3"/>
        <charset val="128"/>
      </rPr>
      <t>新紀元社</t>
    </r>
    <rPh sb="0" eb="3">
      <t>シンキゲン</t>
    </rPh>
    <rPh sb="3" eb="4">
      <t>シャ</t>
    </rPh>
    <phoneticPr fontId="1"/>
  </si>
  <si>
    <r>
      <rPr>
        <sz val="11"/>
        <rFont val="游ゴシック Medium"/>
        <family val="3"/>
        <charset val="128"/>
      </rPr>
      <t>草野</t>
    </r>
    <r>
      <rPr>
        <sz val="11"/>
        <rFont val="Consolas"/>
        <family val="3"/>
      </rPr>
      <t xml:space="preserve"> </t>
    </r>
    <r>
      <rPr>
        <sz val="11"/>
        <rFont val="游ゴシック Medium"/>
        <family val="3"/>
        <charset val="128"/>
      </rPr>
      <t>巧</t>
    </r>
    <rPh sb="0" eb="2">
      <t>クサノ</t>
    </rPh>
    <rPh sb="3" eb="4">
      <t>タクミ</t>
    </rPh>
    <phoneticPr fontId="1"/>
  </si>
  <si>
    <r>
      <rPr>
        <sz val="11"/>
        <rFont val="游ゴシック Medium"/>
        <family val="3"/>
        <charset val="128"/>
      </rPr>
      <t>シブヤユウジ</t>
    </r>
    <phoneticPr fontId="1"/>
  </si>
  <si>
    <r>
      <rPr>
        <sz val="11"/>
        <rFont val="游ゴシック Medium"/>
        <family val="3"/>
        <charset val="128"/>
      </rPr>
      <t>幻想動物事典</t>
    </r>
    <r>
      <rPr>
        <sz val="11"/>
        <rFont val="Consolas"/>
        <family val="3"/>
      </rPr>
      <t>/Dictionary of the Monster</t>
    </r>
    <rPh sb="0" eb="2">
      <t>ゲンソウ</t>
    </rPh>
    <rPh sb="2" eb="4">
      <t>ドウブツ</t>
    </rPh>
    <rPh sb="4" eb="6">
      <t>ジテン</t>
    </rPh>
    <phoneticPr fontId="1"/>
  </si>
  <si>
    <r>
      <t xml:space="preserve">Truth In Fantasy </t>
    </r>
    <r>
      <rPr>
        <sz val="11"/>
        <rFont val="游ゴシック Medium"/>
        <family val="3"/>
        <charset val="128"/>
      </rPr>
      <t>辞典</t>
    </r>
    <r>
      <rPr>
        <sz val="11"/>
        <rFont val="Consolas"/>
        <family val="3"/>
      </rPr>
      <t xml:space="preserve"> Series 02</t>
    </r>
    <rPh sb="17" eb="19">
      <t>ジテン</t>
    </rPh>
    <phoneticPr fontId="1"/>
  </si>
  <si>
    <r>
      <rPr>
        <sz val="11"/>
        <rFont val="游ゴシック Medium"/>
        <family val="3"/>
        <charset val="128"/>
      </rPr>
      <t>山北</t>
    </r>
    <r>
      <rPr>
        <sz val="11"/>
        <rFont val="Consolas"/>
        <family val="3"/>
      </rPr>
      <t xml:space="preserve"> </t>
    </r>
    <r>
      <rPr>
        <sz val="11"/>
        <rFont val="游ゴシック Medium"/>
        <family val="3"/>
        <charset val="128"/>
      </rPr>
      <t>篤</t>
    </r>
    <r>
      <rPr>
        <sz val="11"/>
        <rFont val="Consolas"/>
        <family val="3"/>
      </rPr>
      <t>+</t>
    </r>
    <r>
      <rPr>
        <sz val="11"/>
        <rFont val="游ゴシック Medium"/>
        <family val="3"/>
        <charset val="128"/>
      </rPr>
      <t>佐藤</t>
    </r>
    <r>
      <rPr>
        <sz val="11"/>
        <rFont val="Consolas"/>
        <family val="3"/>
      </rPr>
      <t xml:space="preserve"> </t>
    </r>
    <r>
      <rPr>
        <sz val="11"/>
        <rFont val="游ゴシック Medium"/>
        <family val="3"/>
        <charset val="128"/>
      </rPr>
      <t>俊之</t>
    </r>
    <rPh sb="0" eb="2">
      <t>ヤマキタ</t>
    </rPh>
    <rPh sb="3" eb="4">
      <t>アツシ</t>
    </rPh>
    <rPh sb="5" eb="7">
      <t>サトウ</t>
    </rPh>
    <rPh sb="8" eb="10">
      <t>トシユキ</t>
    </rPh>
    <phoneticPr fontId="1"/>
  </si>
  <si>
    <r>
      <rPr>
        <sz val="11"/>
        <rFont val="游ゴシック Medium"/>
        <family val="3"/>
        <charset val="128"/>
      </rPr>
      <t>悪魔辞典</t>
    </r>
    <r>
      <rPr>
        <sz val="11"/>
        <rFont val="Consolas"/>
        <family val="3"/>
      </rPr>
      <t>/Dictionary of Demons and Devils</t>
    </r>
    <rPh sb="0" eb="2">
      <t>アクマ</t>
    </rPh>
    <rPh sb="2" eb="4">
      <t>ジテン</t>
    </rPh>
    <phoneticPr fontId="1"/>
  </si>
  <si>
    <r>
      <t xml:space="preserve">Truth In Fantasy </t>
    </r>
    <r>
      <rPr>
        <sz val="11"/>
        <rFont val="游ゴシック Medium"/>
        <family val="3"/>
        <charset val="128"/>
      </rPr>
      <t>辞典</t>
    </r>
    <r>
      <rPr>
        <sz val="11"/>
        <rFont val="Consolas"/>
        <family val="3"/>
      </rPr>
      <t xml:space="preserve"> Series 05</t>
    </r>
    <rPh sb="17" eb="19">
      <t>ジテン</t>
    </rPh>
    <phoneticPr fontId="1"/>
  </si>
  <si>
    <r>
      <rPr>
        <sz val="11"/>
        <rFont val="游ゴシック Medium"/>
        <family val="3"/>
        <charset val="128"/>
      </rPr>
      <t>山北</t>
    </r>
    <r>
      <rPr>
        <sz val="11"/>
        <rFont val="Consolas"/>
        <family val="3"/>
      </rPr>
      <t xml:space="preserve"> </t>
    </r>
    <r>
      <rPr>
        <sz val="11"/>
        <rFont val="游ゴシック Medium"/>
        <family val="3"/>
        <charset val="128"/>
      </rPr>
      <t>篤</t>
    </r>
    <r>
      <rPr>
        <sz val="11"/>
        <rFont val="Consolas"/>
        <family val="3"/>
      </rPr>
      <t/>
    </r>
    <rPh sb="0" eb="2">
      <t>ヤマキタ</t>
    </rPh>
    <rPh sb="3" eb="4">
      <t>アツシ</t>
    </rPh>
    <phoneticPr fontId="1"/>
  </si>
  <si>
    <r>
      <rPr>
        <sz val="11"/>
        <rFont val="游ゴシック Medium"/>
        <family val="3"/>
        <charset val="128"/>
      </rPr>
      <t>魔導具辞典</t>
    </r>
    <r>
      <rPr>
        <sz val="11"/>
        <rFont val="Consolas"/>
        <family val="3"/>
      </rPr>
      <t>/Dictionary of Holy and Magic Items</t>
    </r>
    <rPh sb="0" eb="2">
      <t>マドウ</t>
    </rPh>
    <rPh sb="2" eb="3">
      <t>グ</t>
    </rPh>
    <rPh sb="3" eb="5">
      <t>ジテン</t>
    </rPh>
    <phoneticPr fontId="1"/>
  </si>
  <si>
    <r>
      <t xml:space="preserve">Truth In Fantasy </t>
    </r>
    <r>
      <rPr>
        <sz val="11"/>
        <rFont val="游ゴシック Medium"/>
        <family val="3"/>
        <charset val="128"/>
      </rPr>
      <t>辞典</t>
    </r>
    <r>
      <rPr>
        <sz val="11"/>
        <rFont val="Consolas"/>
        <family val="3"/>
      </rPr>
      <t xml:space="preserve"> Series 06</t>
    </r>
    <rPh sb="17" eb="19">
      <t>ジテン</t>
    </rPh>
    <phoneticPr fontId="1"/>
  </si>
  <si>
    <r>
      <t>Amazon|</t>
    </r>
    <r>
      <rPr>
        <sz val="11"/>
        <rFont val="游ゴシック Medium"/>
        <family val="3"/>
        <charset val="128"/>
      </rPr>
      <t>ハードオフファミリー</t>
    </r>
    <r>
      <rPr>
        <sz val="11"/>
        <rFont val="Consolas"/>
        <family val="3"/>
      </rPr>
      <t>EC</t>
    </r>
    <r>
      <rPr>
        <sz val="11"/>
        <rFont val="游ゴシック Medium"/>
        <family val="3"/>
        <charset val="128"/>
      </rPr>
      <t>センター</t>
    </r>
    <r>
      <rPr>
        <sz val="11"/>
        <rFont val="Consolas"/>
        <family val="3"/>
      </rPr>
      <t xml:space="preserve"> </t>
    </r>
    <r>
      <rPr>
        <sz val="11"/>
        <rFont val="游ゴシック Medium"/>
        <family val="3"/>
        <charset val="128"/>
      </rPr>
      <t>ブックオフ事業部</t>
    </r>
    <rPh sb="29" eb="32">
      <t>ジギョウブ</t>
    </rPh>
    <phoneticPr fontId="1"/>
  </si>
  <si>
    <r>
      <rPr>
        <sz val="11"/>
        <rFont val="游ゴシック Medium"/>
        <family val="3"/>
        <charset val="128"/>
      </rPr>
      <t>中国魔物図鑑</t>
    </r>
    <rPh sb="0" eb="2">
      <t>チュウゴク</t>
    </rPh>
    <rPh sb="2" eb="4">
      <t>マモノ</t>
    </rPh>
    <rPh sb="4" eb="6">
      <t>ズカン</t>
    </rPh>
    <phoneticPr fontId="1"/>
  </si>
  <si>
    <r>
      <rPr>
        <sz val="11"/>
        <rFont val="游ゴシック Medium"/>
        <family val="3"/>
        <charset val="128"/>
      </rPr>
      <t>上下</t>
    </r>
    <rPh sb="0" eb="2">
      <t>ジョウゲ</t>
    </rPh>
    <phoneticPr fontId="1"/>
  </si>
  <si>
    <r>
      <rPr>
        <sz val="11"/>
        <rFont val="游ゴシック Medium"/>
        <family val="3"/>
        <charset val="128"/>
      </rPr>
      <t>水木しげる</t>
    </r>
    <rPh sb="0" eb="2">
      <t>ミズキ</t>
    </rPh>
    <phoneticPr fontId="1"/>
  </si>
  <si>
    <r>
      <rPr>
        <sz val="11"/>
        <rFont val="游ゴシック Medium"/>
        <family val="3"/>
        <charset val="128"/>
      </rPr>
      <t>水木しげるの憑物百怪</t>
    </r>
    <rPh sb="0" eb="2">
      <t>ミズキ</t>
    </rPh>
    <rPh sb="6" eb="8">
      <t>ツキモノ</t>
    </rPh>
    <rPh sb="8" eb="10">
      <t>ヒャッカイ</t>
    </rPh>
    <phoneticPr fontId="1"/>
  </si>
  <si>
    <r>
      <rPr>
        <sz val="11"/>
        <rFont val="游ゴシック Medium"/>
        <family val="3"/>
        <charset val="128"/>
      </rPr>
      <t>準新書</t>
    </r>
    <rPh sb="0" eb="1">
      <t>ジュン</t>
    </rPh>
    <rPh sb="1" eb="3">
      <t>シンショ</t>
    </rPh>
    <phoneticPr fontId="1"/>
  </si>
  <si>
    <r>
      <rPr>
        <sz val="11"/>
        <rFont val="游ゴシック Medium"/>
        <family val="3"/>
        <charset val="128"/>
      </rPr>
      <t>水木しげる</t>
    </r>
    <r>
      <rPr>
        <sz val="11"/>
        <rFont val="Consolas"/>
        <family val="3"/>
      </rPr>
      <t>/</t>
    </r>
    <r>
      <rPr>
        <sz val="11"/>
        <rFont val="游ゴシック Medium"/>
        <family val="3"/>
        <charset val="128"/>
      </rPr>
      <t>荒俣</t>
    </r>
    <r>
      <rPr>
        <sz val="11"/>
        <rFont val="Consolas"/>
        <family val="3"/>
      </rPr>
      <t xml:space="preserve"> </t>
    </r>
    <r>
      <rPr>
        <sz val="11"/>
        <rFont val="游ゴシック Medium"/>
        <family val="3"/>
        <charset val="128"/>
      </rPr>
      <t>宏</t>
    </r>
    <r>
      <rPr>
        <sz val="11"/>
        <rFont val="Consolas"/>
        <family val="3"/>
      </rPr>
      <t>/</t>
    </r>
    <r>
      <rPr>
        <sz val="11"/>
        <rFont val="游ゴシック Medium"/>
        <family val="3"/>
        <charset val="128"/>
      </rPr>
      <t>京極</t>
    </r>
    <r>
      <rPr>
        <sz val="11"/>
        <rFont val="Consolas"/>
        <family val="3"/>
      </rPr>
      <t xml:space="preserve"> </t>
    </r>
    <r>
      <rPr>
        <sz val="11"/>
        <rFont val="游ゴシック Medium"/>
        <family val="3"/>
        <charset val="128"/>
      </rPr>
      <t>夏彦</t>
    </r>
    <rPh sb="0" eb="2">
      <t>ミズキ</t>
    </rPh>
    <rPh sb="6" eb="10">
      <t>アラマタヒロシ</t>
    </rPh>
    <rPh sb="11" eb="13">
      <t>キョウゴク</t>
    </rPh>
    <rPh sb="14" eb="16">
      <t>ナツヒコ</t>
    </rPh>
    <phoneticPr fontId="1"/>
  </si>
  <si>
    <r>
      <rPr>
        <sz val="11"/>
        <rFont val="游ゴシック Medium"/>
        <family val="3"/>
        <charset val="128"/>
      </rPr>
      <t>季刊</t>
    </r>
    <r>
      <rPr>
        <sz val="11"/>
        <rFont val="Consolas"/>
        <family val="3"/>
      </rPr>
      <t xml:space="preserve"> </t>
    </r>
    <r>
      <rPr>
        <sz val="11"/>
        <rFont val="游ゴシック Medium"/>
        <family val="3"/>
        <charset val="128"/>
      </rPr>
      <t>怪</t>
    </r>
    <r>
      <rPr>
        <sz val="11"/>
        <rFont val="Consolas"/>
        <family val="3"/>
      </rPr>
      <t>:Kwai/</t>
    </r>
    <r>
      <rPr>
        <sz val="11"/>
        <rFont val="游ゴシック Medium"/>
        <family val="3"/>
        <charset val="128"/>
      </rPr>
      <t>世界妖怪協会公認第零号</t>
    </r>
    <rPh sb="0" eb="2">
      <t>キカン</t>
    </rPh>
    <rPh sb="3" eb="4">
      <t>カイ</t>
    </rPh>
    <rPh sb="10" eb="12">
      <t>セカイ</t>
    </rPh>
    <rPh sb="12" eb="14">
      <t>ヨウカイ</t>
    </rPh>
    <rPh sb="14" eb="16">
      <t>キョウカイ</t>
    </rPh>
    <rPh sb="16" eb="18">
      <t>コウニン</t>
    </rPh>
    <rPh sb="18" eb="19">
      <t>ダイ</t>
    </rPh>
    <rPh sb="19" eb="21">
      <t>レイゴウ</t>
    </rPh>
    <phoneticPr fontId="1"/>
  </si>
  <si>
    <r>
      <rPr>
        <sz val="11"/>
        <rFont val="游ゴシック Medium"/>
        <family val="3"/>
        <charset val="128"/>
      </rPr>
      <t>カドカワ</t>
    </r>
    <r>
      <rPr>
        <sz val="11"/>
        <rFont val="Consolas"/>
        <family val="3"/>
      </rPr>
      <t>Mook</t>
    </r>
    <rPh sb="4" eb="8">
      <t>ムック</t>
    </rPh>
    <phoneticPr fontId="1"/>
  </si>
  <si>
    <r>
      <rPr>
        <sz val="11"/>
        <rFont val="游ゴシック Medium"/>
        <family val="3"/>
        <charset val="128"/>
      </rPr>
      <t>角川書店</t>
    </r>
    <rPh sb="0" eb="4">
      <t>カドカワショテン</t>
    </rPh>
    <phoneticPr fontId="1"/>
  </si>
  <si>
    <r>
      <rPr>
        <sz val="11"/>
        <rFont val="游ゴシック Medium"/>
        <family val="3"/>
        <charset val="128"/>
      </rPr>
      <t>岡本文弥</t>
    </r>
    <rPh sb="0" eb="2">
      <t>オカモト</t>
    </rPh>
    <rPh sb="2" eb="4">
      <t>ブンヤ</t>
    </rPh>
    <phoneticPr fontId="1"/>
  </si>
  <si>
    <r>
      <rPr>
        <sz val="11"/>
        <rFont val="游ゴシック Medium"/>
        <family val="3"/>
        <charset val="128"/>
      </rPr>
      <t>百歳現役</t>
    </r>
    <r>
      <rPr>
        <sz val="11"/>
        <rFont val="Consolas"/>
        <family val="3"/>
      </rPr>
      <t>/</t>
    </r>
    <r>
      <rPr>
        <sz val="11"/>
        <rFont val="游ゴシック Medium"/>
        <family val="3"/>
        <charset val="128"/>
      </rPr>
      <t>なんとなくあしたがたのしい</t>
    </r>
    <rPh sb="0" eb="2">
      <t>ヒャクサイ</t>
    </rPh>
    <rPh sb="2" eb="4">
      <t>ゲンエキ</t>
    </rPh>
    <phoneticPr fontId="1"/>
  </si>
  <si>
    <r>
      <rPr>
        <sz val="11"/>
        <rFont val="游ゴシック Medium"/>
        <family val="3"/>
        <charset val="128"/>
      </rPr>
      <t>海竜社</t>
    </r>
    <rPh sb="0" eb="2">
      <t>カイリュウ</t>
    </rPh>
    <rPh sb="2" eb="3">
      <t>シャ</t>
    </rPh>
    <phoneticPr fontId="1"/>
  </si>
  <si>
    <r>
      <rPr>
        <sz val="11"/>
        <rFont val="游ゴシック Medium"/>
        <family val="3"/>
        <charset val="128"/>
      </rPr>
      <t>坊屋</t>
    </r>
    <r>
      <rPr>
        <sz val="11"/>
        <rFont val="Consolas"/>
        <family val="3"/>
      </rPr>
      <t xml:space="preserve"> </t>
    </r>
    <r>
      <rPr>
        <sz val="11"/>
        <rFont val="游ゴシック Medium"/>
        <family val="3"/>
        <charset val="128"/>
      </rPr>
      <t>三郎</t>
    </r>
    <rPh sb="0" eb="2">
      <t>ボウヤ</t>
    </rPh>
    <rPh sb="3" eb="5">
      <t>サブロウ</t>
    </rPh>
    <phoneticPr fontId="1"/>
  </si>
  <si>
    <r>
      <rPr>
        <sz val="11"/>
        <rFont val="游ゴシック Medium"/>
        <family val="3"/>
        <charset val="128"/>
      </rPr>
      <t>これはマジメな喜劇でス</t>
    </r>
    <r>
      <rPr>
        <sz val="11"/>
        <rFont val="Consolas"/>
        <family val="3"/>
      </rPr>
      <t>/</t>
    </r>
    <r>
      <rPr>
        <sz val="11"/>
        <rFont val="游ゴシック Medium"/>
        <family val="3"/>
        <charset val="128"/>
      </rPr>
      <t>坊屋三郎の浅草笑劇場</t>
    </r>
    <rPh sb="7" eb="9">
      <t>キゲキ</t>
    </rPh>
    <rPh sb="12" eb="16">
      <t>ボウヤサブロウ</t>
    </rPh>
    <rPh sb="17" eb="19">
      <t>アサクサ</t>
    </rPh>
    <rPh sb="19" eb="22">
      <t>ショウゲキジョウ</t>
    </rPh>
    <phoneticPr fontId="1"/>
  </si>
  <si>
    <r>
      <rPr>
        <sz val="11"/>
        <rFont val="游ゴシック Medium"/>
        <family val="3"/>
        <charset val="128"/>
      </rPr>
      <t>博美館出版</t>
    </r>
    <rPh sb="0" eb="1">
      <t>ハク</t>
    </rPh>
    <rPh sb="1" eb="2">
      <t>ビ</t>
    </rPh>
    <rPh sb="2" eb="3">
      <t>カン</t>
    </rPh>
    <rPh sb="3" eb="5">
      <t>シュッパン</t>
    </rPh>
    <phoneticPr fontId="1"/>
  </si>
  <si>
    <r>
      <rPr>
        <sz val="11"/>
        <rFont val="游ゴシック Medium"/>
        <family val="3"/>
        <charset val="128"/>
      </rPr>
      <t>茂手木</t>
    </r>
    <r>
      <rPr>
        <sz val="11"/>
        <rFont val="Consolas"/>
        <family val="3"/>
      </rPr>
      <t xml:space="preserve"> </t>
    </r>
    <r>
      <rPr>
        <sz val="11"/>
        <rFont val="游ゴシック Medium"/>
        <family val="3"/>
        <charset val="128"/>
      </rPr>
      <t>潔子</t>
    </r>
    <rPh sb="0" eb="3">
      <t>モテギ</t>
    </rPh>
    <rPh sb="4" eb="6">
      <t>キヨコ</t>
    </rPh>
    <phoneticPr fontId="1"/>
  </si>
  <si>
    <r>
      <rPr>
        <sz val="11"/>
        <rFont val="游ゴシック Medium"/>
        <family val="3"/>
        <charset val="128"/>
      </rPr>
      <t>文楽</t>
    </r>
    <r>
      <rPr>
        <sz val="11"/>
        <rFont val="Consolas"/>
        <family val="3"/>
      </rPr>
      <t>/</t>
    </r>
    <r>
      <rPr>
        <sz val="11"/>
        <rFont val="游ゴシック Medium"/>
        <family val="3"/>
        <charset val="128"/>
      </rPr>
      <t>声と音と響き</t>
    </r>
    <rPh sb="0" eb="2">
      <t>ブンラク</t>
    </rPh>
    <rPh sb="3" eb="4">
      <t>コエ</t>
    </rPh>
    <rPh sb="5" eb="6">
      <t>オト</t>
    </rPh>
    <rPh sb="7" eb="8">
      <t>ヒビ</t>
    </rPh>
    <phoneticPr fontId="1"/>
  </si>
  <si>
    <r>
      <rPr>
        <sz val="11"/>
        <rFont val="游ゴシック Medium"/>
        <family val="3"/>
        <charset val="128"/>
      </rPr>
      <t>音楽之友社</t>
    </r>
    <rPh sb="0" eb="5">
      <t>オンガクノトモシャ</t>
    </rPh>
    <phoneticPr fontId="1"/>
  </si>
  <si>
    <r>
      <rPr>
        <sz val="11"/>
        <rFont val="游ゴシック Medium"/>
        <family val="3"/>
        <charset val="128"/>
      </rPr>
      <t>ベルナン</t>
    </r>
    <r>
      <rPr>
        <sz val="11"/>
        <rFont val="Consolas"/>
        <family val="3"/>
      </rPr>
      <t>,Carmen</t>
    </r>
    <rPh sb="5" eb="11">
      <t>カルメン</t>
    </rPh>
    <phoneticPr fontId="1"/>
  </si>
  <si>
    <r>
      <rPr>
        <sz val="11"/>
        <rFont val="游ゴシック Medium"/>
        <family val="3"/>
        <charset val="128"/>
      </rPr>
      <t>大貫</t>
    </r>
    <r>
      <rPr>
        <sz val="11"/>
        <rFont val="Consolas"/>
        <family val="3"/>
      </rPr>
      <t xml:space="preserve"> </t>
    </r>
    <r>
      <rPr>
        <sz val="11"/>
        <rFont val="游ゴシック Medium"/>
        <family val="3"/>
        <charset val="128"/>
      </rPr>
      <t>良夫</t>
    </r>
    <rPh sb="0" eb="2">
      <t>オオヌキ</t>
    </rPh>
    <rPh sb="3" eb="5">
      <t>ヨシオ</t>
    </rPh>
    <phoneticPr fontId="1"/>
  </si>
  <si>
    <r>
      <t>Inca</t>
    </r>
    <r>
      <rPr>
        <sz val="11"/>
        <rFont val="游ゴシック Medium"/>
        <family val="3"/>
        <charset val="128"/>
      </rPr>
      <t>帝国</t>
    </r>
    <r>
      <rPr>
        <sz val="11"/>
        <rFont val="Consolas"/>
        <family val="3"/>
      </rPr>
      <t>/</t>
    </r>
    <r>
      <rPr>
        <sz val="11"/>
        <rFont val="游ゴシック Medium"/>
        <family val="3"/>
        <charset val="128"/>
      </rPr>
      <t>黄金と太陽の民族</t>
    </r>
    <r>
      <rPr>
        <sz val="11"/>
        <rFont val="Consolas"/>
        <family val="3"/>
      </rPr>
      <t>/Les Incas,People du Soleil</t>
    </r>
    <rPh sb="0" eb="6">
      <t>インカテイコク</t>
    </rPh>
    <rPh sb="7" eb="9">
      <t>オウゴン</t>
    </rPh>
    <rPh sb="10" eb="12">
      <t>タイヨウ</t>
    </rPh>
    <rPh sb="13" eb="15">
      <t>ミンゾク</t>
    </rPh>
    <phoneticPr fontId="1"/>
  </si>
  <si>
    <r>
      <rPr>
        <sz val="11"/>
        <rFont val="游ゴシック Medium"/>
        <family val="3"/>
        <charset val="128"/>
      </rPr>
      <t>「知の再発見」双書</t>
    </r>
    <r>
      <rPr>
        <sz val="11"/>
        <rFont val="Consolas"/>
        <family val="3"/>
      </rPr>
      <t>06/SG/</t>
    </r>
    <r>
      <rPr>
        <sz val="11"/>
        <rFont val="游ゴシック Medium"/>
        <family val="3"/>
        <charset val="128"/>
      </rPr>
      <t>絵で読む世界文化史</t>
    </r>
    <rPh sb="1" eb="2">
      <t>チ</t>
    </rPh>
    <rPh sb="3" eb="6">
      <t>サイハッケン</t>
    </rPh>
    <rPh sb="7" eb="9">
      <t>ソウショ</t>
    </rPh>
    <rPh sb="15" eb="16">
      <t>エ</t>
    </rPh>
    <rPh sb="17" eb="18">
      <t>ヨ</t>
    </rPh>
    <rPh sb="19" eb="21">
      <t>セカイ</t>
    </rPh>
    <rPh sb="21" eb="24">
      <t>ブンカシ</t>
    </rPh>
    <phoneticPr fontId="1"/>
  </si>
  <si>
    <r>
      <rPr>
        <sz val="11"/>
        <rFont val="游ゴシック Medium"/>
        <family val="3"/>
        <charset val="128"/>
      </rPr>
      <t>創元社</t>
    </r>
    <rPh sb="0" eb="3">
      <t>ソウゲンシャ</t>
    </rPh>
    <phoneticPr fontId="1"/>
  </si>
  <si>
    <r>
      <rPr>
        <strike/>
        <sz val="11"/>
        <rFont val="游ゴシック Medium"/>
        <family val="3"/>
        <charset val="128"/>
      </rPr>
      <t>藤田</t>
    </r>
    <r>
      <rPr>
        <strike/>
        <sz val="11"/>
        <rFont val="Consolas"/>
        <family val="3"/>
      </rPr>
      <t xml:space="preserve"> </t>
    </r>
    <r>
      <rPr>
        <strike/>
        <sz val="11"/>
        <rFont val="游ゴシック Medium"/>
        <family val="3"/>
        <charset val="128"/>
      </rPr>
      <t>紘一郎</t>
    </r>
    <rPh sb="0" eb="2">
      <t>フジタ</t>
    </rPh>
    <rPh sb="3" eb="6">
      <t>コウイチロウ</t>
    </rPh>
    <phoneticPr fontId="1"/>
  </si>
  <si>
    <r>
      <rPr>
        <strike/>
        <sz val="11"/>
        <rFont val="游ゴシック Medium"/>
        <family val="3"/>
        <charset val="128"/>
      </rPr>
      <t>東京医科歯科大学教授</t>
    </r>
    <rPh sb="0" eb="2">
      <t>トウキョウ</t>
    </rPh>
    <rPh sb="2" eb="4">
      <t>イカ</t>
    </rPh>
    <rPh sb="4" eb="6">
      <t>シカ</t>
    </rPh>
    <rPh sb="6" eb="8">
      <t>ダイガク</t>
    </rPh>
    <rPh sb="8" eb="10">
      <t>キョウジュ</t>
    </rPh>
    <phoneticPr fontId="1"/>
  </si>
  <si>
    <r>
      <rPr>
        <strike/>
        <sz val="8"/>
        <rFont val="游ゴシック Medium"/>
        <family val="3"/>
        <charset val="128"/>
      </rPr>
      <t>日本人の</t>
    </r>
    <r>
      <rPr>
        <strike/>
        <sz val="11"/>
        <rFont val="游ゴシック Medium"/>
        <family val="3"/>
        <charset val="128"/>
      </rPr>
      <t>清潔がアブナイ</t>
    </r>
    <r>
      <rPr>
        <strike/>
        <sz val="11"/>
        <rFont val="Consolas"/>
        <family val="3"/>
      </rPr>
      <t>!</t>
    </r>
    <rPh sb="0" eb="3">
      <t>ニホンジン</t>
    </rPh>
    <rPh sb="4" eb="6">
      <t>セイケツ</t>
    </rPh>
    <phoneticPr fontId="1"/>
  </si>
  <si>
    <r>
      <rPr>
        <strike/>
        <sz val="11"/>
        <rFont val="游ゴシック Medium"/>
        <family val="3"/>
        <charset val="128"/>
      </rPr>
      <t>小学館</t>
    </r>
    <rPh sb="0" eb="3">
      <t>ショウガクカン</t>
    </rPh>
    <phoneticPr fontId="1"/>
  </si>
  <si>
    <r>
      <t>2001/12/31_Art Guild</t>
    </r>
    <r>
      <rPr>
        <strike/>
        <sz val="11"/>
        <rFont val="游ゴシック Medium"/>
        <family val="3"/>
        <charset val="128"/>
      </rPr>
      <t>のプレゼント交換で「日本人の清潔が危ない」と共に始末</t>
    </r>
    <rPh sb="11" eb="20">
      <t>アートギルド</t>
    </rPh>
    <rPh sb="26" eb="28">
      <t>コウカン</t>
    </rPh>
    <rPh sb="30" eb="33">
      <t>ニホンジン</t>
    </rPh>
    <rPh sb="34" eb="36">
      <t>セイケツ</t>
    </rPh>
    <rPh sb="37" eb="38">
      <t>アブ</t>
    </rPh>
    <rPh sb="42" eb="43">
      <t>トモ</t>
    </rPh>
    <rPh sb="44" eb="46">
      <t>シマツ</t>
    </rPh>
    <phoneticPr fontId="1"/>
  </si>
  <si>
    <r>
      <rPr>
        <sz val="11"/>
        <rFont val="游ゴシック Medium"/>
        <family val="3"/>
        <charset val="128"/>
      </rPr>
      <t>ひさうち</t>
    </r>
    <r>
      <rPr>
        <sz val="11"/>
        <rFont val="Consolas"/>
        <family val="3"/>
      </rPr>
      <t xml:space="preserve"> </t>
    </r>
    <r>
      <rPr>
        <sz val="11"/>
        <rFont val="游ゴシック Medium"/>
        <family val="3"/>
        <charset val="128"/>
      </rPr>
      <t>みちお</t>
    </r>
    <phoneticPr fontId="1"/>
  </si>
  <si>
    <r>
      <rPr>
        <sz val="11"/>
        <rFont val="游ゴシック Medium"/>
        <family val="3"/>
        <charset val="128"/>
      </rPr>
      <t>正しいお變態本</t>
    </r>
    <rPh sb="0" eb="1">
      <t>タダ</t>
    </rPh>
    <rPh sb="4" eb="6">
      <t>ヘンタイ</t>
    </rPh>
    <rPh sb="6" eb="7">
      <t>ボン</t>
    </rPh>
    <phoneticPr fontId="1"/>
  </si>
  <si>
    <r>
      <rPr>
        <sz val="11"/>
        <rFont val="游ゴシック Medium"/>
        <family val="3"/>
        <charset val="128"/>
      </rPr>
      <t>ワニの本</t>
    </r>
    <rPh sb="3" eb="4">
      <t>ホン</t>
    </rPh>
    <phoneticPr fontId="1"/>
  </si>
  <si>
    <r>
      <rPr>
        <sz val="11"/>
        <rFont val="游ゴシック Medium"/>
        <family val="3"/>
        <charset val="128"/>
      </rPr>
      <t>共和</t>
    </r>
    <rPh sb="0" eb="2">
      <t>キョウワ</t>
    </rPh>
    <phoneticPr fontId="1"/>
  </si>
  <si>
    <r>
      <rPr>
        <sz val="11"/>
        <rFont val="游ゴシック Medium"/>
        <family val="3"/>
        <charset val="128"/>
      </rPr>
      <t>妄想科学博士</t>
    </r>
    <rPh sb="0" eb="2">
      <t>モウソウ</t>
    </rPh>
    <rPh sb="2" eb="4">
      <t>カガク</t>
    </rPh>
    <rPh sb="4" eb="6">
      <t>ハクシ</t>
    </rPh>
    <phoneticPr fontId="1"/>
  </si>
  <si>
    <r>
      <rPr>
        <sz val="11"/>
        <rFont val="游ゴシック Medium"/>
        <family val="3"/>
        <charset val="128"/>
      </rPr>
      <t>山本さん家の場合に於るアソコの不幸に就て</t>
    </r>
    <rPh sb="0" eb="2">
      <t>ヤマモト</t>
    </rPh>
    <rPh sb="4" eb="5">
      <t>チ</t>
    </rPh>
    <rPh sb="6" eb="8">
      <t>バアイ</t>
    </rPh>
    <rPh sb="9" eb="10">
      <t>オケ</t>
    </rPh>
    <rPh sb="15" eb="17">
      <t>フコウ</t>
    </rPh>
    <rPh sb="18" eb="20">
      <t>ツイテ</t>
    </rPh>
    <phoneticPr fontId="1"/>
  </si>
  <si>
    <r>
      <rPr>
        <sz val="11"/>
        <rFont val="游ゴシック Medium"/>
        <family val="3"/>
        <charset val="128"/>
      </rPr>
      <t>チャンネルゼロ</t>
    </r>
    <r>
      <rPr>
        <sz val="11"/>
        <rFont val="Consolas"/>
        <family val="3"/>
      </rPr>
      <t>:</t>
    </r>
    <r>
      <rPr>
        <sz val="11"/>
        <rFont val="游ゴシック Medium"/>
        <family val="3"/>
        <charset val="128"/>
      </rPr>
      <t>発行</t>
    </r>
    <r>
      <rPr>
        <sz val="11"/>
        <rFont val="Consolas"/>
        <family val="3"/>
      </rPr>
      <t>/</t>
    </r>
    <r>
      <rPr>
        <sz val="11"/>
        <rFont val="游ゴシック Medium"/>
        <family val="3"/>
        <charset val="128"/>
      </rPr>
      <t>プレイガイドジャーナル社</t>
    </r>
    <r>
      <rPr>
        <sz val="11"/>
        <rFont val="Consolas"/>
        <family val="3"/>
      </rPr>
      <t>:</t>
    </r>
    <r>
      <rPr>
        <sz val="11"/>
        <rFont val="游ゴシック Medium"/>
        <family val="3"/>
        <charset val="128"/>
      </rPr>
      <t>発売</t>
    </r>
    <rPh sb="8" eb="10">
      <t>ハッコウ</t>
    </rPh>
    <rPh sb="22" eb="23">
      <t>シャ</t>
    </rPh>
    <rPh sb="24" eb="26">
      <t>ハツバイ</t>
    </rPh>
    <phoneticPr fontId="1"/>
  </si>
  <si>
    <r>
      <rPr>
        <sz val="11"/>
        <rFont val="游ゴシック Medium"/>
        <family val="3"/>
        <charset val="128"/>
      </rPr>
      <t>鴨書店</t>
    </r>
    <rPh sb="0" eb="1">
      <t>カモ</t>
    </rPh>
    <rPh sb="1" eb="3">
      <t>ショテン</t>
    </rPh>
    <phoneticPr fontId="1"/>
  </si>
  <si>
    <r>
      <rPr>
        <sz val="11"/>
        <rFont val="游ゴシック Medium"/>
        <family val="3"/>
        <charset val="128"/>
      </rPr>
      <t>鶴田</t>
    </r>
    <r>
      <rPr>
        <sz val="11"/>
        <rFont val="Consolas"/>
        <family val="3"/>
      </rPr>
      <t xml:space="preserve"> </t>
    </r>
    <r>
      <rPr>
        <sz val="11"/>
        <rFont val="游ゴシック Medium"/>
        <family val="3"/>
        <charset val="128"/>
      </rPr>
      <t>静</t>
    </r>
    <rPh sb="0" eb="2">
      <t>ツルタ</t>
    </rPh>
    <rPh sb="3" eb="4">
      <t>シズカ</t>
    </rPh>
    <phoneticPr fontId="1"/>
  </si>
  <si>
    <r>
      <t>Vegetarian</t>
    </r>
    <r>
      <rPr>
        <sz val="11"/>
        <rFont val="游ゴシック Medium"/>
        <family val="3"/>
        <charset val="128"/>
      </rPr>
      <t>の世界</t>
    </r>
    <r>
      <rPr>
        <sz val="11"/>
        <rFont val="Consolas"/>
        <family val="3"/>
      </rPr>
      <t>/</t>
    </r>
    <r>
      <rPr>
        <sz val="11"/>
        <rFont val="游ゴシック Medium"/>
        <family val="3"/>
        <charset val="128"/>
      </rPr>
      <t>肉食を超えた人々</t>
    </r>
    <rPh sb="0" eb="10">
      <t>ヴェジタリアン</t>
    </rPh>
    <rPh sb="11" eb="13">
      <t>セカイ</t>
    </rPh>
    <rPh sb="14" eb="16">
      <t>ニクショク</t>
    </rPh>
    <rPh sb="17" eb="18">
      <t>コ</t>
    </rPh>
    <rPh sb="20" eb="22">
      <t>ヒトビト</t>
    </rPh>
    <phoneticPr fontId="1"/>
  </si>
  <si>
    <r>
      <rPr>
        <sz val="11"/>
        <rFont val="游ゴシック Medium"/>
        <family val="3"/>
        <charset val="128"/>
      </rPr>
      <t>ハワイ大学</t>
    </r>
    <r>
      <rPr>
        <sz val="11"/>
        <rFont val="Consolas"/>
        <family val="3"/>
      </rPr>
      <t xml:space="preserve"> </t>
    </r>
    <r>
      <rPr>
        <sz val="11"/>
        <rFont val="游ゴシック Medium"/>
        <family val="3"/>
        <charset val="128"/>
      </rPr>
      <t>博士研究員</t>
    </r>
    <rPh sb="3" eb="5">
      <t>ダイガク</t>
    </rPh>
    <rPh sb="6" eb="8">
      <t>ハクシ</t>
    </rPh>
    <rPh sb="8" eb="11">
      <t>ケンキュウイン</t>
    </rPh>
    <phoneticPr fontId="1"/>
  </si>
  <si>
    <r>
      <rPr>
        <sz val="11"/>
        <rFont val="游ゴシック Medium"/>
        <family val="3"/>
        <charset val="128"/>
      </rPr>
      <t>垂水</t>
    </r>
    <r>
      <rPr>
        <sz val="11"/>
        <rFont val="Consolas"/>
        <family val="3"/>
      </rPr>
      <t xml:space="preserve"> </t>
    </r>
    <r>
      <rPr>
        <sz val="11"/>
        <rFont val="游ゴシック Medium"/>
        <family val="3"/>
        <charset val="128"/>
      </rPr>
      <t>雄二</t>
    </r>
    <rPh sb="0" eb="2">
      <t>タルミ</t>
    </rPh>
    <rPh sb="3" eb="5">
      <t>ユウジ</t>
    </rPh>
    <phoneticPr fontId="1"/>
  </si>
  <si>
    <r>
      <rPr>
        <sz val="11"/>
        <rFont val="游ゴシック Medium"/>
        <family val="3"/>
        <charset val="128"/>
      </rPr>
      <t>訳</t>
    </r>
    <phoneticPr fontId="1"/>
  </si>
  <si>
    <r>
      <rPr>
        <sz val="11"/>
        <rFont val="游ゴシック Medium"/>
        <family val="3"/>
        <charset val="128"/>
      </rPr>
      <t>毒々生物の奇妙な進化</t>
    </r>
    <r>
      <rPr>
        <sz val="11"/>
        <rFont val="Consolas"/>
        <family val="3"/>
      </rPr>
      <t>/Venomous/How Earth's Deadliest Creatures Mastered Biochemistry</t>
    </r>
    <rPh sb="0" eb="2">
      <t>ドクドク</t>
    </rPh>
    <rPh sb="2" eb="4">
      <t>セイブツ</t>
    </rPh>
    <rPh sb="5" eb="7">
      <t>キミョウ</t>
    </rPh>
    <phoneticPr fontId="1"/>
  </si>
  <si>
    <r>
      <rPr>
        <sz val="11"/>
        <rFont val="游ゴシック Medium"/>
        <family val="3"/>
        <charset val="128"/>
      </rPr>
      <t>文藝春秋</t>
    </r>
    <rPh sb="0" eb="4">
      <t>ブンゲイシ</t>
    </rPh>
    <phoneticPr fontId="1"/>
  </si>
  <si>
    <r>
      <rPr>
        <sz val="11"/>
        <rFont val="游ゴシック Medium"/>
        <family val="3"/>
        <charset val="128"/>
      </rPr>
      <t>サンシャイン水族館もうどく展</t>
    </r>
    <r>
      <rPr>
        <sz val="11"/>
        <rFont val="Consolas"/>
        <family val="3"/>
      </rPr>
      <t>2</t>
    </r>
    <rPh sb="6" eb="9">
      <t>スイゾクカン</t>
    </rPh>
    <rPh sb="13" eb="14">
      <t>テン</t>
    </rPh>
    <phoneticPr fontId="1"/>
  </si>
  <si>
    <r>
      <rPr>
        <sz val="11"/>
        <rFont val="游ゴシック Medium"/>
        <family val="3"/>
        <charset val="128"/>
      </rPr>
      <t>松原</t>
    </r>
    <r>
      <rPr>
        <sz val="11"/>
        <rFont val="Consolas"/>
        <family val="3"/>
      </rPr>
      <t xml:space="preserve"> </t>
    </r>
    <r>
      <rPr>
        <sz val="11"/>
        <rFont val="游ゴシック Medium"/>
        <family val="3"/>
        <charset val="128"/>
      </rPr>
      <t>始</t>
    </r>
    <r>
      <rPr>
        <sz val="11"/>
        <rFont val="Consolas"/>
        <family val="3"/>
      </rPr>
      <t>/</t>
    </r>
    <r>
      <rPr>
        <sz val="11"/>
        <rFont val="游ゴシック Medium"/>
        <family val="3"/>
        <charset val="128"/>
      </rPr>
      <t>伊勢</t>
    </r>
    <r>
      <rPr>
        <sz val="11"/>
        <rFont val="Consolas"/>
        <family val="3"/>
      </rPr>
      <t xml:space="preserve"> </t>
    </r>
    <r>
      <rPr>
        <sz val="11"/>
        <rFont val="游ゴシック Medium"/>
        <family val="3"/>
        <charset val="128"/>
      </rPr>
      <t>優史</t>
    </r>
    <rPh sb="0" eb="2">
      <t>マツバラ　</t>
    </rPh>
    <rPh sb="3" eb="4">
      <t>ハジメ</t>
    </rPh>
    <rPh sb="5" eb="7">
      <t>イセ</t>
    </rPh>
    <rPh sb="8" eb="10">
      <t>ユウジ</t>
    </rPh>
    <phoneticPr fontId="1"/>
  </si>
  <si>
    <r>
      <rPr>
        <sz val="11"/>
        <rFont val="游ゴシック Medium"/>
        <family val="3"/>
        <charset val="128"/>
      </rPr>
      <t>ぽんとごたんだ</t>
    </r>
    <phoneticPr fontId="1"/>
  </si>
  <si>
    <r>
      <rPr>
        <sz val="11"/>
        <rFont val="游ゴシック Medium"/>
        <family val="3"/>
        <charset val="128"/>
      </rPr>
      <t>じつは食べられるいきもの事典</t>
    </r>
    <rPh sb="3" eb="4">
      <t>タ</t>
    </rPh>
    <rPh sb="12" eb="14">
      <t>ジテン</t>
    </rPh>
    <phoneticPr fontId="1"/>
  </si>
  <si>
    <r>
      <rPr>
        <sz val="11"/>
        <rFont val="游ゴシック Medium"/>
        <family val="3"/>
        <charset val="128"/>
      </rPr>
      <t>「食べる」とは</t>
    </r>
    <r>
      <rPr>
        <sz val="11"/>
        <rFont val="Consolas"/>
        <family val="3"/>
      </rPr>
      <t xml:space="preserve"> </t>
    </r>
    <r>
      <rPr>
        <sz val="11"/>
        <rFont val="游ゴシック Medium"/>
        <family val="3"/>
        <charset val="128"/>
      </rPr>
      <t>人間の歴史そのもの</t>
    </r>
    <rPh sb="1" eb="2">
      <t>タ</t>
    </rPh>
    <rPh sb="8" eb="10">
      <t>ニンゲン</t>
    </rPh>
    <rPh sb="11" eb="13">
      <t>レキシ</t>
    </rPh>
    <phoneticPr fontId="1"/>
  </si>
  <si>
    <r>
      <rPr>
        <sz val="11"/>
        <rFont val="游ゴシック Medium"/>
        <family val="3"/>
        <charset val="128"/>
      </rPr>
      <t>宝島社</t>
    </r>
    <rPh sb="0" eb="3">
      <t>タカラジマシャ</t>
    </rPh>
    <phoneticPr fontId="1"/>
  </si>
  <si>
    <r>
      <t xml:space="preserve">ISBN </t>
    </r>
    <r>
      <rPr>
        <sz val="11"/>
        <rFont val="游ゴシック Medium"/>
        <family val="3"/>
        <charset val="128"/>
      </rPr>
      <t>なし</t>
    </r>
    <phoneticPr fontId="1"/>
  </si>
  <si>
    <r>
      <rPr>
        <sz val="11"/>
        <rFont val="游ゴシック Medium"/>
        <family val="3"/>
        <charset val="128"/>
      </rPr>
      <t>永村</t>
    </r>
    <r>
      <rPr>
        <sz val="11"/>
        <rFont val="Consolas"/>
        <family val="3"/>
      </rPr>
      <t xml:space="preserve"> </t>
    </r>
    <r>
      <rPr>
        <sz val="11"/>
        <rFont val="游ゴシック Medium"/>
        <family val="3"/>
        <charset val="128"/>
      </rPr>
      <t>武美</t>
    </r>
    <rPh sb="0" eb="2">
      <t>ナガムラ</t>
    </rPh>
    <rPh sb="3" eb="5">
      <t>タケミ</t>
    </rPh>
    <phoneticPr fontId="1"/>
  </si>
  <si>
    <r>
      <rPr>
        <sz val="11"/>
        <rFont val="游ゴシック Medium"/>
        <family val="3"/>
        <charset val="128"/>
      </rPr>
      <t>発行人</t>
    </r>
    <rPh sb="0" eb="3">
      <t>ハッコウニン</t>
    </rPh>
    <phoneticPr fontId="1"/>
  </si>
  <si>
    <r>
      <t>STANDARDS OF THE BREEDS/</t>
    </r>
    <r>
      <rPr>
        <sz val="11"/>
        <rFont val="游ゴシック Medium"/>
        <family val="3"/>
        <charset val="128"/>
      </rPr>
      <t>全犬種標準書</t>
    </r>
    <rPh sb="24" eb="29">
      <t>ゼンケンシュヒョウジュン</t>
    </rPh>
    <rPh sb="29" eb="30">
      <t>ショ</t>
    </rPh>
    <phoneticPr fontId="1"/>
  </si>
  <si>
    <r>
      <t>Eleventh Edition/</t>
    </r>
    <r>
      <rPr>
        <sz val="11"/>
        <rFont val="游ゴシック Medium"/>
        <family val="3"/>
        <charset val="128"/>
      </rPr>
      <t>第</t>
    </r>
    <r>
      <rPr>
        <sz val="11"/>
        <rFont val="Consolas"/>
        <family val="3"/>
      </rPr>
      <t>11</t>
    </r>
    <r>
      <rPr>
        <sz val="11"/>
        <rFont val="游ゴシック Medium"/>
        <family val="3"/>
        <charset val="128"/>
      </rPr>
      <t>版</t>
    </r>
    <phoneticPr fontId="1"/>
  </si>
  <si>
    <r>
      <t>JAPAN KENNEL CLUB/</t>
    </r>
    <r>
      <rPr>
        <sz val="11"/>
        <rFont val="游ゴシック Medium"/>
        <family val="3"/>
        <charset val="128"/>
      </rPr>
      <t>ジャパンケネルクラブ</t>
    </r>
    <phoneticPr fontId="1"/>
  </si>
  <si>
    <r>
      <rPr>
        <sz val="11"/>
        <rFont val="游ゴシック Medium"/>
        <family val="3"/>
        <charset val="128"/>
      </rPr>
      <t>ヤマザキ動物看護大学</t>
    </r>
    <rPh sb="4" eb="6">
      <t>ドウブツ</t>
    </rPh>
    <rPh sb="6" eb="8">
      <t>カンゴ</t>
    </rPh>
    <rPh sb="8" eb="10">
      <t>ダイガク</t>
    </rPh>
    <phoneticPr fontId="1"/>
  </si>
  <si>
    <r>
      <rPr>
        <sz val="11"/>
        <rFont val="游ゴシック Medium"/>
        <family val="3"/>
        <charset val="128"/>
      </rPr>
      <t>教科書</t>
    </r>
    <rPh sb="0" eb="3">
      <t>キョウカショ</t>
    </rPh>
    <phoneticPr fontId="1"/>
  </si>
  <si>
    <r>
      <rPr>
        <sz val="11"/>
        <rFont val="游ゴシック Medium"/>
        <family val="3"/>
        <charset val="128"/>
      </rPr>
      <t>全国動物保健看護系大学協会</t>
    </r>
    <r>
      <rPr>
        <sz val="11"/>
        <rFont val="Consolas"/>
        <family val="3"/>
      </rPr>
      <t xml:space="preserve"> </t>
    </r>
    <r>
      <rPr>
        <sz val="11"/>
        <rFont val="游ゴシック Medium"/>
        <family val="3"/>
        <charset val="128"/>
      </rPr>
      <t>カリキュラム検討委員会</t>
    </r>
    <rPh sb="0" eb="2">
      <t>ゼンコク</t>
    </rPh>
    <rPh sb="2" eb="4">
      <t>ドウブツ</t>
    </rPh>
    <rPh sb="4" eb="6">
      <t>ホケン</t>
    </rPh>
    <rPh sb="6" eb="9">
      <t>カンゴケイ</t>
    </rPh>
    <rPh sb="9" eb="11">
      <t>ダイガク</t>
    </rPh>
    <rPh sb="11" eb="13">
      <t>キョウカイ</t>
    </rPh>
    <rPh sb="20" eb="22">
      <t>ケントウ</t>
    </rPh>
    <rPh sb="22" eb="25">
      <t>イインカイ</t>
    </rPh>
    <phoneticPr fontId="1"/>
  </si>
  <si>
    <r>
      <rPr>
        <sz val="11"/>
        <rFont val="游ゴシック Medium"/>
        <family val="3"/>
        <charset val="128"/>
      </rPr>
      <t>専門基礎分野</t>
    </r>
    <r>
      <rPr>
        <sz val="11"/>
        <rFont val="Consolas"/>
        <family val="3"/>
      </rPr>
      <t xml:space="preserve"> </t>
    </r>
    <r>
      <rPr>
        <sz val="11"/>
        <rFont val="游ゴシック Medium"/>
        <family val="3"/>
        <charset val="128"/>
      </rPr>
      <t>動物形態機能学</t>
    </r>
    <rPh sb="0" eb="6">
      <t>センモンキソブンヤ</t>
    </rPh>
    <rPh sb="7" eb="9">
      <t>ドウブツ</t>
    </rPh>
    <rPh sb="9" eb="11">
      <t>ケイタイ</t>
    </rPh>
    <rPh sb="11" eb="13">
      <t>キノウ</t>
    </rPh>
    <rPh sb="13" eb="14">
      <t>ガク</t>
    </rPh>
    <phoneticPr fontId="1"/>
  </si>
  <si>
    <r>
      <rPr>
        <sz val="11"/>
        <rFont val="游ゴシック Medium"/>
        <family val="3"/>
        <charset val="128"/>
      </rPr>
      <t>動物看護学教育標準カリキュラム準拠</t>
    </r>
    <rPh sb="0" eb="5">
      <t>ドウブツカンゴガク</t>
    </rPh>
    <rPh sb="5" eb="7">
      <t>キョウイク</t>
    </rPh>
    <rPh sb="7" eb="9">
      <t>ヒョウジュン</t>
    </rPh>
    <rPh sb="15" eb="17">
      <t>ジュンキョ</t>
    </rPh>
    <phoneticPr fontId="1"/>
  </si>
  <si>
    <r>
      <rPr>
        <sz val="11"/>
        <rFont val="游ゴシック Medium"/>
        <family val="3"/>
        <charset val="128"/>
      </rPr>
      <t>専門基礎分野</t>
    </r>
    <r>
      <rPr>
        <sz val="11"/>
        <rFont val="Consolas"/>
        <family val="3"/>
      </rPr>
      <t xml:space="preserve"> </t>
    </r>
    <r>
      <rPr>
        <sz val="11"/>
        <rFont val="游ゴシック Medium"/>
        <family val="3"/>
        <charset val="128"/>
      </rPr>
      <t>動物行動学</t>
    </r>
    <rPh sb="0" eb="6">
      <t>センモンキソブンヤ</t>
    </rPh>
    <rPh sb="7" eb="9">
      <t>ドウブツ</t>
    </rPh>
    <rPh sb="9" eb="12">
      <t>コウドウガク</t>
    </rPh>
    <phoneticPr fontId="1"/>
  </si>
  <si>
    <r>
      <rPr>
        <sz val="11"/>
        <rFont val="游ゴシック Medium"/>
        <family val="3"/>
        <charset val="128"/>
      </rPr>
      <t>専門基礎分野</t>
    </r>
    <r>
      <rPr>
        <sz val="11"/>
        <rFont val="Consolas"/>
        <family val="3"/>
      </rPr>
      <t xml:space="preserve"> </t>
    </r>
    <r>
      <rPr>
        <sz val="11"/>
        <rFont val="游ゴシック Medium"/>
        <family val="3"/>
        <charset val="128"/>
      </rPr>
      <t>動物寄生虫学</t>
    </r>
    <rPh sb="0" eb="6">
      <t>センモンキソブンヤ</t>
    </rPh>
    <rPh sb="7" eb="9">
      <t>ドウブツ</t>
    </rPh>
    <rPh sb="9" eb="13">
      <t>キセイチュウガク</t>
    </rPh>
    <phoneticPr fontId="1"/>
  </si>
  <si>
    <r>
      <rPr>
        <sz val="11"/>
        <rFont val="游ゴシック Medium"/>
        <family val="3"/>
        <charset val="128"/>
      </rPr>
      <t>専門基礎分野</t>
    </r>
    <r>
      <rPr>
        <sz val="11"/>
        <rFont val="Consolas"/>
        <family val="3"/>
      </rPr>
      <t xml:space="preserve"> </t>
    </r>
    <r>
      <rPr>
        <sz val="11"/>
        <rFont val="游ゴシック Medium"/>
        <family val="3"/>
        <charset val="128"/>
      </rPr>
      <t>動物公衆衛生学</t>
    </r>
    <rPh sb="0" eb="6">
      <t>センモンキソブンヤ</t>
    </rPh>
    <rPh sb="7" eb="9">
      <t>ドウブツ</t>
    </rPh>
    <rPh sb="9" eb="14">
      <t>コウシュウエイセイガク</t>
    </rPh>
    <phoneticPr fontId="1"/>
  </si>
  <si>
    <r>
      <rPr>
        <sz val="11"/>
        <rFont val="游ゴシック Medium"/>
        <family val="3"/>
        <charset val="128"/>
      </rPr>
      <t>専門基礎分野</t>
    </r>
    <r>
      <rPr>
        <sz val="11"/>
        <rFont val="Consolas"/>
        <family val="3"/>
      </rPr>
      <t xml:space="preserve"> </t>
    </r>
    <r>
      <rPr>
        <sz val="11"/>
        <rFont val="游ゴシック Medium"/>
        <family val="3"/>
        <charset val="128"/>
      </rPr>
      <t>動物薬理学</t>
    </r>
    <rPh sb="0" eb="6">
      <t>センモンキソブンヤ</t>
    </rPh>
    <rPh sb="7" eb="9">
      <t>ドウブツ</t>
    </rPh>
    <rPh sb="9" eb="12">
      <t>ヤクリガク</t>
    </rPh>
    <phoneticPr fontId="1"/>
  </si>
  <si>
    <r>
      <rPr>
        <sz val="11"/>
        <rFont val="游ゴシック Medium"/>
        <family val="3"/>
        <charset val="128"/>
      </rPr>
      <t>専門基礎分野</t>
    </r>
    <r>
      <rPr>
        <sz val="11"/>
        <rFont val="Consolas"/>
        <family val="3"/>
      </rPr>
      <t xml:space="preserve"> </t>
    </r>
    <r>
      <rPr>
        <sz val="11"/>
        <rFont val="游ゴシック Medium"/>
        <family val="3"/>
        <charset val="128"/>
      </rPr>
      <t>動物飼養管理学</t>
    </r>
    <rPh sb="0" eb="2">
      <t>センモン</t>
    </rPh>
    <rPh sb="2" eb="4">
      <t>キソ</t>
    </rPh>
    <rPh sb="4" eb="6">
      <t>ブンヤ</t>
    </rPh>
    <rPh sb="7" eb="9">
      <t>ドウブツ</t>
    </rPh>
    <rPh sb="9" eb="11">
      <t>シヨウ</t>
    </rPh>
    <rPh sb="11" eb="13">
      <t>カンリ</t>
    </rPh>
    <rPh sb="13" eb="14">
      <t>ガク</t>
    </rPh>
    <phoneticPr fontId="1"/>
  </si>
  <si>
    <r>
      <rPr>
        <sz val="11"/>
        <rFont val="游ゴシック Medium"/>
        <family val="3"/>
        <charset val="128"/>
      </rPr>
      <t>専門分野</t>
    </r>
    <r>
      <rPr>
        <sz val="11"/>
        <rFont val="Consolas"/>
        <family val="3"/>
      </rPr>
      <t xml:space="preserve"> </t>
    </r>
    <r>
      <rPr>
        <sz val="11"/>
        <rFont val="游ゴシック Medium"/>
        <family val="3"/>
        <charset val="128"/>
      </rPr>
      <t>基礎動物看護学</t>
    </r>
    <r>
      <rPr>
        <sz val="11"/>
        <rFont val="Consolas"/>
        <family val="3"/>
      </rPr>
      <t/>
    </r>
    <rPh sb="0" eb="2">
      <t>センモン</t>
    </rPh>
    <rPh sb="2" eb="4">
      <t>ブンヤ</t>
    </rPh>
    <rPh sb="5" eb="7">
      <t>キソ</t>
    </rPh>
    <rPh sb="7" eb="9">
      <t>ドウブツ</t>
    </rPh>
    <rPh sb="9" eb="12">
      <t>カンゴガク</t>
    </rPh>
    <phoneticPr fontId="1"/>
  </si>
  <si>
    <r>
      <rPr>
        <sz val="11"/>
        <rFont val="游ゴシック Medium"/>
        <family val="3"/>
        <charset val="128"/>
      </rPr>
      <t>専門分野</t>
    </r>
    <r>
      <rPr>
        <sz val="11"/>
        <rFont val="Consolas"/>
        <family val="3"/>
      </rPr>
      <t xml:space="preserve"> </t>
    </r>
    <r>
      <rPr>
        <sz val="11"/>
        <rFont val="游ゴシック Medium"/>
        <family val="3"/>
        <charset val="128"/>
      </rPr>
      <t>基礎動物看護技術</t>
    </r>
    <rPh sb="0" eb="2">
      <t>センモン</t>
    </rPh>
    <rPh sb="2" eb="4">
      <t>ブンヤ</t>
    </rPh>
    <rPh sb="5" eb="7">
      <t>キソ</t>
    </rPh>
    <rPh sb="7" eb="9">
      <t>ドウブツ</t>
    </rPh>
    <rPh sb="9" eb="11">
      <t>カンゴ</t>
    </rPh>
    <rPh sb="11" eb="13">
      <t>ギジュツ</t>
    </rPh>
    <phoneticPr fontId="1"/>
  </si>
  <si>
    <r>
      <rPr>
        <sz val="11"/>
        <rFont val="游ゴシック Medium"/>
        <family val="3"/>
        <charset val="128"/>
      </rPr>
      <t>専門分野</t>
    </r>
    <r>
      <rPr>
        <sz val="11"/>
        <rFont val="Consolas"/>
        <family val="3"/>
      </rPr>
      <t xml:space="preserve"> </t>
    </r>
    <r>
      <rPr>
        <sz val="11"/>
        <rFont val="游ゴシック Medium"/>
        <family val="3"/>
        <charset val="128"/>
      </rPr>
      <t>動物外科看護技術</t>
    </r>
    <rPh sb="0" eb="2">
      <t>センモン</t>
    </rPh>
    <rPh sb="2" eb="4">
      <t>ブンヤ</t>
    </rPh>
    <rPh sb="5" eb="7">
      <t>ドウブツ</t>
    </rPh>
    <rPh sb="7" eb="9">
      <t>ゲカ</t>
    </rPh>
    <rPh sb="9" eb="11">
      <t>カンゴ</t>
    </rPh>
    <rPh sb="11" eb="13">
      <t>ギジュツ</t>
    </rPh>
    <phoneticPr fontId="1"/>
  </si>
  <si>
    <r>
      <rPr>
        <sz val="11"/>
        <rFont val="游ゴシック Medium"/>
        <family val="3"/>
        <charset val="128"/>
      </rPr>
      <t>基礎分野</t>
    </r>
    <r>
      <rPr>
        <sz val="11"/>
        <rFont val="Consolas"/>
        <family val="3"/>
      </rPr>
      <t xml:space="preserve"> </t>
    </r>
    <r>
      <rPr>
        <sz val="11"/>
        <rFont val="游ゴシック Medium"/>
        <family val="3"/>
        <charset val="128"/>
      </rPr>
      <t>臨床動物看護学</t>
    </r>
    <r>
      <rPr>
        <sz val="11"/>
        <rFont val="Consolas"/>
        <family val="3"/>
      </rPr>
      <t xml:space="preserve"> </t>
    </r>
    <r>
      <rPr>
        <sz val="11"/>
        <rFont val="游ゴシック Medium"/>
        <family val="3"/>
        <charset val="128"/>
      </rPr>
      <t>総論</t>
    </r>
    <rPh sb="0" eb="2">
      <t>キソ</t>
    </rPh>
    <rPh sb="2" eb="4">
      <t>ブンヤ</t>
    </rPh>
    <rPh sb="5" eb="7">
      <t>リンショウ</t>
    </rPh>
    <rPh sb="7" eb="9">
      <t>ドウブツ</t>
    </rPh>
    <rPh sb="9" eb="12">
      <t>カンゴガク</t>
    </rPh>
    <rPh sb="13" eb="15">
      <t>ソウロン</t>
    </rPh>
    <phoneticPr fontId="1"/>
  </si>
  <si>
    <r>
      <rPr>
        <sz val="11"/>
        <rFont val="游ゴシック Medium"/>
        <family val="3"/>
        <charset val="128"/>
      </rPr>
      <t>専門分野</t>
    </r>
    <r>
      <rPr>
        <sz val="11"/>
        <rFont val="Consolas"/>
        <family val="3"/>
      </rPr>
      <t xml:space="preserve"> </t>
    </r>
    <r>
      <rPr>
        <sz val="11"/>
        <rFont val="游ゴシック Medium"/>
        <family val="3"/>
        <charset val="128"/>
      </rPr>
      <t>臨床動物看護学</t>
    </r>
    <r>
      <rPr>
        <sz val="11"/>
        <rFont val="Consolas"/>
        <family val="3"/>
      </rPr>
      <t xml:space="preserve"> </t>
    </r>
    <r>
      <rPr>
        <sz val="11"/>
        <rFont val="游ゴシック Medium"/>
        <family val="3"/>
        <charset val="128"/>
      </rPr>
      <t>各論</t>
    </r>
    <rPh sb="0" eb="2">
      <t>センモン</t>
    </rPh>
    <rPh sb="2" eb="4">
      <t>ブンヤ</t>
    </rPh>
    <rPh sb="5" eb="7">
      <t>リンショウ</t>
    </rPh>
    <rPh sb="7" eb="9">
      <t>ドウブツ</t>
    </rPh>
    <rPh sb="9" eb="12">
      <t>カンゴガク</t>
    </rPh>
    <rPh sb="13" eb="15">
      <t>カクロン</t>
    </rPh>
    <phoneticPr fontId="1"/>
  </si>
  <si>
    <r>
      <rPr>
        <sz val="11"/>
        <rFont val="游ゴシック Medium"/>
        <family val="3"/>
        <charset val="128"/>
      </rPr>
      <t>谷口</t>
    </r>
    <r>
      <rPr>
        <sz val="11"/>
        <rFont val="Consolas"/>
        <family val="3"/>
      </rPr>
      <t xml:space="preserve"> </t>
    </r>
    <r>
      <rPr>
        <sz val="11"/>
        <rFont val="游ゴシック Medium"/>
        <family val="3"/>
        <charset val="128"/>
      </rPr>
      <t>明子</t>
    </r>
    <rPh sb="0" eb="2">
      <t>タニグチ</t>
    </rPh>
    <rPh sb="3" eb="5">
      <t>アキコ</t>
    </rPh>
    <phoneticPr fontId="1"/>
  </si>
  <si>
    <r>
      <rPr>
        <sz val="11"/>
        <rFont val="游ゴシック Medium"/>
        <family val="3"/>
        <charset val="128"/>
      </rPr>
      <t>動物看護学テキスト</t>
    </r>
    <rPh sb="0" eb="5">
      <t>ドウブツカンゴガク</t>
    </rPh>
    <phoneticPr fontId="1"/>
  </si>
  <si>
    <r>
      <rPr>
        <sz val="11"/>
        <rFont val="游ゴシック Medium"/>
        <family val="3"/>
        <charset val="128"/>
      </rPr>
      <t>ファームプレス</t>
    </r>
    <phoneticPr fontId="1"/>
  </si>
  <si>
    <r>
      <rPr>
        <sz val="11"/>
        <rFont val="游ゴシック Medium"/>
        <family val="3"/>
        <charset val="128"/>
      </rPr>
      <t>ペットフード協会</t>
    </r>
    <rPh sb="6" eb="8">
      <t>キョウカイ</t>
    </rPh>
    <phoneticPr fontId="1"/>
  </si>
  <si>
    <r>
      <rPr>
        <sz val="11"/>
        <rFont val="游ゴシック Medium"/>
        <family val="3"/>
        <charset val="128"/>
      </rPr>
      <t>一般社団法人</t>
    </r>
    <rPh sb="0" eb="6">
      <t>イッパンシャダンホウジン</t>
    </rPh>
    <phoneticPr fontId="1"/>
  </si>
  <si>
    <r>
      <rPr>
        <sz val="11"/>
        <rFont val="游ゴシック Medium"/>
        <family val="3"/>
        <charset val="128"/>
      </rPr>
      <t>ペットフード販売士認定講習会テキスト</t>
    </r>
    <rPh sb="6" eb="9">
      <t>ハンバイシ</t>
    </rPh>
    <rPh sb="9" eb="11">
      <t>ニンテイ</t>
    </rPh>
    <rPh sb="11" eb="14">
      <t>コウシュウカイ</t>
    </rPh>
    <phoneticPr fontId="1"/>
  </si>
  <si>
    <r>
      <rPr>
        <sz val="11"/>
        <rFont val="游ゴシック Medium"/>
        <family val="3"/>
        <charset val="128"/>
      </rPr>
      <t>左向</t>
    </r>
    <r>
      <rPr>
        <sz val="11"/>
        <rFont val="Consolas"/>
        <family val="3"/>
      </rPr>
      <t xml:space="preserve"> </t>
    </r>
    <r>
      <rPr>
        <sz val="11"/>
        <rFont val="游ゴシック Medium"/>
        <family val="3"/>
        <charset val="128"/>
      </rPr>
      <t>敏紀</t>
    </r>
    <r>
      <rPr>
        <sz val="11"/>
        <rFont val="Consolas"/>
        <family val="3"/>
      </rPr>
      <t>|</t>
    </r>
    <r>
      <rPr>
        <sz val="11"/>
        <rFont val="游ゴシック Medium"/>
        <family val="3"/>
        <charset val="128"/>
      </rPr>
      <t>石田</t>
    </r>
    <r>
      <rPr>
        <sz val="11"/>
        <rFont val="Consolas"/>
        <family val="3"/>
      </rPr>
      <t xml:space="preserve"> </t>
    </r>
    <r>
      <rPr>
        <sz val="11"/>
        <rFont val="游ゴシック Medium"/>
        <family val="3"/>
        <charset val="128"/>
      </rPr>
      <t>卓矢</t>
    </r>
    <r>
      <rPr>
        <sz val="11"/>
        <rFont val="Consolas"/>
        <family val="3"/>
      </rPr>
      <t>|</t>
    </r>
    <r>
      <rPr>
        <sz val="11"/>
        <rFont val="游ゴシック Medium"/>
        <family val="3"/>
        <charset val="128"/>
      </rPr>
      <t>太田</t>
    </r>
    <r>
      <rPr>
        <sz val="11"/>
        <rFont val="Consolas"/>
        <family val="3"/>
      </rPr>
      <t xml:space="preserve"> </t>
    </r>
    <r>
      <rPr>
        <sz val="11"/>
        <rFont val="游ゴシック Medium"/>
        <family val="3"/>
        <charset val="128"/>
      </rPr>
      <t>光明</t>
    </r>
    <rPh sb="0" eb="2">
      <t>ヒダリムキ</t>
    </rPh>
    <rPh sb="3" eb="5">
      <t>トシノリ</t>
    </rPh>
    <rPh sb="6" eb="8">
      <t>イシダ</t>
    </rPh>
    <rPh sb="9" eb="11">
      <t>タクヤ</t>
    </rPh>
    <rPh sb="12" eb="14">
      <t>オオタ</t>
    </rPh>
    <rPh sb="15" eb="17">
      <t>ミツアキ</t>
    </rPh>
    <phoneticPr fontId="1"/>
  </si>
  <si>
    <r>
      <rPr>
        <sz val="11"/>
        <rFont val="游ゴシック Medium"/>
        <family val="3"/>
        <charset val="128"/>
      </rPr>
      <t>監修・著</t>
    </r>
    <rPh sb="0" eb="2">
      <t>カンシュウ</t>
    </rPh>
    <rPh sb="3" eb="4">
      <t>チョ</t>
    </rPh>
    <phoneticPr fontId="1"/>
  </si>
  <si>
    <r>
      <rPr>
        <sz val="11"/>
        <rFont val="游ゴシック Medium"/>
        <family val="3"/>
        <charset val="128"/>
      </rPr>
      <t>ペットフード</t>
    </r>
    <r>
      <rPr>
        <sz val="11"/>
        <rFont val="Consolas"/>
        <family val="3"/>
      </rPr>
      <t>/</t>
    </r>
    <r>
      <rPr>
        <sz val="11"/>
        <rFont val="游ゴシック Medium"/>
        <family val="3"/>
        <charset val="128"/>
      </rPr>
      <t>ペットマナー検定公式テキスト</t>
    </r>
    <r>
      <rPr>
        <sz val="11"/>
        <rFont val="Consolas"/>
        <family val="3"/>
      </rPr>
      <t xml:space="preserve"> </t>
    </r>
    <r>
      <rPr>
        <sz val="11"/>
        <rFont val="游ゴシック Medium"/>
        <family val="3"/>
        <charset val="128"/>
      </rPr>
      <t>ペットと共に暮らすということ</t>
    </r>
    <rPh sb="13" eb="15">
      <t>ケンテイ</t>
    </rPh>
    <rPh sb="15" eb="17">
      <t>コウシキ</t>
    </rPh>
    <rPh sb="26" eb="27">
      <t>トモ</t>
    </rPh>
    <rPh sb="28" eb="29">
      <t>ク</t>
    </rPh>
    <phoneticPr fontId="1"/>
  </si>
  <si>
    <r>
      <rPr>
        <sz val="11"/>
        <rFont val="游ゴシック Medium"/>
        <family val="3"/>
        <charset val="128"/>
      </rPr>
      <t>ペットを愛するすべての人へ。</t>
    </r>
    <r>
      <rPr>
        <sz val="11"/>
        <rFont val="Consolas"/>
        <family val="3"/>
      </rPr>
      <t>|PET FOOD &amp; PET MANNERS</t>
    </r>
    <rPh sb="4" eb="5">
      <t>アイ</t>
    </rPh>
    <rPh sb="11" eb="12">
      <t>ヒト</t>
    </rPh>
    <phoneticPr fontId="1"/>
  </si>
  <si>
    <r>
      <t>Japan Animal Heakth Technicians Association|</t>
    </r>
    <r>
      <rPr>
        <sz val="11"/>
        <rFont val="游ゴシック Medium"/>
        <family val="3"/>
        <charset val="128"/>
      </rPr>
      <t>日本動物衛生看護師協会</t>
    </r>
    <rPh sb="44" eb="46">
      <t>ニホン</t>
    </rPh>
    <rPh sb="46" eb="48">
      <t>ドウブツ</t>
    </rPh>
    <rPh sb="48" eb="50">
      <t>エイセイ</t>
    </rPh>
    <rPh sb="50" eb="53">
      <t>カンゴシ</t>
    </rPh>
    <rPh sb="53" eb="55">
      <t>キョウカイ</t>
    </rPh>
    <phoneticPr fontId="1"/>
  </si>
  <si>
    <r>
      <t>NPO</t>
    </r>
    <r>
      <rPr>
        <sz val="11"/>
        <rFont val="游ゴシック Medium"/>
        <family val="3"/>
        <charset val="128"/>
      </rPr>
      <t>法人</t>
    </r>
    <r>
      <rPr>
        <sz val="11"/>
        <rFont val="Consolas"/>
        <family val="3"/>
      </rPr>
      <t xml:space="preserve"> JAHTA</t>
    </r>
    <rPh sb="3" eb="5">
      <t>ホウジン</t>
    </rPh>
    <phoneticPr fontId="1"/>
  </si>
  <si>
    <r>
      <t xml:space="preserve">Cat Grooming Specialist </t>
    </r>
    <r>
      <rPr>
        <sz val="11"/>
        <rFont val="游ゴシック Medium"/>
        <family val="3"/>
        <charset val="128"/>
      </rPr>
      <t>講習会テキスト</t>
    </r>
    <rPh sb="24" eb="27">
      <t>コウシュウカイ</t>
    </rPh>
    <phoneticPr fontId="1"/>
  </si>
  <si>
    <r>
      <rPr>
        <sz val="11"/>
        <rFont val="游ゴシック Medium"/>
        <family val="3"/>
        <charset val="128"/>
      </rPr>
      <t>動物の企画社</t>
    </r>
    <rPh sb="0" eb="2">
      <t>ドウブツ</t>
    </rPh>
    <rPh sb="3" eb="5">
      <t>キカク</t>
    </rPh>
    <rPh sb="5" eb="6">
      <t>シャ</t>
    </rPh>
    <phoneticPr fontId="1"/>
  </si>
  <si>
    <r>
      <rPr>
        <sz val="11"/>
        <rFont val="游ゴシック Medium"/>
        <family val="3"/>
        <charset val="128"/>
      </rPr>
      <t>廣崎</t>
    </r>
    <r>
      <rPr>
        <sz val="11"/>
        <rFont val="Consolas"/>
        <family val="3"/>
      </rPr>
      <t xml:space="preserve"> </t>
    </r>
    <r>
      <rPr>
        <sz val="11"/>
        <rFont val="游ゴシック Medium"/>
        <family val="3"/>
        <charset val="128"/>
      </rPr>
      <t>芳治</t>
    </r>
    <rPh sb="0" eb="2">
      <t>ヒロサキ</t>
    </rPh>
    <rPh sb="3" eb="5">
      <t>ヨシハル</t>
    </rPh>
    <phoneticPr fontId="1"/>
  </si>
  <si>
    <r>
      <rPr>
        <sz val="11"/>
        <rFont val="游ゴシック Medium"/>
        <family val="3"/>
        <charset val="128"/>
      </rPr>
      <t>監修</t>
    </r>
    <r>
      <rPr>
        <sz val="11"/>
        <rFont val="Consolas"/>
        <family val="3"/>
      </rPr>
      <t>|</t>
    </r>
    <r>
      <rPr>
        <sz val="11"/>
        <rFont val="游ゴシック Medium"/>
        <family val="3"/>
        <charset val="128"/>
      </rPr>
      <t>前</t>
    </r>
    <r>
      <rPr>
        <sz val="11"/>
        <rFont val="Consolas"/>
        <family val="3"/>
      </rPr>
      <t xml:space="preserve"> </t>
    </r>
    <r>
      <rPr>
        <sz val="11"/>
        <rFont val="游ゴシック Medium"/>
        <family val="3"/>
        <charset val="128"/>
      </rPr>
      <t>江ノ島水族館館長</t>
    </r>
    <rPh sb="0" eb="2">
      <t>カンシュウ</t>
    </rPh>
    <rPh sb="3" eb="4">
      <t>ゼン</t>
    </rPh>
    <rPh sb="5" eb="6">
      <t>エ</t>
    </rPh>
    <rPh sb="7" eb="11">
      <t>シマスイゾクカン</t>
    </rPh>
    <rPh sb="11" eb="13">
      <t>カンチョウ</t>
    </rPh>
    <phoneticPr fontId="1"/>
  </si>
  <si>
    <r>
      <rPr>
        <sz val="11"/>
        <rFont val="游ゴシック Medium"/>
        <family val="3"/>
        <charset val="128"/>
      </rPr>
      <t>観賞魚飼育・管理士ハンドブック</t>
    </r>
    <r>
      <rPr>
        <sz val="11"/>
        <rFont val="Consolas"/>
        <family val="3"/>
      </rPr>
      <t xml:space="preserve"> I</t>
    </r>
    <rPh sb="0" eb="3">
      <t>カンショウギョ</t>
    </rPh>
    <rPh sb="3" eb="5">
      <t>シイク</t>
    </rPh>
    <rPh sb="6" eb="9">
      <t>カンリシ</t>
    </rPh>
    <phoneticPr fontId="1"/>
  </si>
  <si>
    <r>
      <rPr>
        <sz val="11"/>
        <rFont val="游ゴシック Medium"/>
        <family val="3"/>
        <charset val="128"/>
      </rPr>
      <t>観賞魚の飼育管理学</t>
    </r>
    <r>
      <rPr>
        <sz val="11"/>
        <rFont val="Consolas"/>
        <family val="3"/>
      </rPr>
      <t>|</t>
    </r>
    <r>
      <rPr>
        <sz val="11"/>
        <rFont val="游ゴシック Medium"/>
        <family val="3"/>
        <charset val="128"/>
      </rPr>
      <t>観賞魚の基礎魚医学</t>
    </r>
    <r>
      <rPr>
        <sz val="11"/>
        <rFont val="Consolas"/>
        <family val="3"/>
      </rPr>
      <t>|</t>
    </r>
    <r>
      <rPr>
        <sz val="11"/>
        <rFont val="游ゴシック Medium"/>
        <family val="3"/>
        <charset val="128"/>
      </rPr>
      <t>基礎魚類学</t>
    </r>
    <r>
      <rPr>
        <sz val="11"/>
        <rFont val="Consolas"/>
        <family val="3"/>
      </rPr>
      <t>|</t>
    </r>
    <r>
      <rPr>
        <sz val="11"/>
        <rFont val="游ゴシック Medium"/>
        <family val="3"/>
        <charset val="128"/>
      </rPr>
      <t>第</t>
    </r>
    <r>
      <rPr>
        <sz val="11"/>
        <rFont val="Consolas"/>
        <family val="3"/>
      </rPr>
      <t>2</t>
    </r>
    <r>
      <rPr>
        <sz val="11"/>
        <rFont val="游ゴシック Medium"/>
        <family val="3"/>
        <charset val="128"/>
      </rPr>
      <t>版第</t>
    </r>
    <r>
      <rPr>
        <sz val="11"/>
        <rFont val="Consolas"/>
        <family val="3"/>
      </rPr>
      <t>2</t>
    </r>
    <r>
      <rPr>
        <sz val="11"/>
        <rFont val="游ゴシック Medium"/>
        <family val="3"/>
        <charset val="128"/>
      </rPr>
      <t>刷</t>
    </r>
    <rPh sb="0" eb="3">
      <t>カンショウギョ</t>
    </rPh>
    <rPh sb="4" eb="8">
      <t>シイクカンリ</t>
    </rPh>
    <rPh sb="8" eb="9">
      <t>ガク</t>
    </rPh>
    <rPh sb="10" eb="13">
      <t>カンショウギョ</t>
    </rPh>
    <rPh sb="14" eb="16">
      <t>キソ</t>
    </rPh>
    <rPh sb="16" eb="17">
      <t>ギョ</t>
    </rPh>
    <rPh sb="17" eb="19">
      <t>イガク</t>
    </rPh>
    <rPh sb="20" eb="22">
      <t>キソ</t>
    </rPh>
    <rPh sb="22" eb="25">
      <t>ギョルイガク</t>
    </rPh>
    <rPh sb="26" eb="27">
      <t>ダイ</t>
    </rPh>
    <rPh sb="28" eb="29">
      <t>ハン</t>
    </rPh>
    <rPh sb="29" eb="30">
      <t>ダイ</t>
    </rPh>
    <rPh sb="31" eb="32">
      <t>サツ</t>
    </rPh>
    <phoneticPr fontId="1"/>
  </si>
  <si>
    <r>
      <t>Japan Ornamental Fish Association|</t>
    </r>
    <r>
      <rPr>
        <sz val="11"/>
        <rFont val="游ゴシック Medium"/>
        <family val="3"/>
        <charset val="128"/>
      </rPr>
      <t>日本観賞魚振興事業協同組合</t>
    </r>
    <rPh sb="34" eb="36">
      <t>ニホン</t>
    </rPh>
    <rPh sb="36" eb="39">
      <t>カンショウギョ</t>
    </rPh>
    <rPh sb="39" eb="41">
      <t>シンコウ</t>
    </rPh>
    <rPh sb="41" eb="47">
      <t>ジギョウキョウドウクミアイ</t>
    </rPh>
    <phoneticPr fontId="1"/>
  </si>
  <si>
    <r>
      <rPr>
        <sz val="11"/>
        <rFont val="游ゴシック Medium"/>
        <family val="3"/>
        <charset val="128"/>
      </rPr>
      <t>高野</t>
    </r>
    <r>
      <rPr>
        <sz val="11"/>
        <rFont val="Consolas"/>
        <family val="3"/>
      </rPr>
      <t xml:space="preserve"> </t>
    </r>
    <r>
      <rPr>
        <sz val="11"/>
        <rFont val="游ゴシック Medium"/>
        <family val="3"/>
        <charset val="128"/>
      </rPr>
      <t>八重子・高野</t>
    </r>
    <r>
      <rPr>
        <sz val="11"/>
        <rFont val="Consolas"/>
        <family val="3"/>
      </rPr>
      <t xml:space="preserve"> </t>
    </r>
    <r>
      <rPr>
        <sz val="11"/>
        <rFont val="游ゴシック Medium"/>
        <family val="3"/>
        <charset val="128"/>
      </rPr>
      <t>賢治</t>
    </r>
    <rPh sb="0" eb="2">
      <t>タカノ</t>
    </rPh>
    <rPh sb="3" eb="6">
      <t>ヤエコ</t>
    </rPh>
    <rPh sb="7" eb="9">
      <t>タカノ</t>
    </rPh>
    <rPh sb="10" eb="12">
      <t>ケンジ</t>
    </rPh>
    <phoneticPr fontId="1"/>
  </si>
  <si>
    <r>
      <rPr>
        <sz val="11"/>
        <rFont val="游ゴシック Medium"/>
        <family val="3"/>
        <charset val="128"/>
      </rPr>
      <t>シャナン</t>
    </r>
    <phoneticPr fontId="1"/>
  </si>
  <si>
    <r>
      <rPr>
        <sz val="11"/>
        <rFont val="游ゴシック Medium"/>
        <family val="3"/>
        <charset val="128"/>
      </rPr>
      <t>写真</t>
    </r>
    <rPh sb="0" eb="2">
      <t>シャシン</t>
    </rPh>
    <phoneticPr fontId="1"/>
  </si>
  <si>
    <r>
      <t>Textbook of the Cat|</t>
    </r>
    <r>
      <rPr>
        <sz val="11"/>
        <rFont val="游ゴシック Medium"/>
        <family val="3"/>
        <charset val="128"/>
      </rPr>
      <t>猫の教科書</t>
    </r>
    <r>
      <rPr>
        <sz val="11"/>
        <rFont val="Consolas"/>
        <family val="3"/>
      </rPr>
      <t xml:space="preserve"> </t>
    </r>
    <r>
      <rPr>
        <sz val="11"/>
        <rFont val="游ゴシック Medium"/>
        <family val="3"/>
        <charset val="128"/>
      </rPr>
      <t>改訂版</t>
    </r>
    <rPh sb="20" eb="21">
      <t>ネコ</t>
    </rPh>
    <rPh sb="22" eb="25">
      <t>キョウカショ</t>
    </rPh>
    <rPh sb="26" eb="29">
      <t>カイテイバン</t>
    </rPh>
    <phoneticPr fontId="1"/>
  </si>
  <si>
    <r>
      <rPr>
        <sz val="11"/>
        <rFont val="游ゴシック Medium"/>
        <family val="3"/>
        <charset val="128"/>
      </rPr>
      <t>緑書房</t>
    </r>
    <rPh sb="0" eb="3">
      <t>ミドリショボウ</t>
    </rPh>
    <phoneticPr fontId="1"/>
  </si>
  <si>
    <r>
      <rPr>
        <sz val="11"/>
        <rFont val="游ゴシック Medium"/>
        <family val="3"/>
        <charset val="128"/>
      </rPr>
      <t>日本獣医解剖学会</t>
    </r>
    <rPh sb="0" eb="8">
      <t>ニホンジュウイカイボウガクカイ</t>
    </rPh>
    <phoneticPr fontId="1"/>
  </si>
  <si>
    <r>
      <rPr>
        <sz val="11"/>
        <rFont val="游ゴシック Medium"/>
        <family val="3"/>
        <charset val="128"/>
      </rPr>
      <t>犬の解剖カラーリングアトラス</t>
    </r>
    <rPh sb="0" eb="1">
      <t>イヌ</t>
    </rPh>
    <rPh sb="2" eb="4">
      <t>カイボウ</t>
    </rPh>
    <phoneticPr fontId="1"/>
  </si>
  <si>
    <r>
      <rPr>
        <sz val="11"/>
        <rFont val="游ゴシック Medium"/>
        <family val="3"/>
        <charset val="128"/>
      </rPr>
      <t>学窓社</t>
    </r>
    <rPh sb="0" eb="2">
      <t>ガクソウ</t>
    </rPh>
    <rPh sb="2" eb="3">
      <t>シャ</t>
    </rPh>
    <phoneticPr fontId="1"/>
  </si>
  <si>
    <r>
      <rPr>
        <sz val="11"/>
        <rFont val="游ゴシック Medium"/>
        <family val="3"/>
        <charset val="128"/>
      </rPr>
      <t>大宮</t>
    </r>
    <r>
      <rPr>
        <sz val="11"/>
        <rFont val="Consolas"/>
        <family val="3"/>
      </rPr>
      <t xml:space="preserve"> </t>
    </r>
    <r>
      <rPr>
        <sz val="11"/>
        <rFont val="游ゴシック Medium"/>
        <family val="3"/>
        <charset val="128"/>
      </rPr>
      <t>登</t>
    </r>
    <rPh sb="0" eb="2">
      <t>オオミヤ</t>
    </rPh>
    <rPh sb="3" eb="4">
      <t>ノボル</t>
    </rPh>
    <phoneticPr fontId="1"/>
  </si>
  <si>
    <r>
      <rPr>
        <sz val="11"/>
        <rFont val="游ゴシック Medium"/>
        <family val="3"/>
        <charset val="128"/>
      </rPr>
      <t>監修</t>
    </r>
    <r>
      <rPr>
        <sz val="11"/>
        <rFont val="Consolas"/>
        <family val="3"/>
      </rPr>
      <t>|</t>
    </r>
    <r>
      <rPr>
        <sz val="11"/>
        <rFont val="游ゴシック Medium"/>
        <family val="3"/>
        <charset val="128"/>
      </rPr>
      <t>高崎経済大学教授</t>
    </r>
    <r>
      <rPr>
        <sz val="11"/>
        <rFont val="Consolas"/>
        <family val="3"/>
      </rPr>
      <t>|</t>
    </r>
    <r>
      <rPr>
        <sz val="11"/>
        <rFont val="游ゴシック Medium"/>
        <family val="3"/>
        <charset val="128"/>
      </rPr>
      <t>日本ビジネス実務学会名誉顧問</t>
    </r>
    <r>
      <rPr>
        <sz val="11"/>
        <rFont val="Consolas"/>
        <family val="3"/>
      </rPr>
      <t>|</t>
    </r>
    <r>
      <rPr>
        <sz val="11"/>
        <rFont val="游ゴシック Medium"/>
        <family val="3"/>
        <charset val="128"/>
      </rPr>
      <t>地域活性学会長</t>
    </r>
    <rPh sb="0" eb="2">
      <t>カンシュウ</t>
    </rPh>
    <rPh sb="3" eb="9">
      <t>タカサキケイザイダイガク</t>
    </rPh>
    <rPh sb="9" eb="11">
      <t>キョウジュ</t>
    </rPh>
    <rPh sb="12" eb="14">
      <t>ニホン</t>
    </rPh>
    <rPh sb="18" eb="20">
      <t>ジツム</t>
    </rPh>
    <rPh sb="20" eb="22">
      <t>ガッカイ</t>
    </rPh>
    <rPh sb="22" eb="26">
      <t>メイヨコモン</t>
    </rPh>
    <rPh sb="27" eb="31">
      <t>チイキカッセイ</t>
    </rPh>
    <rPh sb="31" eb="32">
      <t>ガク</t>
    </rPh>
    <rPh sb="32" eb="34">
      <t>カイチョウ</t>
    </rPh>
    <phoneticPr fontId="1"/>
  </si>
  <si>
    <r>
      <rPr>
        <sz val="11"/>
        <rFont val="游ゴシック Medium"/>
        <family val="3"/>
        <charset val="128"/>
      </rPr>
      <t>キャリアデザイン講座</t>
    </r>
    <r>
      <rPr>
        <sz val="11"/>
        <rFont val="Consolas"/>
        <family val="3"/>
      </rPr>
      <t>|</t>
    </r>
    <r>
      <rPr>
        <sz val="11"/>
        <rFont val="游ゴシック Medium"/>
        <family val="3"/>
        <charset val="128"/>
      </rPr>
      <t>理論と実践で自己決定力を伸ばす</t>
    </r>
    <rPh sb="8" eb="10">
      <t>コウザ</t>
    </rPh>
    <phoneticPr fontId="1"/>
  </si>
  <si>
    <r>
      <rPr>
        <sz val="11"/>
        <rFont val="游ゴシック Medium"/>
        <family val="3"/>
        <charset val="128"/>
      </rPr>
      <t>第</t>
    </r>
    <r>
      <rPr>
        <sz val="11"/>
        <rFont val="Consolas"/>
        <family val="3"/>
      </rPr>
      <t>2</t>
    </r>
    <r>
      <rPr>
        <sz val="11"/>
        <rFont val="游ゴシック Medium"/>
        <family val="3"/>
        <charset val="128"/>
      </rPr>
      <t>版</t>
    </r>
    <rPh sb="0" eb="1">
      <t>ダイ</t>
    </rPh>
    <rPh sb="2" eb="3">
      <t>ハン</t>
    </rPh>
    <phoneticPr fontId="1"/>
  </si>
  <si>
    <r>
      <rPr>
        <sz val="11"/>
        <rFont val="游ゴシック Medium"/>
        <family val="3"/>
        <charset val="128"/>
      </rPr>
      <t>日経</t>
    </r>
    <r>
      <rPr>
        <sz val="11"/>
        <rFont val="Consolas"/>
        <family val="3"/>
      </rPr>
      <t>BP</t>
    </r>
    <rPh sb="0" eb="2">
      <t>ニッケイ</t>
    </rPh>
    <phoneticPr fontId="1"/>
  </si>
  <si>
    <r>
      <rPr>
        <sz val="11"/>
        <rFont val="游ゴシック Medium"/>
        <family val="3"/>
        <charset val="128"/>
      </rPr>
      <t>動物臨床に役立つやさしい免疫学</t>
    </r>
    <rPh sb="0" eb="2">
      <t>ドウブツ</t>
    </rPh>
    <rPh sb="2" eb="4">
      <t>リンショウ</t>
    </rPh>
    <rPh sb="5" eb="7">
      <t>ヤクダ</t>
    </rPh>
    <rPh sb="12" eb="15">
      <t>メンエキガク</t>
    </rPh>
    <phoneticPr fontId="1"/>
  </si>
  <si>
    <r>
      <rPr>
        <sz val="11"/>
        <rFont val="游ゴシック Medium"/>
        <family val="3"/>
        <charset val="128"/>
      </rPr>
      <t>阿部</t>
    </r>
    <r>
      <rPr>
        <sz val="11"/>
        <rFont val="Consolas"/>
        <family val="3"/>
      </rPr>
      <t xml:space="preserve"> </t>
    </r>
    <r>
      <rPr>
        <sz val="11"/>
        <rFont val="游ゴシック Medium"/>
        <family val="3"/>
        <charset val="128"/>
      </rPr>
      <t>又信</t>
    </r>
    <rPh sb="0" eb="2">
      <t>アベ</t>
    </rPh>
    <rPh sb="3" eb="5">
      <t>マタノブ</t>
    </rPh>
    <phoneticPr fontId="1"/>
  </si>
  <si>
    <r>
      <rPr>
        <sz val="11"/>
        <rFont val="游ゴシック Medium"/>
        <family val="3"/>
        <charset val="128"/>
      </rPr>
      <t>日本小動物獣医師会</t>
    </r>
    <r>
      <rPr>
        <sz val="11"/>
        <rFont val="Consolas"/>
        <family val="3"/>
      </rPr>
      <t xml:space="preserve"> </t>
    </r>
    <r>
      <rPr>
        <sz val="11"/>
        <rFont val="游ゴシック Medium"/>
        <family val="3"/>
        <charset val="128"/>
      </rPr>
      <t>動物看護師委員会</t>
    </r>
    <rPh sb="0" eb="2">
      <t>ニホン</t>
    </rPh>
    <rPh sb="2" eb="5">
      <t>ショウドウブツ</t>
    </rPh>
    <rPh sb="5" eb="9">
      <t>ジュウイシカイ</t>
    </rPh>
    <rPh sb="10" eb="15">
      <t>ドウブツカンゴシ</t>
    </rPh>
    <rPh sb="15" eb="18">
      <t>イインカイ</t>
    </rPh>
    <phoneticPr fontId="1"/>
  </si>
  <si>
    <r>
      <rPr>
        <sz val="11"/>
        <rFont val="游ゴシック Medium"/>
        <family val="3"/>
        <charset val="128"/>
      </rPr>
      <t>動物看護のための</t>
    </r>
    <r>
      <rPr>
        <sz val="11"/>
        <rFont val="Consolas"/>
        <family val="3"/>
      </rPr>
      <t xml:space="preserve"> </t>
    </r>
    <r>
      <rPr>
        <sz val="11"/>
        <rFont val="游ゴシック Medium"/>
        <family val="3"/>
        <charset val="128"/>
      </rPr>
      <t>小動物栄養学</t>
    </r>
    <rPh sb="0" eb="2">
      <t>ドウブツ</t>
    </rPh>
    <rPh sb="2" eb="4">
      <t>カンゴ</t>
    </rPh>
    <rPh sb="9" eb="12">
      <t>ショウドウブツ</t>
    </rPh>
    <rPh sb="12" eb="15">
      <t>エイヨウガク</t>
    </rPh>
    <phoneticPr fontId="1"/>
  </si>
  <si>
    <r>
      <rPr>
        <sz val="11"/>
        <rFont val="游ゴシック Medium"/>
        <family val="3"/>
        <charset val="128"/>
      </rPr>
      <t>動物看護学全書</t>
    </r>
    <r>
      <rPr>
        <sz val="11"/>
        <rFont val="Consolas"/>
        <family val="3"/>
      </rPr>
      <t xml:space="preserve"> 08 </t>
    </r>
    <r>
      <rPr>
        <sz val="11"/>
        <rFont val="游ゴシック Medium"/>
        <family val="3"/>
        <charset val="128"/>
      </rPr>
      <t>改訂</t>
    </r>
    <r>
      <rPr>
        <sz val="11"/>
        <rFont val="Consolas"/>
        <family val="3"/>
      </rPr>
      <t>3</t>
    </r>
    <r>
      <rPr>
        <sz val="11"/>
        <rFont val="游ゴシック Medium"/>
        <family val="3"/>
        <charset val="128"/>
      </rPr>
      <t>版</t>
    </r>
    <rPh sb="0" eb="5">
      <t>ドウブツカンゴガク</t>
    </rPh>
    <rPh sb="5" eb="7">
      <t>ゼンショ</t>
    </rPh>
    <rPh sb="11" eb="13">
      <t>カイテイ</t>
    </rPh>
    <rPh sb="14" eb="15">
      <t>バン</t>
    </rPh>
    <phoneticPr fontId="1"/>
  </si>
  <si>
    <r>
      <rPr>
        <sz val="11"/>
        <rFont val="游ゴシック Medium"/>
        <family val="3"/>
        <charset val="128"/>
      </rPr>
      <t>笹野</t>
    </r>
    <r>
      <rPr>
        <sz val="11"/>
        <rFont val="Consolas"/>
        <family val="3"/>
      </rPr>
      <t xml:space="preserve"> </t>
    </r>
    <r>
      <rPr>
        <sz val="11"/>
        <rFont val="游ゴシック Medium"/>
        <family val="3"/>
        <charset val="128"/>
      </rPr>
      <t>公伸</t>
    </r>
    <r>
      <rPr>
        <sz val="11"/>
        <rFont val="Consolas"/>
        <family val="3"/>
      </rPr>
      <t>|</t>
    </r>
    <r>
      <rPr>
        <sz val="11"/>
        <rFont val="游ゴシック Medium"/>
        <family val="3"/>
        <charset val="128"/>
      </rPr>
      <t>岡田</t>
    </r>
    <r>
      <rPr>
        <sz val="11"/>
        <rFont val="Consolas"/>
        <family val="3"/>
      </rPr>
      <t xml:space="preserve"> </t>
    </r>
    <r>
      <rPr>
        <sz val="11"/>
        <rFont val="游ゴシック Medium"/>
        <family val="3"/>
        <charset val="128"/>
      </rPr>
      <t>保典</t>
    </r>
    <r>
      <rPr>
        <sz val="11"/>
        <rFont val="Consolas"/>
        <family val="3"/>
      </rPr>
      <t>|</t>
    </r>
    <r>
      <rPr>
        <sz val="11"/>
        <rFont val="游ゴシック Medium"/>
        <family val="3"/>
        <charset val="128"/>
      </rPr>
      <t>安井</t>
    </r>
    <r>
      <rPr>
        <sz val="11"/>
        <rFont val="Consolas"/>
        <family val="3"/>
      </rPr>
      <t xml:space="preserve"> </t>
    </r>
    <r>
      <rPr>
        <sz val="11"/>
        <rFont val="游ゴシック Medium"/>
        <family val="3"/>
        <charset val="128"/>
      </rPr>
      <t>弥</t>
    </r>
    <rPh sb="0" eb="2">
      <t>ササノ</t>
    </rPh>
    <rPh sb="3" eb="5">
      <t>キミノブ</t>
    </rPh>
    <rPh sb="6" eb="8">
      <t>オカダ</t>
    </rPh>
    <rPh sb="9" eb="11">
      <t>ヤスノリ</t>
    </rPh>
    <rPh sb="12" eb="14">
      <t>ヤスイ</t>
    </rPh>
    <rPh sb="15" eb="16">
      <t>ワタル</t>
    </rPh>
    <phoneticPr fontId="1"/>
  </si>
  <si>
    <r>
      <rPr>
        <sz val="11"/>
        <rFont val="游ゴシック Medium"/>
        <family val="3"/>
        <charset val="128"/>
      </rPr>
      <t>東北大学教授</t>
    </r>
    <r>
      <rPr>
        <sz val="11"/>
        <rFont val="Consolas"/>
        <family val="3"/>
      </rPr>
      <t>|</t>
    </r>
    <r>
      <rPr>
        <sz val="11"/>
        <rFont val="游ゴシック Medium"/>
        <family val="3"/>
        <charset val="128"/>
      </rPr>
      <t>慶應義塾大学教授</t>
    </r>
    <r>
      <rPr>
        <sz val="11"/>
        <rFont val="Consolas"/>
        <family val="3"/>
      </rPr>
      <t>|</t>
    </r>
    <r>
      <rPr>
        <sz val="11"/>
        <rFont val="游ゴシック Medium"/>
        <family val="3"/>
        <charset val="128"/>
      </rPr>
      <t>広島大学教授</t>
    </r>
    <rPh sb="0" eb="4">
      <t>トウホクダイガク</t>
    </rPh>
    <rPh sb="4" eb="6">
      <t>キョウジュ</t>
    </rPh>
    <rPh sb="7" eb="13">
      <t>ケイオウギジュクダイガク</t>
    </rPh>
    <rPh sb="13" eb="15">
      <t>キョウジュ</t>
    </rPh>
    <rPh sb="16" eb="18">
      <t>ヒロシマ</t>
    </rPh>
    <rPh sb="18" eb="22">
      <t>ダイガクキョウジュ</t>
    </rPh>
    <phoneticPr fontId="1"/>
  </si>
  <si>
    <r>
      <rPr>
        <sz val="11"/>
        <rFont val="游ゴシック Medium"/>
        <family val="3"/>
        <charset val="128"/>
      </rPr>
      <t>シンプル病理学</t>
    </r>
    <rPh sb="4" eb="7">
      <t>ビョウリガク</t>
    </rPh>
    <phoneticPr fontId="1"/>
  </si>
  <si>
    <r>
      <rPr>
        <sz val="11"/>
        <rFont val="游ゴシック Medium"/>
        <family val="3"/>
        <charset val="128"/>
      </rPr>
      <t>改訂第</t>
    </r>
    <r>
      <rPr>
        <sz val="11"/>
        <rFont val="Consolas"/>
        <family val="3"/>
      </rPr>
      <t>7</t>
    </r>
    <r>
      <rPr>
        <sz val="11"/>
        <rFont val="游ゴシック Medium"/>
        <family val="3"/>
        <charset val="128"/>
      </rPr>
      <t>版</t>
    </r>
    <rPh sb="0" eb="2">
      <t>カイテイ</t>
    </rPh>
    <rPh sb="2" eb="3">
      <t>ダイ</t>
    </rPh>
    <rPh sb="4" eb="5">
      <t>ハン</t>
    </rPh>
    <phoneticPr fontId="1"/>
  </si>
  <si>
    <r>
      <rPr>
        <sz val="11"/>
        <rFont val="游ゴシック Medium"/>
        <family val="3"/>
        <charset val="128"/>
      </rPr>
      <t>南江堂</t>
    </r>
    <rPh sb="0" eb="3">
      <t>ナンコウドウ</t>
    </rPh>
    <phoneticPr fontId="1"/>
  </si>
  <si>
    <r>
      <rPr>
        <sz val="11"/>
        <rFont val="游ゴシック Medium"/>
        <family val="3"/>
        <charset val="128"/>
      </rPr>
      <t>田中</t>
    </r>
    <r>
      <rPr>
        <sz val="11"/>
        <rFont val="Consolas"/>
        <family val="3"/>
      </rPr>
      <t xml:space="preserve"> </t>
    </r>
    <r>
      <rPr>
        <sz val="11"/>
        <rFont val="游ゴシック Medium"/>
        <family val="3"/>
        <charset val="128"/>
      </rPr>
      <t>一栄</t>
    </r>
    <rPh sb="0" eb="2">
      <t>タナカ</t>
    </rPh>
    <rPh sb="3" eb="5">
      <t>カズエ</t>
    </rPh>
    <phoneticPr fontId="1"/>
  </si>
  <si>
    <r>
      <rPr>
        <sz val="11"/>
        <rFont val="游ゴシック Medium"/>
        <family val="3"/>
        <charset val="128"/>
      </rPr>
      <t>天野</t>
    </r>
    <r>
      <rPr>
        <sz val="11"/>
        <rFont val="Consolas"/>
        <family val="3"/>
      </rPr>
      <t xml:space="preserve"> </t>
    </r>
    <r>
      <rPr>
        <sz val="11"/>
        <rFont val="游ゴシック Medium"/>
        <family val="3"/>
        <charset val="128"/>
      </rPr>
      <t>卓</t>
    </r>
    <r>
      <rPr>
        <sz val="11"/>
        <rFont val="Consolas"/>
        <family val="3"/>
      </rPr>
      <t>|</t>
    </r>
    <r>
      <rPr>
        <sz val="11"/>
        <rFont val="游ゴシック Medium"/>
        <family val="3"/>
        <charset val="128"/>
      </rPr>
      <t>野村</t>
    </r>
    <r>
      <rPr>
        <sz val="11"/>
        <rFont val="Consolas"/>
        <family val="3"/>
      </rPr>
      <t xml:space="preserve"> </t>
    </r>
    <r>
      <rPr>
        <sz val="11"/>
        <rFont val="游ゴシック Medium"/>
        <family val="3"/>
        <charset val="128"/>
      </rPr>
      <t>こう</t>
    </r>
    <r>
      <rPr>
        <sz val="11"/>
        <rFont val="Consolas"/>
        <family val="3"/>
      </rPr>
      <t>|</t>
    </r>
    <r>
      <rPr>
        <sz val="11"/>
        <rFont val="游ゴシック Medium"/>
        <family val="3"/>
        <charset val="128"/>
      </rPr>
      <t>横濱</t>
    </r>
    <r>
      <rPr>
        <sz val="11"/>
        <rFont val="Consolas"/>
        <family val="3"/>
      </rPr>
      <t xml:space="preserve"> </t>
    </r>
    <r>
      <rPr>
        <sz val="11"/>
        <rFont val="游ゴシック Medium"/>
        <family val="3"/>
        <charset val="128"/>
      </rPr>
      <t>道成</t>
    </r>
    <r>
      <rPr>
        <sz val="11"/>
        <rFont val="Consolas"/>
        <family val="3"/>
      </rPr>
      <t>|</t>
    </r>
    <r>
      <rPr>
        <sz val="11"/>
        <rFont val="游ゴシック Medium"/>
        <family val="3"/>
        <charset val="128"/>
      </rPr>
      <t>増田</t>
    </r>
    <r>
      <rPr>
        <sz val="11"/>
        <rFont val="Consolas"/>
        <family val="3"/>
      </rPr>
      <t xml:space="preserve"> </t>
    </r>
    <r>
      <rPr>
        <sz val="11"/>
        <rFont val="游ゴシック Medium"/>
        <family val="3"/>
        <charset val="128"/>
      </rPr>
      <t>裕二</t>
    </r>
    <rPh sb="0" eb="2">
      <t>アマノ</t>
    </rPh>
    <rPh sb="3" eb="4">
      <t>タカシ</t>
    </rPh>
    <rPh sb="5" eb="7">
      <t>ノムラ</t>
    </rPh>
    <rPh sb="11" eb="13">
      <t>ヨコハマ</t>
    </rPh>
    <rPh sb="14" eb="16">
      <t>ミチナリ</t>
    </rPh>
    <rPh sb="17" eb="19">
      <t>マスダ</t>
    </rPh>
    <rPh sb="20" eb="22">
      <t>ユウジ</t>
    </rPh>
    <phoneticPr fontId="1"/>
  </si>
  <si>
    <r>
      <rPr>
        <sz val="11"/>
        <rFont val="游ゴシック Medium"/>
        <family val="3"/>
        <charset val="128"/>
      </rPr>
      <t>編著</t>
    </r>
    <r>
      <rPr>
        <sz val="11"/>
        <rFont val="Consolas"/>
        <family val="3"/>
      </rPr>
      <t>|</t>
    </r>
    <r>
      <rPr>
        <sz val="11"/>
        <rFont val="游ゴシック Medium"/>
        <family val="3"/>
        <charset val="128"/>
      </rPr>
      <t>編著</t>
    </r>
    <r>
      <rPr>
        <sz val="11"/>
        <rFont val="Consolas"/>
        <family val="3"/>
      </rPr>
      <t>|</t>
    </r>
    <r>
      <rPr>
        <sz val="11"/>
        <rFont val="游ゴシック Medium"/>
        <family val="3"/>
        <charset val="128"/>
      </rPr>
      <t>編著</t>
    </r>
    <r>
      <rPr>
        <sz val="11"/>
        <rFont val="Consolas"/>
        <family val="3"/>
      </rPr>
      <t>|</t>
    </r>
    <r>
      <rPr>
        <sz val="11"/>
        <rFont val="游ゴシック Medium"/>
        <family val="3"/>
        <charset val="128"/>
      </rPr>
      <t>カバーデザイン</t>
    </r>
    <rPh sb="0" eb="2">
      <t>ヘンチョ</t>
    </rPh>
    <phoneticPr fontId="1"/>
  </si>
  <si>
    <r>
      <rPr>
        <sz val="11"/>
        <rFont val="游ゴシック Medium"/>
        <family val="3"/>
        <charset val="128"/>
      </rPr>
      <t>計量生物学</t>
    </r>
    <r>
      <rPr>
        <sz val="11"/>
        <rFont val="Consolas"/>
        <family val="3"/>
      </rPr>
      <t xml:space="preserve"> </t>
    </r>
    <r>
      <rPr>
        <sz val="11"/>
        <rFont val="游ゴシック Medium"/>
        <family val="3"/>
        <charset val="128"/>
      </rPr>
      <t>生物統計の基礎と演習</t>
    </r>
    <rPh sb="0" eb="2">
      <t>ケイリョウ</t>
    </rPh>
    <rPh sb="2" eb="5">
      <t>セイブツガク</t>
    </rPh>
    <rPh sb="6" eb="8">
      <t>セイブツ</t>
    </rPh>
    <rPh sb="8" eb="10">
      <t>トウケイ</t>
    </rPh>
    <rPh sb="11" eb="13">
      <t>キソ</t>
    </rPh>
    <rPh sb="14" eb="16">
      <t>エンシュウ</t>
    </rPh>
    <phoneticPr fontId="1"/>
  </si>
  <si>
    <r>
      <rPr>
        <sz val="11"/>
        <rFont val="游ゴシック Medium"/>
        <family val="3"/>
        <charset val="128"/>
      </rPr>
      <t>三共出版</t>
    </r>
    <rPh sb="0" eb="2">
      <t>サンキョウ</t>
    </rPh>
    <rPh sb="2" eb="4">
      <t>シュッパン</t>
    </rPh>
    <phoneticPr fontId="1"/>
  </si>
  <si>
    <r>
      <t>AHT</t>
    </r>
    <r>
      <rPr>
        <sz val="11"/>
        <rFont val="游ゴシック Medium"/>
        <family val="3"/>
        <charset val="128"/>
      </rPr>
      <t>臨床実習研究会</t>
    </r>
    <rPh sb="3" eb="5">
      <t>リンショウ</t>
    </rPh>
    <rPh sb="5" eb="7">
      <t>ジッシュウ</t>
    </rPh>
    <rPh sb="7" eb="10">
      <t>ケンキュウカイ</t>
    </rPh>
    <phoneticPr fontId="1"/>
  </si>
  <si>
    <r>
      <t>AHT</t>
    </r>
    <r>
      <rPr>
        <sz val="11"/>
        <rFont val="游ゴシック Medium"/>
        <family val="3"/>
        <charset val="128"/>
      </rPr>
      <t>臨床実習書</t>
    </r>
    <r>
      <rPr>
        <sz val="11"/>
        <rFont val="Consolas"/>
        <family val="3"/>
      </rPr>
      <t xml:space="preserve"> </t>
    </r>
    <r>
      <rPr>
        <sz val="11"/>
        <rFont val="游ゴシック Medium"/>
        <family val="3"/>
        <charset val="128"/>
      </rPr>
      <t>第</t>
    </r>
    <r>
      <rPr>
        <sz val="11"/>
        <rFont val="Consolas"/>
        <family val="3"/>
      </rPr>
      <t>6</t>
    </r>
    <r>
      <rPr>
        <sz val="11"/>
        <rFont val="游ゴシック Medium"/>
        <family val="3"/>
        <charset val="128"/>
      </rPr>
      <t>版</t>
    </r>
    <r>
      <rPr>
        <sz val="11"/>
        <rFont val="Consolas"/>
        <family val="3"/>
      </rPr>
      <t xml:space="preserve"> </t>
    </r>
    <r>
      <rPr>
        <sz val="11"/>
        <rFont val="游ゴシック Medium"/>
        <family val="3"/>
        <charset val="128"/>
      </rPr>
      <t>ヤマザキ学園</t>
    </r>
    <rPh sb="3" eb="5">
      <t>リンショウ</t>
    </rPh>
    <rPh sb="5" eb="8">
      <t>ジッシュウショ</t>
    </rPh>
    <rPh sb="9" eb="10">
      <t>ダイ</t>
    </rPh>
    <rPh sb="11" eb="12">
      <t>ハン</t>
    </rPh>
    <rPh sb="17" eb="19">
      <t>ガクエン</t>
    </rPh>
    <phoneticPr fontId="1"/>
  </si>
  <si>
    <r>
      <rPr>
        <sz val="11"/>
        <rFont val="游ゴシック Medium"/>
        <family val="3"/>
        <charset val="128"/>
      </rPr>
      <t>株式会社教育アシストセンター</t>
    </r>
    <r>
      <rPr>
        <sz val="11"/>
        <rFont val="Consolas"/>
        <family val="3"/>
      </rPr>
      <t xml:space="preserve"> </t>
    </r>
    <r>
      <rPr>
        <sz val="11"/>
        <rFont val="游ゴシック Medium"/>
        <family val="3"/>
        <charset val="128"/>
      </rPr>
      <t>出版部</t>
    </r>
    <rPh sb="0" eb="4">
      <t>カブシキガイシャ</t>
    </rPh>
    <rPh sb="4" eb="6">
      <t>キョウイク</t>
    </rPh>
    <rPh sb="15" eb="18">
      <t>シュッパンブ</t>
    </rPh>
    <phoneticPr fontId="1"/>
  </si>
  <si>
    <r>
      <rPr>
        <sz val="11"/>
        <rFont val="游ゴシック Medium"/>
        <family val="3"/>
        <charset val="128"/>
      </rPr>
      <t>佐藤</t>
    </r>
    <r>
      <rPr>
        <sz val="11"/>
        <rFont val="Consolas"/>
        <family val="3"/>
      </rPr>
      <t xml:space="preserve"> </t>
    </r>
    <r>
      <rPr>
        <sz val="11"/>
        <rFont val="游ゴシック Medium"/>
        <family val="3"/>
        <charset val="128"/>
      </rPr>
      <t>衆介</t>
    </r>
    <r>
      <rPr>
        <sz val="11"/>
        <rFont val="Consolas"/>
        <family val="3"/>
      </rPr>
      <t>|</t>
    </r>
    <r>
      <rPr>
        <sz val="11"/>
        <rFont val="游ゴシック Medium"/>
        <family val="3"/>
        <charset val="128"/>
      </rPr>
      <t>近藤</t>
    </r>
    <r>
      <rPr>
        <sz val="11"/>
        <rFont val="Consolas"/>
        <family val="3"/>
      </rPr>
      <t xml:space="preserve"> </t>
    </r>
    <r>
      <rPr>
        <sz val="11"/>
        <rFont val="游ゴシック Medium"/>
        <family val="3"/>
        <charset val="128"/>
      </rPr>
      <t>誠司</t>
    </r>
    <r>
      <rPr>
        <sz val="11"/>
        <rFont val="Consolas"/>
        <family val="3"/>
      </rPr>
      <t>|</t>
    </r>
    <r>
      <rPr>
        <sz val="11"/>
        <rFont val="游ゴシック Medium"/>
        <family val="3"/>
        <charset val="128"/>
      </rPr>
      <t>田中</t>
    </r>
    <r>
      <rPr>
        <sz val="11"/>
        <rFont val="Consolas"/>
        <family val="3"/>
      </rPr>
      <t xml:space="preserve"> </t>
    </r>
    <r>
      <rPr>
        <sz val="11"/>
        <rFont val="游ゴシック Medium"/>
        <family val="3"/>
        <charset val="128"/>
      </rPr>
      <t>智夫</t>
    </r>
    <r>
      <rPr>
        <sz val="11"/>
        <rFont val="Consolas"/>
        <family val="3"/>
      </rPr>
      <t>|</t>
    </r>
    <r>
      <rPr>
        <sz val="11"/>
        <rFont val="游ゴシック Medium"/>
        <family val="3"/>
        <charset val="128"/>
      </rPr>
      <t>楠瀬</t>
    </r>
    <r>
      <rPr>
        <sz val="11"/>
        <rFont val="Consolas"/>
        <family val="3"/>
      </rPr>
      <t xml:space="preserve"> </t>
    </r>
    <r>
      <rPr>
        <sz val="11"/>
        <rFont val="游ゴシック Medium"/>
        <family val="3"/>
        <charset val="128"/>
      </rPr>
      <t>良</t>
    </r>
    <r>
      <rPr>
        <sz val="11"/>
        <rFont val="Consolas"/>
        <family val="3"/>
      </rPr>
      <t>|</t>
    </r>
    <r>
      <rPr>
        <sz val="11"/>
        <rFont val="游ゴシック Medium"/>
        <family val="3"/>
        <charset val="128"/>
      </rPr>
      <t>森</t>
    </r>
    <r>
      <rPr>
        <sz val="11"/>
        <rFont val="Consolas"/>
        <family val="3"/>
      </rPr>
      <t xml:space="preserve"> </t>
    </r>
    <r>
      <rPr>
        <sz val="11"/>
        <rFont val="游ゴシック Medium"/>
        <family val="3"/>
        <charset val="128"/>
      </rPr>
      <t>裕司</t>
    </r>
    <r>
      <rPr>
        <sz val="11"/>
        <rFont val="Consolas"/>
        <family val="3"/>
      </rPr>
      <t>|</t>
    </r>
    <r>
      <rPr>
        <sz val="11"/>
        <rFont val="游ゴシック Medium"/>
        <family val="3"/>
        <charset val="128"/>
      </rPr>
      <t>伊谷</t>
    </r>
    <r>
      <rPr>
        <sz val="11"/>
        <rFont val="Consolas"/>
        <family val="3"/>
      </rPr>
      <t xml:space="preserve"> </t>
    </r>
    <r>
      <rPr>
        <sz val="11"/>
        <rFont val="游ゴシック Medium"/>
        <family val="3"/>
        <charset val="128"/>
      </rPr>
      <t>原一</t>
    </r>
    <rPh sb="0" eb="2">
      <t>サトウ</t>
    </rPh>
    <rPh sb="3" eb="5">
      <t>シュウスケ</t>
    </rPh>
    <rPh sb="6" eb="8">
      <t>コンドウ</t>
    </rPh>
    <rPh sb="9" eb="11">
      <t>セイジ</t>
    </rPh>
    <rPh sb="12" eb="14">
      <t>タナカ</t>
    </rPh>
    <rPh sb="15" eb="17">
      <t>トモオ</t>
    </rPh>
    <rPh sb="18" eb="20">
      <t>クスノセ</t>
    </rPh>
    <rPh sb="21" eb="22">
      <t>リョウ</t>
    </rPh>
    <rPh sb="23" eb="24">
      <t>モリ</t>
    </rPh>
    <rPh sb="25" eb="27">
      <t>ユウジ</t>
    </rPh>
    <rPh sb="28" eb="30">
      <t>イダニ</t>
    </rPh>
    <rPh sb="31" eb="33">
      <t>ゲンイチ</t>
    </rPh>
    <phoneticPr fontId="1"/>
  </si>
  <si>
    <r>
      <rPr>
        <sz val="11"/>
        <rFont val="游ゴシック Medium"/>
        <family val="3"/>
        <charset val="128"/>
      </rPr>
      <t>動物行動図説</t>
    </r>
    <r>
      <rPr>
        <sz val="11"/>
        <rFont val="Consolas"/>
        <family val="3"/>
      </rPr>
      <t xml:space="preserve"> </t>
    </r>
    <r>
      <rPr>
        <sz val="11"/>
        <rFont val="游ゴシック Medium"/>
        <family val="3"/>
        <charset val="128"/>
      </rPr>
      <t>家畜・伴侶動物・展示動物</t>
    </r>
    <rPh sb="0" eb="2">
      <t>ドウブツ</t>
    </rPh>
    <rPh sb="2" eb="4">
      <t>コウドウ</t>
    </rPh>
    <rPh sb="4" eb="6">
      <t>ズセツ</t>
    </rPh>
    <rPh sb="7" eb="9">
      <t>カチク</t>
    </rPh>
    <rPh sb="10" eb="14">
      <t>ハンリョドウブツ</t>
    </rPh>
    <rPh sb="15" eb="17">
      <t>テンジ</t>
    </rPh>
    <rPh sb="17" eb="19">
      <t>ドウブツ</t>
    </rPh>
    <phoneticPr fontId="1"/>
  </si>
  <si>
    <r>
      <rPr>
        <sz val="11"/>
        <rFont val="游ゴシック Medium"/>
        <family val="3"/>
        <charset val="128"/>
      </rPr>
      <t>朝倉書店</t>
    </r>
    <rPh sb="0" eb="4">
      <t>アサクラショ</t>
    </rPh>
    <phoneticPr fontId="1"/>
  </si>
  <si>
    <r>
      <rPr>
        <sz val="11"/>
        <rFont val="游ゴシック Medium"/>
        <family val="3"/>
        <charset val="128"/>
      </rPr>
      <t>愛犬の友編集部</t>
    </r>
    <rPh sb="0" eb="2">
      <t>アイケン</t>
    </rPh>
    <rPh sb="3" eb="4">
      <t>トモ</t>
    </rPh>
    <rPh sb="4" eb="6">
      <t>ヘンシュウ</t>
    </rPh>
    <rPh sb="6" eb="7">
      <t>ブ</t>
    </rPh>
    <phoneticPr fontId="1"/>
  </si>
  <si>
    <r>
      <rPr>
        <sz val="11"/>
        <rFont val="游ゴシック Medium"/>
        <family val="3"/>
        <charset val="128"/>
      </rPr>
      <t>犬の繁殖と育児がわかる</t>
    </r>
    <rPh sb="0" eb="1">
      <t>イヌ</t>
    </rPh>
    <rPh sb="2" eb="4">
      <t>ハンショク</t>
    </rPh>
    <rPh sb="5" eb="7">
      <t>イクジ</t>
    </rPh>
    <phoneticPr fontId="1"/>
  </si>
  <si>
    <r>
      <rPr>
        <sz val="11"/>
        <rFont val="游ゴシック Medium"/>
        <family val="3"/>
        <charset val="128"/>
      </rPr>
      <t>新しい犬の解説書</t>
    </r>
    <rPh sb="0" eb="1">
      <t>アタラ</t>
    </rPh>
    <rPh sb="3" eb="4">
      <t>イヌ</t>
    </rPh>
    <rPh sb="5" eb="8">
      <t>カイセツショ</t>
    </rPh>
    <phoneticPr fontId="1"/>
  </si>
  <si>
    <r>
      <rPr>
        <sz val="11"/>
        <rFont val="游ゴシック Medium"/>
        <family val="3"/>
        <charset val="128"/>
      </rPr>
      <t>誠文堂新光社</t>
    </r>
    <rPh sb="0" eb="3">
      <t>セイブンドウ</t>
    </rPh>
    <rPh sb="3" eb="6">
      <t>シンコウシャ</t>
    </rPh>
    <phoneticPr fontId="1"/>
  </si>
  <si>
    <r>
      <rPr>
        <sz val="11"/>
        <rFont val="游ゴシック Medium"/>
        <family val="3"/>
        <charset val="128"/>
      </rPr>
      <t>中間</t>
    </r>
    <r>
      <rPr>
        <sz val="11"/>
        <rFont val="Consolas"/>
        <family val="3"/>
      </rPr>
      <t xml:space="preserve"> </t>
    </r>
    <r>
      <rPr>
        <sz val="11"/>
        <rFont val="游ゴシック Medium"/>
        <family val="3"/>
        <charset val="128"/>
      </rPr>
      <t>實徳</t>
    </r>
    <rPh sb="0" eb="2">
      <t>ナカマ</t>
    </rPh>
    <rPh sb="3" eb="5">
      <t>サネノリ</t>
    </rPh>
    <phoneticPr fontId="1"/>
  </si>
  <si>
    <r>
      <rPr>
        <sz val="11"/>
        <rFont val="游ゴシック Medium"/>
        <family val="3"/>
        <charset val="128"/>
      </rPr>
      <t>新・小動物看護用語辞典</t>
    </r>
    <rPh sb="0" eb="1">
      <t>シン</t>
    </rPh>
    <rPh sb="2" eb="5">
      <t>ショウドウブツ</t>
    </rPh>
    <rPh sb="5" eb="7">
      <t>カンゴ</t>
    </rPh>
    <rPh sb="7" eb="11">
      <t>ヨウゴジテン</t>
    </rPh>
    <phoneticPr fontId="1"/>
  </si>
  <si>
    <r>
      <rPr>
        <sz val="11"/>
        <rFont val="游ゴシック Medium"/>
        <family val="3"/>
        <charset val="128"/>
      </rPr>
      <t>渋谷</t>
    </r>
    <r>
      <rPr>
        <sz val="11"/>
        <rFont val="Consolas"/>
        <family val="3"/>
      </rPr>
      <t xml:space="preserve"> </t>
    </r>
    <r>
      <rPr>
        <sz val="11"/>
        <rFont val="游ゴシック Medium"/>
        <family val="3"/>
        <charset val="128"/>
      </rPr>
      <t>寛</t>
    </r>
    <r>
      <rPr>
        <sz val="11"/>
        <rFont val="Consolas"/>
        <family val="3"/>
      </rPr>
      <t>|</t>
    </r>
    <r>
      <rPr>
        <sz val="11"/>
        <rFont val="游ゴシック Medium"/>
        <family val="3"/>
        <charset val="128"/>
      </rPr>
      <t>佐藤</t>
    </r>
    <r>
      <rPr>
        <sz val="11"/>
        <rFont val="Consolas"/>
        <family val="3"/>
      </rPr>
      <t xml:space="preserve"> </t>
    </r>
    <r>
      <rPr>
        <sz val="11"/>
        <rFont val="游ゴシック Medium"/>
        <family val="3"/>
        <charset val="128"/>
      </rPr>
      <t>光子</t>
    </r>
    <r>
      <rPr>
        <sz val="11"/>
        <rFont val="Consolas"/>
        <family val="3"/>
      </rPr>
      <t>|</t>
    </r>
    <r>
      <rPr>
        <sz val="11"/>
        <rFont val="游ゴシック Medium"/>
        <family val="3"/>
        <charset val="128"/>
      </rPr>
      <t>杉村</t>
    </r>
    <r>
      <rPr>
        <sz val="11"/>
        <rFont val="Consolas"/>
        <family val="3"/>
      </rPr>
      <t xml:space="preserve"> </t>
    </r>
    <r>
      <rPr>
        <sz val="11"/>
        <rFont val="游ゴシック Medium"/>
        <family val="3"/>
        <charset val="128"/>
      </rPr>
      <t>亜紀子</t>
    </r>
    <rPh sb="0" eb="2">
      <t>シブヤ</t>
    </rPh>
    <rPh sb="5" eb="7">
      <t>サトウ</t>
    </rPh>
    <rPh sb="8" eb="10">
      <t>ミツコ</t>
    </rPh>
    <rPh sb="11" eb="13">
      <t>スギムラ</t>
    </rPh>
    <rPh sb="14" eb="17">
      <t>アキコ</t>
    </rPh>
    <phoneticPr fontId="1"/>
  </si>
  <si>
    <r>
      <rPr>
        <sz val="11"/>
        <rFont val="游ゴシック Medium"/>
        <family val="3"/>
        <charset val="128"/>
      </rPr>
      <t>ペットのトラブル相談</t>
    </r>
    <r>
      <rPr>
        <sz val="11"/>
        <rFont val="Consolas"/>
        <family val="3"/>
      </rPr>
      <t xml:space="preserve"> </t>
    </r>
    <r>
      <rPr>
        <sz val="11"/>
        <rFont val="游ゴシック Medium"/>
        <family val="3"/>
        <charset val="128"/>
      </rPr>
      <t>基礎知識から具体的解決策まで</t>
    </r>
    <rPh sb="8" eb="10">
      <t>ソウダン</t>
    </rPh>
    <rPh sb="11" eb="15">
      <t>キソチシキ</t>
    </rPh>
    <rPh sb="17" eb="20">
      <t>グタイテキ</t>
    </rPh>
    <rPh sb="20" eb="23">
      <t>カイケツサク</t>
    </rPh>
    <phoneticPr fontId="1"/>
  </si>
  <si>
    <r>
      <rPr>
        <sz val="11"/>
        <rFont val="游ゴシック Medium"/>
        <family val="3"/>
        <charset val="128"/>
      </rPr>
      <t>トラブル相談シリーズ</t>
    </r>
    <r>
      <rPr>
        <sz val="11"/>
        <rFont val="Consolas"/>
        <family val="3"/>
      </rPr>
      <t xml:space="preserve">|[Q&amp;A </t>
    </r>
    <r>
      <rPr>
        <sz val="11"/>
        <rFont val="游ゴシック Medium"/>
        <family val="3"/>
        <charset val="128"/>
      </rPr>
      <t>ペットのトラブル</t>
    </r>
    <r>
      <rPr>
        <sz val="11"/>
        <rFont val="Consolas"/>
        <family val="3"/>
      </rPr>
      <t xml:space="preserve"> 110</t>
    </r>
    <r>
      <rPr>
        <sz val="11"/>
        <rFont val="游ゴシック Medium"/>
        <family val="3"/>
        <charset val="128"/>
      </rPr>
      <t>番</t>
    </r>
    <r>
      <rPr>
        <sz val="11"/>
        <rFont val="Consolas"/>
        <family val="3"/>
      </rPr>
      <t>]</t>
    </r>
    <r>
      <rPr>
        <sz val="11"/>
        <rFont val="游ゴシック Medium"/>
        <family val="3"/>
        <charset val="128"/>
      </rPr>
      <t>改題</t>
    </r>
    <rPh sb="4" eb="6">
      <t>ソウダン</t>
    </rPh>
    <rPh sb="28" eb="29">
      <t>バン</t>
    </rPh>
    <rPh sb="30" eb="32">
      <t>カイダイ</t>
    </rPh>
    <phoneticPr fontId="1"/>
  </si>
  <si>
    <r>
      <rPr>
        <sz val="11"/>
        <rFont val="游ゴシック Medium"/>
        <family val="3"/>
        <charset val="128"/>
      </rPr>
      <t>民事法研究会</t>
    </r>
    <rPh sb="0" eb="6">
      <t>ミンジホウケンキュウカイ</t>
    </rPh>
    <phoneticPr fontId="1"/>
  </si>
  <si>
    <r>
      <rPr>
        <sz val="11"/>
        <rFont val="游ゴシック Medium"/>
        <family val="3"/>
        <charset val="128"/>
      </rPr>
      <t>川添</t>
    </r>
    <r>
      <rPr>
        <sz val="11"/>
        <rFont val="Consolas"/>
        <family val="3"/>
      </rPr>
      <t xml:space="preserve"> </t>
    </r>
    <r>
      <rPr>
        <sz val="11"/>
        <rFont val="游ゴシック Medium"/>
        <family val="3"/>
        <charset val="128"/>
      </rPr>
      <t>敏弘</t>
    </r>
    <rPh sb="0" eb="2">
      <t>カワゾエ</t>
    </rPh>
    <rPh sb="3" eb="5">
      <t>トシヒロ</t>
    </rPh>
    <phoneticPr fontId="1"/>
  </si>
  <si>
    <r>
      <rPr>
        <sz val="11"/>
        <rFont val="游ゴシック Medium"/>
        <family val="3"/>
        <charset val="128"/>
      </rPr>
      <t>監著</t>
    </r>
    <rPh sb="0" eb="1">
      <t>カン</t>
    </rPh>
    <rPh sb="1" eb="2">
      <t>チョ</t>
    </rPh>
    <phoneticPr fontId="1"/>
  </si>
  <si>
    <r>
      <rPr>
        <sz val="11"/>
        <rFont val="游ゴシック Medium"/>
        <family val="3"/>
        <charset val="128"/>
      </rPr>
      <t>堀井</t>
    </r>
    <r>
      <rPr>
        <sz val="11"/>
        <rFont val="Consolas"/>
        <family val="3"/>
      </rPr>
      <t xml:space="preserve"> </t>
    </r>
    <r>
      <rPr>
        <sz val="11"/>
        <rFont val="游ゴシック Medium"/>
        <family val="3"/>
        <charset val="128"/>
      </rPr>
      <t>隆行</t>
    </r>
    <r>
      <rPr>
        <sz val="11"/>
        <rFont val="Consolas"/>
        <family val="3"/>
      </rPr>
      <t>|</t>
    </r>
    <r>
      <rPr>
        <sz val="11"/>
        <rFont val="游ゴシック Medium"/>
        <family val="3"/>
        <charset val="128"/>
      </rPr>
      <t>山川</t>
    </r>
    <r>
      <rPr>
        <sz val="11"/>
        <rFont val="Consolas"/>
        <family val="3"/>
      </rPr>
      <t xml:space="preserve"> </t>
    </r>
    <r>
      <rPr>
        <sz val="11"/>
        <rFont val="游ゴシック Medium"/>
        <family val="3"/>
        <charset val="128"/>
      </rPr>
      <t>伊津子</t>
    </r>
    <r>
      <rPr>
        <sz val="11"/>
        <rFont val="Consolas"/>
        <family val="3"/>
      </rPr>
      <t>|</t>
    </r>
    <r>
      <rPr>
        <sz val="11"/>
        <rFont val="游ゴシック Medium"/>
        <family val="3"/>
        <charset val="128"/>
      </rPr>
      <t>赤羽根</t>
    </r>
    <r>
      <rPr>
        <sz val="11"/>
        <rFont val="Consolas"/>
        <family val="3"/>
      </rPr>
      <t xml:space="preserve"> </t>
    </r>
    <r>
      <rPr>
        <sz val="11"/>
        <rFont val="游ゴシック Medium"/>
        <family val="3"/>
        <charset val="128"/>
      </rPr>
      <t>和恵</t>
    </r>
    <rPh sb="0" eb="2">
      <t>ホリイ</t>
    </rPh>
    <rPh sb="3" eb="5">
      <t>タカユキ</t>
    </rPh>
    <rPh sb="6" eb="8">
      <t>ヤマカワ</t>
    </rPh>
    <rPh sb="9" eb="12">
      <t>イツコ</t>
    </rPh>
    <rPh sb="13" eb="16">
      <t>アカバネ</t>
    </rPh>
    <rPh sb="17" eb="19">
      <t>カズエ</t>
    </rPh>
    <phoneticPr fontId="1"/>
  </si>
  <si>
    <r>
      <rPr>
        <sz val="11"/>
        <rFont val="游ゴシック Medium"/>
        <family val="3"/>
        <charset val="128"/>
      </rPr>
      <t>知りたい</t>
    </r>
    <r>
      <rPr>
        <sz val="11"/>
        <rFont val="Consolas"/>
        <family val="3"/>
      </rPr>
      <t xml:space="preserve"> ! </t>
    </r>
    <r>
      <rPr>
        <sz val="11"/>
        <rFont val="游ゴシック Medium"/>
        <family val="3"/>
        <charset val="128"/>
      </rPr>
      <t>やってみたい</t>
    </r>
    <r>
      <rPr>
        <sz val="11"/>
        <rFont val="Consolas"/>
        <family val="3"/>
      </rPr>
      <t xml:space="preserve"> ! </t>
    </r>
    <r>
      <rPr>
        <sz val="11"/>
        <rFont val="游ゴシック Medium"/>
        <family val="3"/>
        <charset val="128"/>
      </rPr>
      <t>アニマルセラピー</t>
    </r>
    <rPh sb="0" eb="1">
      <t>シ</t>
    </rPh>
    <phoneticPr fontId="1"/>
  </si>
  <si>
    <r>
      <rPr>
        <sz val="11"/>
        <rFont val="游ゴシック Medium"/>
        <family val="3"/>
        <charset val="128"/>
      </rPr>
      <t>駿河台出版社</t>
    </r>
    <rPh sb="0" eb="6">
      <t>スルガダイシュッパンシャ</t>
    </rPh>
    <phoneticPr fontId="1"/>
  </si>
  <si>
    <r>
      <rPr>
        <sz val="11"/>
        <rFont val="游ゴシック Medium"/>
        <family val="3"/>
        <charset val="128"/>
      </rPr>
      <t>ガンター</t>
    </r>
    <r>
      <rPr>
        <sz val="11"/>
        <rFont val="Consolas"/>
        <family val="3"/>
      </rPr>
      <t>,B</t>
    </r>
    <phoneticPr fontId="1"/>
  </si>
  <si>
    <r>
      <rPr>
        <sz val="11"/>
        <rFont val="游ゴシック Medium"/>
        <family val="3"/>
        <charset val="128"/>
      </rPr>
      <t>安藤</t>
    </r>
    <r>
      <rPr>
        <sz val="11"/>
        <rFont val="Consolas"/>
        <family val="3"/>
      </rPr>
      <t xml:space="preserve"> </t>
    </r>
    <r>
      <rPr>
        <sz val="11"/>
        <rFont val="游ゴシック Medium"/>
        <family val="3"/>
        <charset val="128"/>
      </rPr>
      <t>孝敏</t>
    </r>
    <r>
      <rPr>
        <sz val="11"/>
        <rFont val="Consolas"/>
        <family val="3"/>
      </rPr>
      <t>|</t>
    </r>
    <r>
      <rPr>
        <sz val="11"/>
        <rFont val="游ゴシック Medium"/>
        <family val="3"/>
        <charset val="128"/>
      </rPr>
      <t>種市</t>
    </r>
    <r>
      <rPr>
        <sz val="11"/>
        <rFont val="Consolas"/>
        <family val="3"/>
      </rPr>
      <t xml:space="preserve"> </t>
    </r>
    <r>
      <rPr>
        <sz val="11"/>
        <rFont val="游ゴシック Medium"/>
        <family val="3"/>
        <charset val="128"/>
      </rPr>
      <t>康太郎</t>
    </r>
    <r>
      <rPr>
        <sz val="11"/>
        <rFont val="Consolas"/>
        <family val="3"/>
      </rPr>
      <t>|</t>
    </r>
    <r>
      <rPr>
        <sz val="11"/>
        <rFont val="游ゴシック Medium"/>
        <family val="3"/>
        <charset val="128"/>
      </rPr>
      <t>金児</t>
    </r>
    <r>
      <rPr>
        <sz val="11"/>
        <rFont val="Consolas"/>
        <family val="3"/>
      </rPr>
      <t xml:space="preserve"> </t>
    </r>
    <r>
      <rPr>
        <sz val="11"/>
        <rFont val="游ゴシック Medium"/>
        <family val="3"/>
        <charset val="128"/>
      </rPr>
      <t>恵</t>
    </r>
    <rPh sb="0" eb="2">
      <t>アンドウ</t>
    </rPh>
    <rPh sb="3" eb="5">
      <t>タカトシ</t>
    </rPh>
    <rPh sb="6" eb="8">
      <t>タネイチ</t>
    </rPh>
    <rPh sb="9" eb="12">
      <t>コウタロウ</t>
    </rPh>
    <rPh sb="13" eb="15">
      <t>カネコ</t>
    </rPh>
    <rPh sb="16" eb="17">
      <t>メグミ</t>
    </rPh>
    <phoneticPr fontId="1"/>
  </si>
  <si>
    <r>
      <rPr>
        <sz val="11"/>
        <rFont val="游ゴシック Medium"/>
        <family val="3"/>
        <charset val="128"/>
      </rPr>
      <t>ペットと生きる</t>
    </r>
    <r>
      <rPr>
        <sz val="11"/>
        <rFont val="Consolas"/>
        <family val="3"/>
      </rPr>
      <t xml:space="preserve"> </t>
    </r>
    <r>
      <rPr>
        <sz val="11"/>
        <rFont val="游ゴシック Medium"/>
        <family val="3"/>
        <charset val="128"/>
      </rPr>
      <t>ペットと人の心理学</t>
    </r>
    <rPh sb="4" eb="5">
      <t>イ</t>
    </rPh>
    <rPh sb="12" eb="13">
      <t>ヒト</t>
    </rPh>
    <rPh sb="14" eb="17">
      <t>シンリガク</t>
    </rPh>
    <phoneticPr fontId="1"/>
  </si>
  <si>
    <r>
      <rPr>
        <sz val="11"/>
        <rFont val="游ゴシック Medium"/>
        <family val="3"/>
        <charset val="128"/>
      </rPr>
      <t>北大路書房</t>
    </r>
    <rPh sb="0" eb="5">
      <t>キタオオジショボウ</t>
    </rPh>
    <phoneticPr fontId="1"/>
  </si>
  <si>
    <r>
      <rPr>
        <sz val="11"/>
        <rFont val="游ゴシック Medium"/>
        <family val="3"/>
        <charset val="128"/>
      </rPr>
      <t>高槻</t>
    </r>
    <r>
      <rPr>
        <sz val="11"/>
        <rFont val="Consolas"/>
        <family val="3"/>
      </rPr>
      <t xml:space="preserve"> </t>
    </r>
    <r>
      <rPr>
        <sz val="11"/>
        <rFont val="游ゴシック Medium"/>
        <family val="3"/>
        <charset val="128"/>
      </rPr>
      <t>成紀</t>
    </r>
    <rPh sb="0" eb="2">
      <t>タカツキ</t>
    </rPh>
    <rPh sb="3" eb="5">
      <t>シゲキ</t>
    </rPh>
    <phoneticPr fontId="1"/>
  </si>
  <si>
    <r>
      <rPr>
        <sz val="11"/>
        <rFont val="游ゴシック Medium"/>
        <family val="3"/>
        <charset val="128"/>
      </rPr>
      <t>政岡</t>
    </r>
    <r>
      <rPr>
        <sz val="11"/>
        <rFont val="Consolas"/>
        <family val="3"/>
      </rPr>
      <t xml:space="preserve"> </t>
    </r>
    <r>
      <rPr>
        <sz val="11"/>
        <rFont val="游ゴシック Medium"/>
        <family val="3"/>
        <charset val="128"/>
      </rPr>
      <t>俊夫</t>
    </r>
    <r>
      <rPr>
        <sz val="11"/>
        <rFont val="Consolas"/>
        <family val="3"/>
      </rPr>
      <t>|</t>
    </r>
    <r>
      <rPr>
        <sz val="11"/>
        <rFont val="游ゴシック Medium"/>
        <family val="3"/>
        <charset val="128"/>
      </rPr>
      <t>太田</t>
    </r>
    <r>
      <rPr>
        <sz val="11"/>
        <rFont val="Consolas"/>
        <family val="3"/>
      </rPr>
      <t xml:space="preserve"> </t>
    </r>
    <r>
      <rPr>
        <sz val="11"/>
        <rFont val="游ゴシック Medium"/>
        <family val="3"/>
        <charset val="128"/>
      </rPr>
      <t>匡彦</t>
    </r>
    <r>
      <rPr>
        <sz val="11"/>
        <rFont val="Consolas"/>
        <family val="3"/>
      </rPr>
      <t>|</t>
    </r>
    <r>
      <rPr>
        <sz val="11"/>
        <rFont val="游ゴシック Medium"/>
        <family val="3"/>
        <charset val="128"/>
      </rPr>
      <t>新島</t>
    </r>
    <r>
      <rPr>
        <sz val="11"/>
        <rFont val="Consolas"/>
        <family val="3"/>
      </rPr>
      <t xml:space="preserve"> </t>
    </r>
    <r>
      <rPr>
        <sz val="11"/>
        <rFont val="游ゴシック Medium"/>
        <family val="3"/>
        <charset val="128"/>
      </rPr>
      <t>典子</t>
    </r>
    <r>
      <rPr>
        <sz val="11"/>
        <rFont val="Consolas"/>
        <family val="3"/>
      </rPr>
      <t>|</t>
    </r>
    <r>
      <rPr>
        <sz val="11"/>
        <rFont val="游ゴシック Medium"/>
        <family val="3"/>
        <charset val="128"/>
      </rPr>
      <t>成島</t>
    </r>
    <r>
      <rPr>
        <sz val="11"/>
        <rFont val="Consolas"/>
        <family val="3"/>
      </rPr>
      <t xml:space="preserve"> </t>
    </r>
    <r>
      <rPr>
        <sz val="11"/>
        <rFont val="游ゴシック Medium"/>
        <family val="3"/>
        <charset val="128"/>
      </rPr>
      <t>悦雄</t>
    </r>
    <r>
      <rPr>
        <sz val="11"/>
        <rFont val="Consolas"/>
        <family val="3"/>
      </rPr>
      <t>|</t>
    </r>
    <r>
      <rPr>
        <sz val="11"/>
        <rFont val="游ゴシック Medium"/>
        <family val="3"/>
        <charset val="128"/>
      </rPr>
      <t>柏崎</t>
    </r>
    <r>
      <rPr>
        <sz val="11"/>
        <rFont val="Consolas"/>
        <family val="3"/>
      </rPr>
      <t xml:space="preserve"> </t>
    </r>
    <r>
      <rPr>
        <sz val="11"/>
        <rFont val="游ゴシック Medium"/>
        <family val="3"/>
        <charset val="128"/>
      </rPr>
      <t>直巳</t>
    </r>
    <r>
      <rPr>
        <sz val="11"/>
        <rFont val="Consolas"/>
        <family val="3"/>
      </rPr>
      <t>|</t>
    </r>
    <r>
      <rPr>
        <sz val="11"/>
        <rFont val="游ゴシック Medium"/>
        <family val="3"/>
        <charset val="128"/>
      </rPr>
      <t>羽澄</t>
    </r>
    <r>
      <rPr>
        <sz val="11"/>
        <rFont val="Consolas"/>
        <family val="3"/>
      </rPr>
      <t xml:space="preserve"> </t>
    </r>
    <r>
      <rPr>
        <sz val="11"/>
        <rFont val="游ゴシック Medium"/>
        <family val="3"/>
        <charset val="128"/>
      </rPr>
      <t>俊裕</t>
    </r>
    <rPh sb="0" eb="2">
      <t>マサオカ</t>
    </rPh>
    <rPh sb="3" eb="5">
      <t>トシオ</t>
    </rPh>
    <rPh sb="6" eb="8">
      <t>オオタ</t>
    </rPh>
    <rPh sb="9" eb="11">
      <t>マサヒコ</t>
    </rPh>
    <rPh sb="12" eb="14">
      <t>ニイジマ</t>
    </rPh>
    <rPh sb="15" eb="17">
      <t>ノリコ</t>
    </rPh>
    <rPh sb="18" eb="20">
      <t>ナルシマ</t>
    </rPh>
    <rPh sb="21" eb="23">
      <t>エツオ</t>
    </rPh>
    <rPh sb="24" eb="26">
      <t>カシワザキ</t>
    </rPh>
    <rPh sb="27" eb="29">
      <t>ナオミ</t>
    </rPh>
    <rPh sb="30" eb="32">
      <t>ハスミ</t>
    </rPh>
    <rPh sb="33" eb="35">
      <t>トシヒロ</t>
    </rPh>
    <phoneticPr fontId="1"/>
  </si>
  <si>
    <r>
      <rPr>
        <sz val="11"/>
        <rFont val="游ゴシック Medium"/>
        <family val="3"/>
        <charset val="128"/>
      </rPr>
      <t>共著</t>
    </r>
    <rPh sb="0" eb="2">
      <t>キョウチョ</t>
    </rPh>
    <phoneticPr fontId="1"/>
  </si>
  <si>
    <r>
      <rPr>
        <sz val="11"/>
        <rFont val="游ゴシック Medium"/>
        <family val="3"/>
        <charset val="128"/>
      </rPr>
      <t>動物のいのちを考える</t>
    </r>
    <rPh sb="0" eb="2">
      <t>ドウブツ</t>
    </rPh>
    <rPh sb="7" eb="8">
      <t>カンガ</t>
    </rPh>
    <phoneticPr fontId="1"/>
  </si>
  <si>
    <r>
      <rPr>
        <sz val="11"/>
        <rFont val="游ゴシック Medium"/>
        <family val="3"/>
        <charset val="128"/>
      </rPr>
      <t>朔北社</t>
    </r>
    <rPh sb="0" eb="3">
      <t>サクホク</t>
    </rPh>
    <phoneticPr fontId="1"/>
  </si>
  <si>
    <r>
      <rPr>
        <sz val="11"/>
        <rFont val="游ゴシック Medium"/>
        <family val="3"/>
        <charset val="128"/>
      </rPr>
      <t>中村</t>
    </r>
    <r>
      <rPr>
        <sz val="11"/>
        <rFont val="Consolas"/>
        <family val="3"/>
      </rPr>
      <t xml:space="preserve"> </t>
    </r>
    <r>
      <rPr>
        <sz val="11"/>
        <rFont val="游ゴシック Medium"/>
        <family val="3"/>
        <charset val="128"/>
      </rPr>
      <t>禎里</t>
    </r>
    <rPh sb="0" eb="2">
      <t>ナカムラ</t>
    </rPh>
    <rPh sb="3" eb="5">
      <t>テイリ</t>
    </rPh>
    <phoneticPr fontId="1"/>
  </si>
  <si>
    <r>
      <rPr>
        <sz val="11"/>
        <rFont val="游ゴシック Medium"/>
        <family val="3"/>
        <charset val="128"/>
      </rPr>
      <t>動物たちの日本史</t>
    </r>
    <rPh sb="0" eb="2">
      <t>ドウブツ</t>
    </rPh>
    <rPh sb="5" eb="8">
      <t>ニホンシ</t>
    </rPh>
    <phoneticPr fontId="1"/>
  </si>
  <si>
    <r>
      <rPr>
        <sz val="11"/>
        <rFont val="游ゴシック Medium"/>
        <family val="3"/>
        <charset val="128"/>
      </rPr>
      <t>海鳴社</t>
    </r>
    <rPh sb="0" eb="3">
      <t>カイメイシ</t>
    </rPh>
    <phoneticPr fontId="1"/>
  </si>
  <si>
    <r>
      <rPr>
        <sz val="11"/>
        <rFont val="游ゴシック Medium"/>
        <family val="3"/>
        <charset val="128"/>
      </rPr>
      <t>中村</t>
    </r>
    <r>
      <rPr>
        <sz val="11"/>
        <rFont val="Consolas"/>
        <family val="3"/>
      </rPr>
      <t xml:space="preserve"> </t>
    </r>
    <r>
      <rPr>
        <sz val="11"/>
        <rFont val="游ゴシック Medium"/>
        <family val="3"/>
        <charset val="128"/>
      </rPr>
      <t>生雄</t>
    </r>
    <rPh sb="0" eb="2">
      <t>ナカムラ</t>
    </rPh>
    <rPh sb="3" eb="5">
      <t>イクオ</t>
    </rPh>
    <phoneticPr fontId="1"/>
  </si>
  <si>
    <r>
      <rPr>
        <sz val="11"/>
        <rFont val="游ゴシック Medium"/>
        <family val="3"/>
        <charset val="128"/>
      </rPr>
      <t>日本人の宗教と動物観</t>
    </r>
    <r>
      <rPr>
        <sz val="11"/>
        <rFont val="Consolas"/>
        <family val="3"/>
      </rPr>
      <t xml:space="preserve"> </t>
    </r>
    <r>
      <rPr>
        <sz val="11"/>
        <rFont val="游ゴシック Medium"/>
        <family val="3"/>
        <charset val="128"/>
      </rPr>
      <t>殺生と肉食</t>
    </r>
    <rPh sb="0" eb="3">
      <t>ニホンジン</t>
    </rPh>
    <rPh sb="4" eb="6">
      <t>シュウキョウ</t>
    </rPh>
    <rPh sb="7" eb="9">
      <t>ドウブツ</t>
    </rPh>
    <rPh sb="9" eb="10">
      <t>カン</t>
    </rPh>
    <rPh sb="11" eb="13">
      <t>セッショウ</t>
    </rPh>
    <rPh sb="14" eb="16">
      <t>ニクショク</t>
    </rPh>
    <phoneticPr fontId="1"/>
  </si>
  <si>
    <r>
      <rPr>
        <sz val="11"/>
        <rFont val="游ゴシック Medium"/>
        <family val="3"/>
        <charset val="128"/>
      </rPr>
      <t>吉川弘文館</t>
    </r>
    <rPh sb="0" eb="2">
      <t>ヨシカワ</t>
    </rPh>
    <rPh sb="2" eb="4">
      <t>コウブン</t>
    </rPh>
    <rPh sb="4" eb="5">
      <t>カン</t>
    </rPh>
    <phoneticPr fontId="1"/>
  </si>
  <si>
    <r>
      <rPr>
        <sz val="11"/>
        <rFont val="游ゴシック Medium"/>
        <family val="3"/>
        <charset val="128"/>
      </rPr>
      <t>石田</t>
    </r>
    <r>
      <rPr>
        <sz val="11"/>
        <rFont val="Consolas"/>
        <family val="3"/>
      </rPr>
      <t xml:space="preserve"> </t>
    </r>
    <r>
      <rPr>
        <sz val="11"/>
        <rFont val="游ゴシック Medium"/>
        <family val="3"/>
        <charset val="128"/>
      </rPr>
      <t>戢</t>
    </r>
    <r>
      <rPr>
        <sz val="11"/>
        <rFont val="Consolas"/>
        <family val="3"/>
      </rPr>
      <t>|</t>
    </r>
    <r>
      <rPr>
        <sz val="11"/>
        <rFont val="游ゴシック Medium"/>
        <family val="3"/>
        <charset val="128"/>
      </rPr>
      <t>濱野</t>
    </r>
    <r>
      <rPr>
        <sz val="11"/>
        <rFont val="Consolas"/>
        <family val="3"/>
      </rPr>
      <t xml:space="preserve"> </t>
    </r>
    <r>
      <rPr>
        <sz val="11"/>
        <rFont val="游ゴシック Medium"/>
        <family val="3"/>
        <charset val="128"/>
      </rPr>
      <t>佐代子</t>
    </r>
    <r>
      <rPr>
        <sz val="11"/>
        <rFont val="Consolas"/>
        <family val="3"/>
      </rPr>
      <t>|</t>
    </r>
    <r>
      <rPr>
        <sz val="11"/>
        <rFont val="游ゴシック Medium"/>
        <family val="3"/>
        <charset val="128"/>
      </rPr>
      <t>花園</t>
    </r>
    <r>
      <rPr>
        <sz val="11"/>
        <rFont val="Consolas"/>
        <family val="3"/>
      </rPr>
      <t xml:space="preserve"> </t>
    </r>
    <r>
      <rPr>
        <sz val="11"/>
        <rFont val="游ゴシック Medium"/>
        <family val="3"/>
        <charset val="128"/>
      </rPr>
      <t>誠</t>
    </r>
    <r>
      <rPr>
        <sz val="11"/>
        <rFont val="Consolas"/>
        <family val="3"/>
      </rPr>
      <t>|</t>
    </r>
    <r>
      <rPr>
        <sz val="11"/>
        <rFont val="游ゴシック Medium"/>
        <family val="3"/>
        <charset val="128"/>
      </rPr>
      <t>瀬戸口</t>
    </r>
    <r>
      <rPr>
        <sz val="11"/>
        <rFont val="Consolas"/>
        <family val="3"/>
      </rPr>
      <t xml:space="preserve"> </t>
    </r>
    <r>
      <rPr>
        <sz val="11"/>
        <rFont val="游ゴシック Medium"/>
        <family val="3"/>
        <charset val="128"/>
      </rPr>
      <t>明久</t>
    </r>
    <rPh sb="0" eb="2">
      <t>イシダ</t>
    </rPh>
    <rPh sb="3" eb="4">
      <t>オサム</t>
    </rPh>
    <rPh sb="5" eb="7">
      <t>ハマノ</t>
    </rPh>
    <rPh sb="8" eb="11">
      <t>サヨコ</t>
    </rPh>
    <rPh sb="12" eb="14">
      <t>ハナゾノ</t>
    </rPh>
    <rPh sb="15" eb="16">
      <t>マコト</t>
    </rPh>
    <rPh sb="17" eb="20">
      <t>セトグチ</t>
    </rPh>
    <rPh sb="21" eb="23">
      <t>アキヒサ</t>
    </rPh>
    <phoneticPr fontId="1"/>
  </si>
  <si>
    <r>
      <rPr>
        <sz val="11"/>
        <rFont val="游ゴシック Medium"/>
        <family val="3"/>
        <charset val="128"/>
      </rPr>
      <t>日本の動物観</t>
    </r>
    <r>
      <rPr>
        <sz val="11"/>
        <rFont val="Consolas"/>
        <family val="3"/>
      </rPr>
      <t xml:space="preserve"> </t>
    </r>
    <r>
      <rPr>
        <sz val="11"/>
        <rFont val="游ゴシック Medium"/>
        <family val="3"/>
        <charset val="128"/>
      </rPr>
      <t>人と動物の関係史</t>
    </r>
    <rPh sb="0" eb="2">
      <t>ニホン</t>
    </rPh>
    <rPh sb="3" eb="5">
      <t>ドウブツ</t>
    </rPh>
    <rPh sb="5" eb="6">
      <t>カン</t>
    </rPh>
    <rPh sb="7" eb="8">
      <t>ヒト</t>
    </rPh>
    <rPh sb="9" eb="11">
      <t>ドウブツ</t>
    </rPh>
    <rPh sb="12" eb="14">
      <t>カンケイ</t>
    </rPh>
    <rPh sb="14" eb="15">
      <t>シ</t>
    </rPh>
    <phoneticPr fontId="1"/>
  </si>
  <si>
    <r>
      <rPr>
        <sz val="11"/>
        <rFont val="游ゴシック Medium"/>
        <family val="3"/>
        <charset val="128"/>
      </rPr>
      <t>東京大学出版会</t>
    </r>
    <rPh sb="0" eb="4">
      <t>トウキョウタ</t>
    </rPh>
    <rPh sb="4" eb="7">
      <t>シュッパンカイ</t>
    </rPh>
    <phoneticPr fontId="1"/>
  </si>
  <si>
    <r>
      <rPr>
        <sz val="11"/>
        <rFont val="游ゴシック Medium"/>
        <family val="3"/>
        <charset val="128"/>
      </rPr>
      <t>西本</t>
    </r>
    <r>
      <rPr>
        <sz val="11"/>
        <rFont val="Consolas"/>
        <family val="3"/>
      </rPr>
      <t xml:space="preserve"> </t>
    </r>
    <r>
      <rPr>
        <sz val="11"/>
        <rFont val="游ゴシック Medium"/>
        <family val="3"/>
        <charset val="128"/>
      </rPr>
      <t>豊弘</t>
    </r>
    <r>
      <rPr>
        <sz val="11"/>
        <rFont val="Consolas"/>
        <family val="3"/>
      </rPr>
      <t xml:space="preserve"> </t>
    </r>
    <rPh sb="0" eb="5">
      <t>ニシモト　トヨヒロ　</t>
    </rPh>
    <phoneticPr fontId="1"/>
  </si>
  <si>
    <r>
      <rPr>
        <sz val="11"/>
        <rFont val="游ゴシック Medium"/>
        <family val="3"/>
        <charset val="128"/>
      </rPr>
      <t>人と動物の日本史</t>
    </r>
    <r>
      <rPr>
        <sz val="11"/>
        <rFont val="Consolas"/>
        <family val="3"/>
      </rPr>
      <t xml:space="preserve"> 1 </t>
    </r>
    <r>
      <rPr>
        <sz val="11"/>
        <rFont val="游ゴシック Medium"/>
        <family val="3"/>
        <charset val="128"/>
      </rPr>
      <t>動物の考古学</t>
    </r>
    <rPh sb="0" eb="1">
      <t>ヒト</t>
    </rPh>
    <rPh sb="2" eb="4">
      <t>ドウブツ</t>
    </rPh>
    <rPh sb="5" eb="8">
      <t>ニホンシ</t>
    </rPh>
    <rPh sb="11" eb="13">
      <t>ドウブツ</t>
    </rPh>
    <rPh sb="14" eb="17">
      <t>コウコガク</t>
    </rPh>
    <phoneticPr fontId="1"/>
  </si>
  <si>
    <r>
      <rPr>
        <sz val="11"/>
        <rFont val="游ゴシック Medium"/>
        <family val="3"/>
        <charset val="128"/>
      </rPr>
      <t>吉川弘文館</t>
    </r>
    <rPh sb="0" eb="5">
      <t>ヨシカワコウブンカン</t>
    </rPh>
    <phoneticPr fontId="1"/>
  </si>
  <si>
    <r>
      <rPr>
        <sz val="11"/>
        <rFont val="游ゴシック Medium"/>
        <family val="3"/>
        <charset val="128"/>
      </rPr>
      <t>中村</t>
    </r>
    <r>
      <rPr>
        <sz val="11"/>
        <rFont val="Consolas"/>
        <family val="3"/>
      </rPr>
      <t xml:space="preserve"> </t>
    </r>
    <r>
      <rPr>
        <sz val="11"/>
        <rFont val="游ゴシック Medium"/>
        <family val="3"/>
        <charset val="128"/>
      </rPr>
      <t>生雄</t>
    </r>
    <r>
      <rPr>
        <sz val="11"/>
        <rFont val="Consolas"/>
        <family val="3"/>
      </rPr>
      <t>|</t>
    </r>
    <r>
      <rPr>
        <sz val="11"/>
        <rFont val="游ゴシック Medium"/>
        <family val="3"/>
        <charset val="128"/>
      </rPr>
      <t>三浦</t>
    </r>
    <r>
      <rPr>
        <sz val="11"/>
        <rFont val="Consolas"/>
        <family val="3"/>
      </rPr>
      <t xml:space="preserve"> </t>
    </r>
    <r>
      <rPr>
        <sz val="11"/>
        <rFont val="游ゴシック Medium"/>
        <family val="3"/>
        <charset val="128"/>
      </rPr>
      <t>佑之</t>
    </r>
    <rPh sb="0" eb="2">
      <t>ナカムラ</t>
    </rPh>
    <rPh sb="3" eb="5">
      <t>イクオ</t>
    </rPh>
    <rPh sb="6" eb="8">
      <t>ミウラ</t>
    </rPh>
    <rPh sb="9" eb="11">
      <t>スケユキ</t>
    </rPh>
    <phoneticPr fontId="1"/>
  </si>
  <si>
    <r>
      <rPr>
        <sz val="11"/>
        <rFont val="游ゴシック Medium"/>
        <family val="3"/>
        <charset val="128"/>
      </rPr>
      <t>人と動物の日本史</t>
    </r>
    <r>
      <rPr>
        <sz val="11"/>
        <rFont val="Consolas"/>
        <family val="3"/>
      </rPr>
      <t xml:space="preserve"> 4 </t>
    </r>
    <r>
      <rPr>
        <sz val="11"/>
        <rFont val="游ゴシック Medium"/>
        <family val="3"/>
        <charset val="128"/>
      </rPr>
      <t>信仰のなかの動物たち</t>
    </r>
    <rPh sb="0" eb="1">
      <t>ヒト</t>
    </rPh>
    <rPh sb="2" eb="4">
      <t>ドウブツ</t>
    </rPh>
    <rPh sb="5" eb="8">
      <t>ニホンシ</t>
    </rPh>
    <rPh sb="11" eb="13">
      <t>シンコウ</t>
    </rPh>
    <rPh sb="17" eb="19">
      <t>ドウブツ</t>
    </rPh>
    <phoneticPr fontId="1"/>
  </si>
  <si>
    <r>
      <rPr>
        <sz val="11"/>
        <rFont val="游ゴシック Medium"/>
        <family val="3"/>
        <charset val="128"/>
      </rPr>
      <t>ヤマザキ動物看護大学</t>
    </r>
    <r>
      <rPr>
        <sz val="11"/>
        <rFont val="Consolas"/>
        <family val="3"/>
      </rPr>
      <t xml:space="preserve"> </t>
    </r>
    <r>
      <rPr>
        <sz val="11"/>
        <rFont val="游ゴシック Medium"/>
        <family val="3"/>
        <charset val="128"/>
      </rPr>
      <t>動物看護学部</t>
    </r>
    <rPh sb="4" eb="6">
      <t>ドウブツ</t>
    </rPh>
    <rPh sb="6" eb="8">
      <t>カンゴ</t>
    </rPh>
    <rPh sb="11" eb="13">
      <t>ドウブツ</t>
    </rPh>
    <rPh sb="13" eb="17">
      <t>カンゴガクブ</t>
    </rPh>
    <phoneticPr fontId="1"/>
  </si>
  <si>
    <r>
      <rPr>
        <sz val="11"/>
        <rFont val="游ゴシック Medium"/>
        <family val="3"/>
        <charset val="128"/>
      </rPr>
      <t>大学案内</t>
    </r>
    <r>
      <rPr>
        <sz val="11"/>
        <rFont val="Consolas"/>
        <family val="3"/>
      </rPr>
      <t xml:space="preserve"> </t>
    </r>
    <r>
      <rPr>
        <sz val="11"/>
        <rFont val="游ゴシック Medium"/>
        <family val="3"/>
        <charset val="128"/>
      </rPr>
      <t>ヤマザキ動物看護大学</t>
    </r>
    <r>
      <rPr>
        <sz val="11"/>
        <rFont val="Consolas"/>
        <family val="3"/>
      </rPr>
      <t xml:space="preserve"> </t>
    </r>
    <r>
      <rPr>
        <sz val="11"/>
        <rFont val="游ゴシック Medium"/>
        <family val="3"/>
        <charset val="128"/>
      </rPr>
      <t>動物看護学部</t>
    </r>
    <rPh sb="0" eb="4">
      <t>ダイガクアンナイ</t>
    </rPh>
    <rPh sb="9" eb="11">
      <t>ドウブツ</t>
    </rPh>
    <rPh sb="11" eb="13">
      <t>カンゴ</t>
    </rPh>
    <rPh sb="16" eb="18">
      <t>ドウブツ</t>
    </rPh>
    <rPh sb="18" eb="22">
      <t>カンゴガクブ</t>
    </rPh>
    <phoneticPr fontId="1"/>
  </si>
  <si>
    <r>
      <rPr>
        <sz val="11"/>
        <rFont val="游ゴシック Medium"/>
        <family val="3"/>
        <charset val="128"/>
      </rPr>
      <t>ヤマザキ学園大学</t>
    </r>
    <phoneticPr fontId="1"/>
  </si>
  <si>
    <r>
      <rPr>
        <sz val="11"/>
        <rFont val="游ゴシック Medium"/>
        <family val="3"/>
        <charset val="128"/>
      </rPr>
      <t>まほが載ってる</t>
    </r>
    <rPh sb="3" eb="4">
      <t>ノ</t>
    </rPh>
    <phoneticPr fontId="1"/>
  </si>
  <si>
    <r>
      <rPr>
        <sz val="11"/>
        <rFont val="游ゴシック Medium"/>
        <family val="3"/>
        <charset val="128"/>
      </rPr>
      <t>ヤマザキ動物看護大学</t>
    </r>
    <r>
      <rPr>
        <sz val="11"/>
        <rFont val="Consolas"/>
        <family val="3"/>
      </rPr>
      <t/>
    </r>
    <rPh sb="4" eb="6">
      <t>ドウブツ</t>
    </rPh>
    <rPh sb="6" eb="8">
      <t>カンゴ</t>
    </rPh>
    <phoneticPr fontId="1"/>
  </si>
  <si>
    <r>
      <rPr>
        <sz val="11"/>
        <rFont val="游ゴシック Medium"/>
        <family val="3"/>
        <charset val="128"/>
      </rPr>
      <t>卒業論文論旨集</t>
    </r>
    <rPh sb="0" eb="4">
      <t>ソツギョウロンブン</t>
    </rPh>
    <rPh sb="4" eb="6">
      <t>ロンシ</t>
    </rPh>
    <rPh sb="6" eb="7">
      <t>シュウ</t>
    </rPh>
    <phoneticPr fontId="1"/>
  </si>
  <si>
    <r>
      <rPr>
        <sz val="11"/>
        <rFont val="游ゴシック Medium"/>
        <family val="3"/>
        <charset val="128"/>
      </rPr>
      <t>ヤマザキ学園大学</t>
    </r>
  </si>
  <si>
    <r>
      <rPr>
        <sz val="11"/>
        <rFont val="游ゴシック Medium"/>
        <family val="3"/>
        <charset val="128"/>
      </rPr>
      <t>‎</t>
    </r>
    <r>
      <rPr>
        <sz val="11"/>
        <rFont val="Consolas"/>
        <family val="3"/>
      </rPr>
      <t xml:space="preserve"> 978-4-062574075</t>
    </r>
    <phoneticPr fontId="1"/>
  </si>
  <si>
    <r>
      <rPr>
        <sz val="11"/>
        <rFont val="游ゴシック Medium"/>
        <family val="3"/>
        <charset val="128"/>
      </rPr>
      <t>学習書</t>
    </r>
    <rPh sb="0" eb="3">
      <t>ガクシュウショ</t>
    </rPh>
    <phoneticPr fontId="1"/>
  </si>
  <si>
    <r>
      <rPr>
        <sz val="11"/>
        <rFont val="游ゴシック Medium"/>
        <family val="3"/>
        <charset val="128"/>
      </rPr>
      <t>安田</t>
    </r>
    <r>
      <rPr>
        <sz val="11"/>
        <rFont val="Consolas"/>
        <family val="3"/>
      </rPr>
      <t xml:space="preserve"> </t>
    </r>
    <r>
      <rPr>
        <sz val="11"/>
        <rFont val="游ゴシック Medium"/>
        <family val="3"/>
        <charset val="128"/>
      </rPr>
      <t>亨</t>
    </r>
    <rPh sb="0" eb="2">
      <t>ヤスダ</t>
    </rPh>
    <rPh sb="3" eb="4">
      <t>トオル</t>
    </rPh>
    <phoneticPr fontId="1"/>
  </si>
  <si>
    <r>
      <rPr>
        <sz val="11"/>
        <rFont val="游ゴシック Medium"/>
        <family val="3"/>
        <charset val="128"/>
      </rPr>
      <t>入試数学伝説の良問</t>
    </r>
    <r>
      <rPr>
        <sz val="11"/>
        <rFont val="Consolas"/>
        <family val="3"/>
      </rPr>
      <t>100―</t>
    </r>
    <r>
      <rPr>
        <sz val="11"/>
        <rFont val="游ゴシック Medium"/>
        <family val="3"/>
        <charset val="128"/>
      </rPr>
      <t>良い問題で良い解法を学ぶ</t>
    </r>
    <rPh sb="0" eb="2">
      <t>ニュウシ</t>
    </rPh>
    <rPh sb="2" eb="4">
      <t>スウガク</t>
    </rPh>
    <rPh sb="4" eb="6">
      <t>デンセツ</t>
    </rPh>
    <rPh sb="7" eb="9">
      <t>リョウモン</t>
    </rPh>
    <rPh sb="13" eb="14">
      <t>ヨ</t>
    </rPh>
    <rPh sb="15" eb="17">
      <t>モンダイ</t>
    </rPh>
    <rPh sb="18" eb="19">
      <t>ヨ</t>
    </rPh>
    <rPh sb="20" eb="22">
      <t>カイホウ</t>
    </rPh>
    <rPh sb="23" eb="24">
      <t>マナ</t>
    </rPh>
    <phoneticPr fontId="1"/>
  </si>
  <si>
    <r>
      <rPr>
        <sz val="11"/>
        <rFont val="游ゴシック Medium"/>
        <family val="3"/>
        <charset val="128"/>
      </rPr>
      <t>ブルーバックス</t>
    </r>
    <phoneticPr fontId="1"/>
  </si>
  <si>
    <r>
      <rPr>
        <sz val="11"/>
        <rFont val="游ゴシック Medium"/>
        <family val="3"/>
        <charset val="128"/>
      </rPr>
      <t>直木孝次郎</t>
    </r>
    <rPh sb="0" eb="2">
      <t>ナオキ</t>
    </rPh>
    <rPh sb="2" eb="5">
      <t>コウジロウ</t>
    </rPh>
    <phoneticPr fontId="1"/>
  </si>
  <si>
    <r>
      <rPr>
        <sz val="11"/>
        <rFont val="游ゴシック Medium"/>
        <family val="3"/>
        <charset val="128"/>
      </rPr>
      <t>神話と歴史</t>
    </r>
    <rPh sb="0" eb="2">
      <t>シンワ</t>
    </rPh>
    <rPh sb="3" eb="5">
      <t>レキシ</t>
    </rPh>
    <phoneticPr fontId="1"/>
  </si>
  <si>
    <r>
      <rPr>
        <sz val="11"/>
        <rFont val="游ゴシック Medium"/>
        <family val="3"/>
        <charset val="128"/>
      </rPr>
      <t>吉田敦彦</t>
    </r>
    <rPh sb="0" eb="2">
      <t>ヨシダ</t>
    </rPh>
    <rPh sb="2" eb="4">
      <t>アツヒコ</t>
    </rPh>
    <phoneticPr fontId="1"/>
  </si>
  <si>
    <r>
      <rPr>
        <sz val="11"/>
        <rFont val="游ゴシック Medium"/>
        <family val="3"/>
        <charset val="128"/>
      </rPr>
      <t>日本神話のなりたち</t>
    </r>
    <rPh sb="0" eb="2">
      <t>ニホン</t>
    </rPh>
    <rPh sb="2" eb="4">
      <t>シンワ</t>
    </rPh>
    <phoneticPr fontId="1"/>
  </si>
  <si>
    <r>
      <rPr>
        <sz val="11"/>
        <rFont val="游ゴシック Medium"/>
        <family val="3"/>
        <charset val="128"/>
      </rPr>
      <t>日本人の女神信仰</t>
    </r>
    <rPh sb="0" eb="3">
      <t>ニホンジン</t>
    </rPh>
    <rPh sb="4" eb="6">
      <t>メガミ</t>
    </rPh>
    <rPh sb="6" eb="8">
      <t>シンコウ</t>
    </rPh>
    <phoneticPr fontId="1"/>
  </si>
  <si>
    <r>
      <rPr>
        <sz val="11"/>
        <rFont val="游ゴシック Medium"/>
        <family val="3"/>
        <charset val="128"/>
      </rPr>
      <t>伊藤比呂美</t>
    </r>
    <r>
      <rPr>
        <sz val="11"/>
        <rFont val="Consolas"/>
        <family val="3"/>
      </rPr>
      <t>|</t>
    </r>
    <r>
      <rPr>
        <sz val="11"/>
        <rFont val="游ゴシック Medium"/>
        <family val="3"/>
        <charset val="128"/>
      </rPr>
      <t>黒木</t>
    </r>
    <r>
      <rPr>
        <sz val="11"/>
        <rFont val="Consolas"/>
        <family val="3"/>
      </rPr>
      <t xml:space="preserve"> </t>
    </r>
    <r>
      <rPr>
        <sz val="11"/>
        <rFont val="游ゴシック Medium"/>
        <family val="3"/>
        <charset val="128"/>
      </rPr>
      <t>香</t>
    </r>
    <rPh sb="0" eb="2">
      <t>イトウ</t>
    </rPh>
    <rPh sb="2" eb="5">
      <t>ヒロミ</t>
    </rPh>
    <rPh sb="6" eb="8">
      <t>クロキ</t>
    </rPh>
    <rPh sb="9" eb="10">
      <t>カオル</t>
    </rPh>
    <phoneticPr fontId="1"/>
  </si>
  <si>
    <r>
      <rPr>
        <sz val="11"/>
        <rFont val="游ゴシック Medium"/>
        <family val="3"/>
        <charset val="128"/>
      </rPr>
      <t>性の構造</t>
    </r>
    <rPh sb="0" eb="1">
      <t>セイ</t>
    </rPh>
    <rPh sb="2" eb="4">
      <t>コウゾウ</t>
    </rPh>
    <phoneticPr fontId="1"/>
  </si>
  <si>
    <r>
      <rPr>
        <sz val="11"/>
        <rFont val="游ゴシック Medium"/>
        <family val="3"/>
        <charset val="128"/>
      </rPr>
      <t>金塚貞文</t>
    </r>
    <rPh sb="0" eb="2">
      <t>カネヅカ</t>
    </rPh>
    <rPh sb="2" eb="4">
      <t>サダフミ</t>
    </rPh>
    <phoneticPr fontId="1"/>
  </si>
  <si>
    <r>
      <rPr>
        <sz val="11"/>
        <rFont val="游ゴシック Medium"/>
        <family val="3"/>
        <charset val="128"/>
      </rPr>
      <t>眠ること　夢みること</t>
    </r>
    <rPh sb="0" eb="1">
      <t>ネム</t>
    </rPh>
    <rPh sb="5" eb="6">
      <t>ユメ</t>
    </rPh>
    <phoneticPr fontId="1"/>
  </si>
  <si>
    <r>
      <rPr>
        <sz val="11"/>
        <rFont val="游ゴシック Medium"/>
        <family val="3"/>
        <charset val="128"/>
      </rPr>
      <t>林</t>
    </r>
    <r>
      <rPr>
        <sz val="11"/>
        <rFont val="Consolas"/>
        <family val="3"/>
      </rPr>
      <t xml:space="preserve"> </t>
    </r>
    <r>
      <rPr>
        <sz val="11"/>
        <rFont val="游ゴシック Medium"/>
        <family val="3"/>
        <charset val="128"/>
      </rPr>
      <t>道義</t>
    </r>
    <rPh sb="0" eb="1">
      <t>ハヤシ</t>
    </rPh>
    <rPh sb="2" eb="4">
      <t>ミチヨシ</t>
    </rPh>
    <phoneticPr fontId="1"/>
  </si>
  <si>
    <r>
      <rPr>
        <sz val="11"/>
        <rFont val="游ゴシック Medium"/>
        <family val="3"/>
        <charset val="128"/>
      </rPr>
      <t>元型論</t>
    </r>
    <r>
      <rPr>
        <sz val="11"/>
        <rFont val="Consolas"/>
        <family val="3"/>
      </rPr>
      <t>/</t>
    </r>
    <r>
      <rPr>
        <sz val="11"/>
        <rFont val="游ゴシック Medium"/>
        <family val="3"/>
        <charset val="128"/>
      </rPr>
      <t>無意識の構造</t>
    </r>
    <r>
      <rPr>
        <sz val="11"/>
        <rFont val="Consolas"/>
        <family val="3"/>
      </rPr>
      <t>/Von den Wurzeln des Bewusstseins/The Concept of the Collective Unconscious</t>
    </r>
    <rPh sb="0" eb="2">
      <t>ゲンケイ</t>
    </rPh>
    <rPh sb="2" eb="3">
      <t>ロン</t>
    </rPh>
    <rPh sb="4" eb="7">
      <t>ムイシキ</t>
    </rPh>
    <rPh sb="8" eb="10">
      <t>コウゾウ</t>
    </rPh>
    <phoneticPr fontId="1"/>
  </si>
  <si>
    <r>
      <rPr>
        <sz val="11"/>
        <rFont val="游ゴシック Medium"/>
        <family val="3"/>
        <charset val="128"/>
      </rPr>
      <t>笠原</t>
    </r>
    <r>
      <rPr>
        <sz val="11"/>
        <rFont val="Consolas"/>
        <family val="3"/>
      </rPr>
      <t xml:space="preserve"> </t>
    </r>
    <r>
      <rPr>
        <sz val="11"/>
        <rFont val="游ゴシック Medium"/>
        <family val="3"/>
        <charset val="128"/>
      </rPr>
      <t>嘉･吉本千鶴子</t>
    </r>
    <rPh sb="0" eb="2">
      <t>カサハラ</t>
    </rPh>
    <rPh sb="3" eb="4">
      <t>ヨミシ</t>
    </rPh>
    <rPh sb="5" eb="7">
      <t>ヨシモト</t>
    </rPh>
    <rPh sb="7" eb="10">
      <t>チズコ</t>
    </rPh>
    <phoneticPr fontId="1"/>
  </si>
  <si>
    <r>
      <rPr>
        <sz val="11"/>
        <rFont val="游ゴシック Medium"/>
        <family val="3"/>
        <charset val="128"/>
      </rPr>
      <t>内なる異性</t>
    </r>
    <r>
      <rPr>
        <sz val="11"/>
        <rFont val="Consolas"/>
        <family val="3"/>
      </rPr>
      <t>/Animus</t>
    </r>
    <r>
      <rPr>
        <sz val="11"/>
        <rFont val="游ゴシック Medium"/>
        <family val="3"/>
        <charset val="128"/>
      </rPr>
      <t>と</t>
    </r>
    <r>
      <rPr>
        <sz val="11"/>
        <rFont val="Consolas"/>
        <family val="3"/>
      </rPr>
      <t>Anima/Ein Beitrag zum Problem des Animus/Die Anima als Naturwesen</t>
    </r>
    <rPh sb="0" eb="1">
      <t>ウチ</t>
    </rPh>
    <rPh sb="3" eb="5">
      <t>イセイ</t>
    </rPh>
    <rPh sb="6" eb="12">
      <t>アニムス</t>
    </rPh>
    <rPh sb="13" eb="18">
      <t>アニマ</t>
    </rPh>
    <phoneticPr fontId="1"/>
  </si>
  <si>
    <r>
      <t>1947</t>
    </r>
    <r>
      <rPr>
        <sz val="11"/>
        <rFont val="游ゴシック Medium"/>
        <family val="3"/>
        <charset val="128"/>
      </rPr>
      <t>･</t>
    </r>
    <r>
      <rPr>
        <sz val="11"/>
        <rFont val="Consolas"/>
        <family val="3"/>
      </rPr>
      <t>1955, 1976</t>
    </r>
    <phoneticPr fontId="1"/>
  </si>
  <si>
    <r>
      <rPr>
        <sz val="11"/>
        <rFont val="游ゴシック Medium"/>
        <family val="3"/>
        <charset val="128"/>
      </rPr>
      <t>海鳴社</t>
    </r>
    <rPh sb="0" eb="3">
      <t>カイメイシャ</t>
    </rPh>
    <phoneticPr fontId="1"/>
  </si>
  <si>
    <r>
      <rPr>
        <sz val="11"/>
        <rFont val="游ゴシック Medium"/>
        <family val="3"/>
        <charset val="128"/>
      </rPr>
      <t>河合隼雄</t>
    </r>
    <rPh sb="0" eb="2">
      <t>カワイ</t>
    </rPh>
    <rPh sb="2" eb="4">
      <t>ハヤオ</t>
    </rPh>
    <phoneticPr fontId="1"/>
  </si>
  <si>
    <r>
      <rPr>
        <sz val="11"/>
        <rFont val="游ゴシック Medium"/>
        <family val="3"/>
        <charset val="128"/>
      </rPr>
      <t>とりかえばや､男と女</t>
    </r>
    <rPh sb="7" eb="8">
      <t>オトコ</t>
    </rPh>
    <rPh sb="9" eb="10">
      <t>オンナ</t>
    </rPh>
    <phoneticPr fontId="1"/>
  </si>
  <si>
    <r>
      <rPr>
        <sz val="11"/>
        <rFont val="游ゴシック Medium"/>
        <family val="3"/>
        <charset val="128"/>
      </rPr>
      <t>氏原</t>
    </r>
    <r>
      <rPr>
        <sz val="11"/>
        <rFont val="Consolas"/>
        <family val="3"/>
      </rPr>
      <t xml:space="preserve"> </t>
    </r>
    <r>
      <rPr>
        <sz val="11"/>
        <rFont val="游ゴシック Medium"/>
        <family val="3"/>
        <charset val="128"/>
      </rPr>
      <t>寛</t>
    </r>
    <rPh sb="0" eb="2">
      <t>ウジハラ</t>
    </rPh>
    <rPh sb="3" eb="4">
      <t>ヒロシ</t>
    </rPh>
    <phoneticPr fontId="1"/>
  </si>
  <si>
    <r>
      <rPr>
        <sz val="11"/>
        <rFont val="游ゴシック Medium"/>
        <family val="3"/>
        <charset val="128"/>
      </rPr>
      <t>おとぎ話における</t>
    </r>
    <r>
      <rPr>
        <sz val="11"/>
        <rFont val="Consolas"/>
        <family val="3"/>
      </rPr>
      <t xml:space="preserve"> </t>
    </r>
    <r>
      <rPr>
        <sz val="11"/>
        <rFont val="游ゴシック Medium"/>
        <family val="3"/>
        <charset val="128"/>
      </rPr>
      <t>影</t>
    </r>
    <r>
      <rPr>
        <sz val="11"/>
        <rFont val="Consolas"/>
        <family val="3"/>
      </rPr>
      <t>/Shadow and Evil in Fairytales</t>
    </r>
    <rPh sb="3" eb="4">
      <t>バナシ</t>
    </rPh>
    <rPh sb="9" eb="10">
      <t>カゲ</t>
    </rPh>
    <phoneticPr fontId="1"/>
  </si>
  <si>
    <r>
      <rPr>
        <sz val="11"/>
        <rFont val="游ゴシック Medium"/>
        <family val="3"/>
        <charset val="128"/>
      </rPr>
      <t>藤原正彦･藤原美子</t>
    </r>
    <r>
      <rPr>
        <sz val="11"/>
        <rFont val="Consolas"/>
        <family val="3"/>
      </rPr>
      <t>/Agel,Jerome</t>
    </r>
    <rPh sb="0" eb="2">
      <t>フジワラ</t>
    </rPh>
    <rPh sb="2" eb="4">
      <t>マサヒコ</t>
    </rPh>
    <rPh sb="5" eb="7">
      <t>フジワラ</t>
    </rPh>
    <rPh sb="7" eb="9">
      <t>ヨシコ</t>
    </rPh>
    <rPh sb="15" eb="21">
      <t>ジェローム</t>
    </rPh>
    <phoneticPr fontId="1"/>
  </si>
  <si>
    <r>
      <rPr>
        <sz val="11"/>
        <rFont val="游ゴシック Medium"/>
        <family val="3"/>
        <charset val="128"/>
      </rPr>
      <t>訳</t>
    </r>
    <r>
      <rPr>
        <sz val="11"/>
        <rFont val="Consolas"/>
        <family val="3"/>
      </rPr>
      <t>/produce</t>
    </r>
    <rPh sb="0" eb="1">
      <t>ヤク</t>
    </rPh>
    <rPh sb="2" eb="9">
      <t>プロデュース</t>
    </rPh>
    <phoneticPr fontId="1"/>
  </si>
  <si>
    <r>
      <rPr>
        <sz val="11"/>
        <rFont val="游ゴシック Medium"/>
        <family val="3"/>
        <charset val="128"/>
      </rPr>
      <t>月の魔力</t>
    </r>
    <r>
      <rPr>
        <sz val="11"/>
        <rFont val="Consolas"/>
        <family val="3"/>
      </rPr>
      <t>/Biological Tides</t>
    </r>
    <r>
      <rPr>
        <sz val="11"/>
        <rFont val="游ゴシック Medium"/>
        <family val="3"/>
        <charset val="128"/>
      </rPr>
      <t>と人間の感情</t>
    </r>
    <r>
      <rPr>
        <sz val="11"/>
        <rFont val="Consolas"/>
        <family val="3"/>
      </rPr>
      <t>/The Lunar Effect-Biological Tides and Human Emotions</t>
    </r>
    <rPh sb="0" eb="1">
      <t>ツキ</t>
    </rPh>
    <rPh sb="2" eb="4">
      <t>マリョク</t>
    </rPh>
    <rPh sb="5" eb="21">
      <t>バイオタイド</t>
    </rPh>
    <rPh sb="22" eb="24">
      <t>ニンゲン</t>
    </rPh>
    <rPh sb="25" eb="27">
      <t>カンジョウ</t>
    </rPh>
    <phoneticPr fontId="1"/>
  </si>
  <si>
    <r>
      <rPr>
        <sz val="11"/>
        <rFont val="游ゴシック Medium"/>
        <family val="3"/>
        <charset val="128"/>
      </rPr>
      <t>東京書籍</t>
    </r>
    <rPh sb="0" eb="2">
      <t>トウキョウ</t>
    </rPh>
    <rPh sb="2" eb="4">
      <t>ショセキ</t>
    </rPh>
    <phoneticPr fontId="1"/>
  </si>
  <si>
    <r>
      <rPr>
        <sz val="11"/>
        <rFont val="游ゴシック Medium"/>
        <family val="3"/>
        <charset val="128"/>
      </rPr>
      <t>渡辺</t>
    </r>
    <r>
      <rPr>
        <sz val="11"/>
        <rFont val="Consolas"/>
        <family val="3"/>
      </rPr>
      <t xml:space="preserve"> </t>
    </r>
    <r>
      <rPr>
        <sz val="11"/>
        <rFont val="游ゴシック Medium"/>
        <family val="3"/>
        <charset val="128"/>
      </rPr>
      <t>淳･沢村昂一</t>
    </r>
    <rPh sb="0" eb="2">
      <t>ワタナベ</t>
    </rPh>
    <rPh sb="3" eb="4">
      <t>ジュン</t>
    </rPh>
    <rPh sb="5" eb="7">
      <t>サワムラ</t>
    </rPh>
    <rPh sb="7" eb="9">
      <t>コウイチ</t>
    </rPh>
    <phoneticPr fontId="1"/>
  </si>
  <si>
    <r>
      <rPr>
        <sz val="11"/>
        <rFont val="游ゴシック Medium"/>
        <family val="3"/>
        <charset val="128"/>
      </rPr>
      <t>零度の</t>
    </r>
    <r>
      <rPr>
        <sz val="11"/>
        <rFont val="Consolas"/>
        <family val="3"/>
      </rPr>
      <t>Ecriture/</t>
    </r>
    <r>
      <rPr>
        <sz val="11"/>
        <rFont val="游ゴシック Medium"/>
        <family val="3"/>
        <charset val="128"/>
      </rPr>
      <t>付･記号学の原理</t>
    </r>
    <r>
      <rPr>
        <sz val="11"/>
        <rFont val="Consolas"/>
        <family val="3"/>
      </rPr>
      <t>/Le Degre Zero de L'Ecriture/suivi de Elements de Semiologie</t>
    </r>
    <rPh sb="0" eb="2">
      <t>レイド</t>
    </rPh>
    <rPh sb="3" eb="11">
      <t>エクリチュール</t>
    </rPh>
    <rPh sb="12" eb="13">
      <t>フロク</t>
    </rPh>
    <rPh sb="14" eb="17">
      <t>キゴウガク</t>
    </rPh>
    <rPh sb="18" eb="20">
      <t>ゲンリ</t>
    </rPh>
    <phoneticPr fontId="1"/>
  </si>
  <si>
    <r>
      <t>1953</t>
    </r>
    <r>
      <rPr>
        <sz val="11"/>
        <rFont val="游ゴシック Medium"/>
        <family val="3"/>
        <charset val="128"/>
      </rPr>
      <t>･</t>
    </r>
    <r>
      <rPr>
        <sz val="11"/>
        <rFont val="Consolas"/>
        <family val="3"/>
      </rPr>
      <t>1964, 1971</t>
    </r>
    <phoneticPr fontId="1"/>
  </si>
  <si>
    <r>
      <rPr>
        <sz val="11"/>
        <rFont val="游ゴシック Medium"/>
        <family val="3"/>
        <charset val="128"/>
      </rPr>
      <t>みすず書房</t>
    </r>
    <rPh sb="3" eb="5">
      <t>ショボウ</t>
    </rPh>
    <phoneticPr fontId="1"/>
  </si>
  <si>
    <r>
      <rPr>
        <sz val="11"/>
        <rFont val="游ゴシック Medium"/>
        <family val="3"/>
        <charset val="128"/>
      </rPr>
      <t>ベイカー</t>
    </r>
    <r>
      <rPr>
        <sz val="11"/>
        <rFont val="Consolas"/>
        <family val="3"/>
      </rPr>
      <t>,</t>
    </r>
    <r>
      <rPr>
        <sz val="11"/>
        <rFont val="游ゴシック Medium"/>
        <family val="3"/>
        <charset val="128"/>
      </rPr>
      <t>ロビン</t>
    </r>
    <phoneticPr fontId="1"/>
  </si>
  <si>
    <r>
      <rPr>
        <sz val="11"/>
        <rFont val="游ゴシック Medium"/>
        <family val="3"/>
        <charset val="128"/>
      </rPr>
      <t>秋川百合</t>
    </r>
    <rPh sb="0" eb="2">
      <t>アキカワ</t>
    </rPh>
    <rPh sb="2" eb="4">
      <t>ユリ</t>
    </rPh>
    <phoneticPr fontId="1"/>
  </si>
  <si>
    <r>
      <rPr>
        <sz val="11"/>
        <rFont val="游ゴシック Medium"/>
        <family val="3"/>
        <charset val="128"/>
      </rPr>
      <t>精子戦争</t>
    </r>
    <r>
      <rPr>
        <sz val="11"/>
        <rFont val="Consolas"/>
        <family val="3"/>
      </rPr>
      <t>/</t>
    </r>
    <r>
      <rPr>
        <sz val="11"/>
        <rFont val="游ゴシック Medium"/>
        <family val="3"/>
        <charset val="128"/>
      </rPr>
      <t>性行動の謎を解く</t>
    </r>
    <r>
      <rPr>
        <sz val="11"/>
        <rFont val="Consolas"/>
        <family val="3"/>
      </rPr>
      <t>/Sperm Wars</t>
    </r>
    <rPh sb="0" eb="2">
      <t>セイシ</t>
    </rPh>
    <rPh sb="2" eb="4">
      <t>センソウ</t>
    </rPh>
    <rPh sb="5" eb="8">
      <t>セイコウドウ</t>
    </rPh>
    <rPh sb="9" eb="10">
      <t>ナゾ</t>
    </rPh>
    <rPh sb="11" eb="12">
      <t>ト</t>
    </rPh>
    <phoneticPr fontId="1"/>
  </si>
  <si>
    <r>
      <rPr>
        <sz val="11"/>
        <rFont val="游ゴシック Medium"/>
        <family val="3"/>
        <charset val="128"/>
      </rPr>
      <t>グリーンウッド</t>
    </r>
    <r>
      <rPr>
        <sz val="11"/>
        <rFont val="Consolas"/>
        <family val="3"/>
      </rPr>
      <t>,P.J.+</t>
    </r>
    <r>
      <rPr>
        <sz val="11"/>
        <rFont val="游ゴシック Medium"/>
        <family val="3"/>
        <charset val="128"/>
      </rPr>
      <t>アダムズ</t>
    </r>
    <r>
      <rPr>
        <sz val="11"/>
        <rFont val="Consolas"/>
        <family val="3"/>
      </rPr>
      <t>,J</t>
    </r>
    <phoneticPr fontId="1"/>
  </si>
  <si>
    <r>
      <rPr>
        <sz val="11"/>
        <rFont val="游ゴシック Medium"/>
        <family val="3"/>
        <charset val="128"/>
      </rPr>
      <t>巌佐</t>
    </r>
    <r>
      <rPr>
        <sz val="11"/>
        <rFont val="Consolas"/>
        <family val="3"/>
      </rPr>
      <t xml:space="preserve"> </t>
    </r>
    <r>
      <rPr>
        <sz val="11"/>
        <rFont val="游ゴシック Medium"/>
        <family val="3"/>
        <charset val="128"/>
      </rPr>
      <t>庸</t>
    </r>
    <r>
      <rPr>
        <sz val="11"/>
        <rFont val="Consolas"/>
        <family val="3"/>
      </rPr>
      <t>/</t>
    </r>
    <r>
      <rPr>
        <sz val="11"/>
        <rFont val="游ゴシック Medium"/>
        <family val="3"/>
        <charset val="128"/>
      </rPr>
      <t>佐々木顕</t>
    </r>
    <r>
      <rPr>
        <sz val="11"/>
        <rFont val="Consolas"/>
        <family val="3"/>
      </rPr>
      <t>+</t>
    </r>
    <r>
      <rPr>
        <sz val="11"/>
        <rFont val="游ゴシック Medium"/>
        <family val="3"/>
        <charset val="128"/>
      </rPr>
      <t>田町信雄</t>
    </r>
    <rPh sb="0" eb="1">
      <t>イワ</t>
    </rPh>
    <rPh sb="1" eb="2">
      <t>サ</t>
    </rPh>
    <rPh sb="3" eb="4">
      <t>ヨウ</t>
    </rPh>
    <rPh sb="5" eb="8">
      <t>ササキ</t>
    </rPh>
    <rPh sb="8" eb="9">
      <t>アキラ</t>
    </rPh>
    <rPh sb="10" eb="12">
      <t>タマチ</t>
    </rPh>
    <rPh sb="12" eb="14">
      <t>ノブオ</t>
    </rPh>
    <phoneticPr fontId="1"/>
  </si>
  <si>
    <r>
      <rPr>
        <sz val="11"/>
        <rFont val="游ゴシック Medium"/>
        <family val="3"/>
        <charset val="128"/>
      </rPr>
      <t>監訳</t>
    </r>
    <r>
      <rPr>
        <sz val="11"/>
        <rFont val="Consolas"/>
        <family val="3"/>
      </rPr>
      <t>/</t>
    </r>
    <r>
      <rPr>
        <sz val="11"/>
        <rFont val="游ゴシック Medium"/>
        <family val="3"/>
        <charset val="128"/>
      </rPr>
      <t>訳</t>
    </r>
    <rPh sb="0" eb="1">
      <t>カンシュウ</t>
    </rPh>
    <rPh sb="1" eb="2">
      <t>ヤク</t>
    </rPh>
    <rPh sb="3" eb="4">
      <t>ヤク</t>
    </rPh>
    <phoneticPr fontId="1"/>
  </si>
  <si>
    <r>
      <rPr>
        <sz val="11"/>
        <rFont val="游ゴシック Medium"/>
        <family val="3"/>
        <charset val="128"/>
      </rPr>
      <t>「性」の不思議がわかる本</t>
    </r>
    <r>
      <rPr>
        <sz val="11"/>
        <rFont val="Consolas"/>
        <family val="3"/>
      </rPr>
      <t>/</t>
    </r>
    <r>
      <rPr>
        <sz val="11"/>
        <rFont val="游ゴシック Medium"/>
        <family val="3"/>
        <charset val="128"/>
      </rPr>
      <t>♂と♀の進化生態学</t>
    </r>
    <rPh sb="1" eb="2">
      <t>セイ</t>
    </rPh>
    <rPh sb="4" eb="7">
      <t>フシギ</t>
    </rPh>
    <rPh sb="11" eb="12">
      <t>ホン</t>
    </rPh>
    <rPh sb="13" eb="14">
      <t>オトコ</t>
    </rPh>
    <rPh sb="15" eb="16">
      <t>オンナ</t>
    </rPh>
    <rPh sb="17" eb="19">
      <t>シンカ</t>
    </rPh>
    <rPh sb="19" eb="22">
      <t>セイタイガク</t>
    </rPh>
    <phoneticPr fontId="1"/>
  </si>
  <si>
    <r>
      <t>HBJ</t>
    </r>
    <r>
      <rPr>
        <sz val="11"/>
        <rFont val="游ゴシック Medium"/>
        <family val="3"/>
        <charset val="128"/>
      </rPr>
      <t>出版局</t>
    </r>
    <rPh sb="3" eb="6">
      <t>シュッパンキョク</t>
    </rPh>
    <phoneticPr fontId="1"/>
  </si>
  <si>
    <r>
      <rPr>
        <sz val="11"/>
        <rFont val="游ゴシック Medium"/>
        <family val="3"/>
        <charset val="128"/>
      </rPr>
      <t>朝山新一</t>
    </r>
    <r>
      <rPr>
        <sz val="11"/>
        <rFont val="Consolas"/>
        <family val="3"/>
      </rPr>
      <t>/</t>
    </r>
    <r>
      <rPr>
        <sz val="11"/>
        <rFont val="游ゴシック Medium"/>
        <family val="3"/>
        <charset val="128"/>
      </rPr>
      <t>訳</t>
    </r>
    <rPh sb="0" eb="2">
      <t>アサヤマ</t>
    </rPh>
    <rPh sb="2" eb="4">
      <t>シンイチ</t>
    </rPh>
    <rPh sb="5" eb="6">
      <t>ヤク</t>
    </rPh>
    <phoneticPr fontId="1"/>
  </si>
  <si>
    <r>
      <rPr>
        <sz val="11"/>
        <rFont val="游ゴシック Medium"/>
        <family val="3"/>
        <charset val="128"/>
      </rPr>
      <t>性の署名</t>
    </r>
    <r>
      <rPr>
        <sz val="11"/>
        <rFont val="Consolas"/>
        <family val="3"/>
      </rPr>
      <t>/</t>
    </r>
    <r>
      <rPr>
        <sz val="11"/>
        <rFont val="游ゴシック Medium"/>
        <family val="3"/>
        <charset val="128"/>
      </rPr>
      <t>問い直される男と女の意味</t>
    </r>
    <r>
      <rPr>
        <sz val="11"/>
        <rFont val="Consolas"/>
        <family val="3"/>
      </rPr>
      <t>/Sexual Signa</t>
    </r>
    <r>
      <rPr>
        <sz val="11"/>
        <rFont val="游ゴシック Medium"/>
        <family val="3"/>
        <charset val="128"/>
      </rPr>
      <t>･</t>
    </r>
    <r>
      <rPr>
        <sz val="11"/>
        <rFont val="Consolas"/>
        <family val="3"/>
      </rPr>
      <t>Tures/on Being a Man or a Woman</t>
    </r>
    <rPh sb="0" eb="1">
      <t>セイ</t>
    </rPh>
    <rPh sb="2" eb="4">
      <t>ショメイ</t>
    </rPh>
    <rPh sb="5" eb="8">
      <t>トイナオ</t>
    </rPh>
    <rPh sb="11" eb="12">
      <t>オトコ</t>
    </rPh>
    <rPh sb="13" eb="14">
      <t>オンナ</t>
    </rPh>
    <rPh sb="15" eb="17">
      <t>イミ</t>
    </rPh>
    <phoneticPr fontId="1"/>
  </si>
  <si>
    <r>
      <rPr>
        <sz val="11"/>
        <rFont val="游ゴシック Medium"/>
        <family val="3"/>
        <charset val="128"/>
      </rPr>
      <t>三砂</t>
    </r>
    <r>
      <rPr>
        <sz val="11"/>
        <rFont val="Consolas"/>
        <family val="3"/>
      </rPr>
      <t xml:space="preserve"> </t>
    </r>
    <r>
      <rPr>
        <sz val="11"/>
        <rFont val="游ゴシック Medium"/>
        <family val="3"/>
        <charset val="128"/>
      </rPr>
      <t>ちづる</t>
    </r>
    <rPh sb="0" eb="2">
      <t>ミサゴ</t>
    </rPh>
    <phoneticPr fontId="1"/>
  </si>
  <si>
    <r>
      <rPr>
        <sz val="11"/>
        <rFont val="游ゴシック Medium"/>
        <family val="3"/>
        <charset val="128"/>
      </rPr>
      <t>昔の女性はできていた</t>
    </r>
    <r>
      <rPr>
        <sz val="11"/>
        <rFont val="Consolas"/>
        <family val="3"/>
      </rPr>
      <t xml:space="preserve"> </t>
    </r>
    <r>
      <rPr>
        <sz val="11"/>
        <rFont val="游ゴシック Medium"/>
        <family val="3"/>
        <charset val="128"/>
      </rPr>
      <t>忘れられている女性の身体に</t>
    </r>
    <r>
      <rPr>
        <sz val="11"/>
        <rFont val="Consolas"/>
        <family val="3"/>
      </rPr>
      <t>"</t>
    </r>
    <r>
      <rPr>
        <sz val="11"/>
        <rFont val="游ゴシック Medium"/>
        <family val="3"/>
        <charset val="128"/>
      </rPr>
      <t>在る</t>
    </r>
    <r>
      <rPr>
        <sz val="11"/>
        <rFont val="Consolas"/>
        <family val="3"/>
      </rPr>
      <t>"</t>
    </r>
    <r>
      <rPr>
        <sz val="11"/>
        <rFont val="游ゴシック Medium"/>
        <family val="3"/>
        <charset val="128"/>
      </rPr>
      <t>力</t>
    </r>
    <rPh sb="0" eb="1">
      <t>ムカシ</t>
    </rPh>
    <rPh sb="2" eb="4">
      <t>ジョセイ</t>
    </rPh>
    <rPh sb="11" eb="12">
      <t>ワス</t>
    </rPh>
    <rPh sb="18" eb="20">
      <t>ジョセイ</t>
    </rPh>
    <rPh sb="21" eb="23">
      <t>シンタイ</t>
    </rPh>
    <rPh sb="25" eb="26">
      <t>ア</t>
    </rPh>
    <rPh sb="28" eb="29">
      <t>チカラ</t>
    </rPh>
    <phoneticPr fontId="1"/>
  </si>
  <si>
    <r>
      <rPr>
        <sz val="11"/>
        <rFont val="游ゴシック Medium"/>
        <family val="3"/>
        <charset val="128"/>
      </rPr>
      <t>種村季弘</t>
    </r>
    <rPh sb="0" eb="4">
      <t>タネムラスエヒロ</t>
    </rPh>
    <phoneticPr fontId="1"/>
  </si>
  <si>
    <r>
      <rPr>
        <sz val="11"/>
        <rFont val="游ゴシック Medium"/>
        <family val="3"/>
        <charset val="128"/>
      </rPr>
      <t>美術稿集成</t>
    </r>
    <rPh sb="0" eb="2">
      <t>ビジュツ</t>
    </rPh>
    <rPh sb="2" eb="3">
      <t>コウ</t>
    </rPh>
    <rPh sb="3" eb="5">
      <t>シュウセイ</t>
    </rPh>
    <phoneticPr fontId="1"/>
  </si>
  <si>
    <r>
      <rPr>
        <sz val="11"/>
        <rFont val="游ゴシック Medium"/>
        <family val="3"/>
        <charset val="128"/>
      </rPr>
      <t>断片からの世界</t>
    </r>
    <rPh sb="0" eb="7">
      <t>ダンペン</t>
    </rPh>
    <phoneticPr fontId="1"/>
  </si>
  <si>
    <r>
      <rPr>
        <sz val="11"/>
        <rFont val="游ゴシック Medium"/>
        <family val="3"/>
        <charset val="128"/>
      </rPr>
      <t>秋山祐徳太子</t>
    </r>
    <r>
      <rPr>
        <sz val="11"/>
        <rFont val="Consolas"/>
        <family val="3"/>
      </rPr>
      <t xml:space="preserve"> </t>
    </r>
    <r>
      <rPr>
        <sz val="11"/>
        <rFont val="游ゴシック Medium"/>
        <family val="3"/>
        <charset val="128"/>
      </rPr>
      <t>経由で贈呈か</t>
    </r>
    <rPh sb="0" eb="6">
      <t>アキヤマユウトクタイシ</t>
    </rPh>
    <rPh sb="7" eb="9">
      <t>ケイユ</t>
    </rPh>
    <rPh sb="10" eb="12">
      <t>ゾウテイ</t>
    </rPh>
    <phoneticPr fontId="1"/>
  </si>
  <si>
    <r>
      <rPr>
        <sz val="11"/>
        <rFont val="游ゴシック Medium"/>
        <family val="3"/>
        <charset val="128"/>
      </rPr>
      <t>よーこの漬物袋から発掘</t>
    </r>
    <rPh sb="4" eb="6">
      <t>ツケモノ</t>
    </rPh>
    <rPh sb="6" eb="7">
      <t>ブクロ</t>
    </rPh>
    <rPh sb="9" eb="11">
      <t>ハックツ</t>
    </rPh>
    <phoneticPr fontId="1"/>
  </si>
  <si>
    <r>
      <rPr>
        <sz val="11"/>
        <rFont val="游ゴシック Medium"/>
        <family val="3"/>
        <charset val="128"/>
      </rPr>
      <t>美術手帖出版部</t>
    </r>
    <rPh sb="0" eb="2">
      <t>ビジュツ</t>
    </rPh>
    <rPh sb="2" eb="4">
      <t>テチョウ</t>
    </rPh>
    <rPh sb="4" eb="7">
      <t>シュッパンブ</t>
    </rPh>
    <phoneticPr fontId="1"/>
  </si>
  <si>
    <r>
      <rPr>
        <sz val="11"/>
        <rFont val="游ゴシック Medium"/>
        <family val="3"/>
        <charset val="128"/>
      </rPr>
      <t>現代美術─</t>
    </r>
    <r>
      <rPr>
        <sz val="11"/>
        <rFont val="Consolas"/>
        <family val="3"/>
      </rPr>
      <t>Warhol</t>
    </r>
    <r>
      <rPr>
        <sz val="11"/>
        <rFont val="游ゴシック Medium"/>
        <family val="3"/>
        <charset val="128"/>
      </rPr>
      <t>以後（</t>
    </r>
    <r>
      <rPr>
        <sz val="11"/>
        <rFont val="Consolas"/>
        <family val="3"/>
      </rPr>
      <t>Pop to NEO GEO and beyond</t>
    </r>
    <r>
      <rPr>
        <sz val="11"/>
        <rFont val="游ゴシック Medium"/>
        <family val="3"/>
        <charset val="128"/>
      </rPr>
      <t>）</t>
    </r>
    <rPh sb="0" eb="4">
      <t>ゲンダイビジュツ</t>
    </rPh>
    <rPh sb="5" eb="11">
      <t>ウォーホル</t>
    </rPh>
    <rPh sb="11" eb="13">
      <t>イゴ</t>
    </rPh>
    <phoneticPr fontId="1"/>
  </si>
  <si>
    <r>
      <rPr>
        <sz val="11"/>
        <rFont val="游ゴシック Medium"/>
        <family val="3"/>
        <charset val="128"/>
      </rPr>
      <t>美術出版社（</t>
    </r>
    <r>
      <rPr>
        <sz val="11"/>
        <rFont val="Consolas"/>
        <family val="3"/>
      </rPr>
      <t>ass</t>
    </r>
    <r>
      <rPr>
        <sz val="11"/>
        <rFont val="游ゴシック Medium"/>
        <family val="3"/>
        <charset val="128"/>
      </rPr>
      <t>）</t>
    </r>
    <rPh sb="0" eb="2">
      <t>ビジュツ</t>
    </rPh>
    <rPh sb="2" eb="5">
      <t>シュッパンシャ</t>
    </rPh>
    <phoneticPr fontId="1"/>
  </si>
  <si>
    <r>
      <rPr>
        <sz val="11"/>
        <rFont val="游ゴシック Medium"/>
        <family val="3"/>
        <charset val="128"/>
      </rPr>
      <t>ロバート･アトキンス</t>
    </r>
    <phoneticPr fontId="1"/>
  </si>
  <si>
    <r>
      <rPr>
        <sz val="11"/>
        <rFont val="游ゴシック Medium"/>
        <family val="3"/>
        <charset val="128"/>
      </rPr>
      <t>杉山悦子</t>
    </r>
    <r>
      <rPr>
        <sz val="11"/>
        <rFont val="Consolas"/>
        <family val="3"/>
      </rPr>
      <t>+</t>
    </r>
    <r>
      <rPr>
        <sz val="11"/>
        <rFont val="游ゴシック Medium"/>
        <family val="3"/>
        <charset val="128"/>
      </rPr>
      <t>及部奈津</t>
    </r>
    <r>
      <rPr>
        <sz val="11"/>
        <rFont val="Consolas"/>
        <family val="3"/>
      </rPr>
      <t>+</t>
    </r>
    <r>
      <rPr>
        <sz val="11"/>
        <rFont val="游ゴシック Medium"/>
        <family val="3"/>
        <charset val="128"/>
      </rPr>
      <t>水谷みつる</t>
    </r>
    <rPh sb="0" eb="2">
      <t>スギヤマ</t>
    </rPh>
    <rPh sb="2" eb="4">
      <t>エツコ</t>
    </rPh>
    <rPh sb="5" eb="7">
      <t>オイベ</t>
    </rPh>
    <rPh sb="7" eb="9">
      <t>ナツ</t>
    </rPh>
    <rPh sb="10" eb="12">
      <t>ミズタニ</t>
    </rPh>
    <phoneticPr fontId="1"/>
  </si>
  <si>
    <r>
      <rPr>
        <sz val="11"/>
        <rFont val="游ゴシック Medium"/>
        <family val="3"/>
        <charset val="128"/>
      </rPr>
      <t>現代美術の</t>
    </r>
    <r>
      <rPr>
        <sz val="11"/>
        <rFont val="Consolas"/>
        <family val="3"/>
      </rPr>
      <t>Key Word/Art Speak</t>
    </r>
    <rPh sb="0" eb="4">
      <t>ゲンダイビジュツ</t>
    </rPh>
    <rPh sb="5" eb="13">
      <t>キー　ワード</t>
    </rPh>
    <rPh sb="14" eb="23">
      <t>アート　スピーク</t>
    </rPh>
    <phoneticPr fontId="1"/>
  </si>
  <si>
    <r>
      <rPr>
        <sz val="11"/>
        <rFont val="游ゴシック Medium"/>
        <family val="3"/>
        <charset val="128"/>
      </rPr>
      <t>美術出版社</t>
    </r>
    <rPh sb="0" eb="2">
      <t>ビジュツ</t>
    </rPh>
    <rPh sb="2" eb="5">
      <t>シュッパンシャ</t>
    </rPh>
    <phoneticPr fontId="1"/>
  </si>
  <si>
    <r>
      <rPr>
        <sz val="11"/>
        <rFont val="游ゴシック Medium"/>
        <family val="3"/>
        <charset val="128"/>
      </rPr>
      <t>エ･カーメネヴァ</t>
    </r>
    <phoneticPr fontId="1"/>
  </si>
  <si>
    <r>
      <rPr>
        <sz val="11"/>
        <rFont val="游ゴシック Medium"/>
        <family val="3"/>
        <charset val="128"/>
      </rPr>
      <t>多田信作</t>
    </r>
    <rPh sb="0" eb="2">
      <t>タダ</t>
    </rPh>
    <rPh sb="2" eb="4">
      <t>シンサク</t>
    </rPh>
    <phoneticPr fontId="1"/>
  </si>
  <si>
    <r>
      <rPr>
        <sz val="11"/>
        <rFont val="游ゴシック Medium"/>
        <family val="3"/>
        <charset val="128"/>
      </rPr>
      <t>美術</t>
    </r>
    <r>
      <rPr>
        <sz val="11"/>
        <rFont val="Consolas"/>
        <family val="3"/>
      </rPr>
      <t>Genre/</t>
    </r>
    <r>
      <rPr>
        <sz val="11"/>
        <rFont val="游ゴシック Medium"/>
        <family val="3"/>
        <charset val="128"/>
      </rPr>
      <t>用語･技法</t>
    </r>
    <rPh sb="0" eb="2">
      <t>ビジュツ</t>
    </rPh>
    <rPh sb="2" eb="7">
      <t>ジャンル</t>
    </rPh>
    <rPh sb="8" eb="10">
      <t>ヨウゴ</t>
    </rPh>
    <rPh sb="11" eb="13">
      <t>ギホウ</t>
    </rPh>
    <phoneticPr fontId="1"/>
  </si>
  <si>
    <r>
      <rPr>
        <sz val="11"/>
        <rFont val="游ゴシック Medium"/>
        <family val="3"/>
        <charset val="128"/>
      </rPr>
      <t>造形社</t>
    </r>
    <rPh sb="0" eb="2">
      <t>ゾウケイ</t>
    </rPh>
    <rPh sb="2" eb="3">
      <t>シャ</t>
    </rPh>
    <phoneticPr fontId="1"/>
  </si>
  <si>
    <r>
      <rPr>
        <sz val="11"/>
        <rFont val="游ゴシック Medium"/>
        <family val="3"/>
        <charset val="128"/>
      </rPr>
      <t>歌謡曲番外地</t>
    </r>
    <r>
      <rPr>
        <sz val="11"/>
        <rFont val="Consolas"/>
        <family val="3"/>
      </rPr>
      <t>/Queen of Japanese Pops</t>
    </r>
    <rPh sb="0" eb="3">
      <t>カヨウキョク</t>
    </rPh>
    <rPh sb="3" eb="6">
      <t>バンガイチ</t>
    </rPh>
    <phoneticPr fontId="1"/>
  </si>
  <si>
    <r>
      <t>vol.1 Hotwax presents/</t>
    </r>
    <r>
      <rPr>
        <sz val="11"/>
        <rFont val="游ゴシック Medium"/>
        <family val="3"/>
        <charset val="128"/>
      </rPr>
      <t>復刻</t>
    </r>
    <r>
      <rPr>
        <sz val="11"/>
        <rFont val="Consolas"/>
        <family val="3"/>
      </rPr>
      <t>CD</t>
    </r>
    <r>
      <rPr>
        <sz val="11"/>
        <rFont val="游ゴシック Medium"/>
        <family val="3"/>
        <charset val="128"/>
      </rPr>
      <t>付</t>
    </r>
    <r>
      <rPr>
        <sz val="11"/>
        <rFont val="Consolas"/>
        <family val="3"/>
      </rPr>
      <t xml:space="preserve"> </t>
    </r>
    <r>
      <rPr>
        <sz val="11"/>
        <rFont val="游ゴシック Medium"/>
        <family val="3"/>
        <charset val="128"/>
      </rPr>
      <t>杉本エマ</t>
    </r>
    <r>
      <rPr>
        <sz val="11"/>
        <rFont val="Consolas"/>
        <family val="3"/>
      </rPr>
      <t xml:space="preserve"> </t>
    </r>
    <r>
      <rPr>
        <sz val="11"/>
        <rFont val="游ゴシック Medium"/>
        <family val="3"/>
        <charset val="128"/>
      </rPr>
      <t>好き</t>
    </r>
    <rPh sb="22" eb="24">
      <t>フッコク</t>
    </rPh>
    <rPh sb="26" eb="27">
      <t>ツキ</t>
    </rPh>
    <rPh sb="28" eb="30">
      <t>スギモト</t>
    </rPh>
    <rPh sb="33" eb="34">
      <t>ス</t>
    </rPh>
    <phoneticPr fontId="1"/>
  </si>
  <si>
    <r>
      <rPr>
        <sz val="11"/>
        <rFont val="游ゴシック Medium"/>
        <family val="3"/>
        <charset val="128"/>
      </rPr>
      <t>シンコー・ミュージック・エンタテイメント</t>
    </r>
    <phoneticPr fontId="1"/>
  </si>
  <si>
    <r>
      <t>Cage,John/Daniel Charles</t>
    </r>
    <r>
      <rPr>
        <sz val="11"/>
        <rFont val="游ゴシック Medium"/>
        <family val="3"/>
        <charset val="128"/>
      </rPr>
      <t>との対談</t>
    </r>
    <rPh sb="0" eb="4">
      <t>ケージ</t>
    </rPh>
    <rPh sb="5" eb="9">
      <t>ジョン</t>
    </rPh>
    <rPh sb="10" eb="16">
      <t>ダニエル</t>
    </rPh>
    <rPh sb="17" eb="24">
      <t>シャルル</t>
    </rPh>
    <rPh sb="26" eb="28">
      <t>タイダン</t>
    </rPh>
    <phoneticPr fontId="1"/>
  </si>
  <si>
    <r>
      <rPr>
        <sz val="11"/>
        <rFont val="游ゴシック Medium"/>
        <family val="3"/>
        <charset val="128"/>
      </rPr>
      <t>青山</t>
    </r>
    <r>
      <rPr>
        <sz val="11"/>
        <rFont val="Consolas"/>
        <family val="3"/>
      </rPr>
      <t xml:space="preserve"> </t>
    </r>
    <r>
      <rPr>
        <sz val="11"/>
        <rFont val="游ゴシック Medium"/>
        <family val="3"/>
        <charset val="128"/>
      </rPr>
      <t>マミ</t>
    </r>
    <rPh sb="0" eb="2">
      <t>アオヤマ</t>
    </rPh>
    <phoneticPr fontId="1"/>
  </si>
  <si>
    <r>
      <t xml:space="preserve">John Cage </t>
    </r>
    <r>
      <rPr>
        <b/>
        <sz val="11"/>
        <color indexed="33"/>
        <rFont val="游ゴシック Medium"/>
        <family val="3"/>
        <charset val="128"/>
      </rPr>
      <t>小鳥たちのために</t>
    </r>
    <rPh sb="0" eb="9">
      <t>ジョン　ケージ</t>
    </rPh>
    <rPh sb="10" eb="12">
      <t>コトリ</t>
    </rPh>
    <phoneticPr fontId="1"/>
  </si>
  <si>
    <r>
      <rPr>
        <sz val="11"/>
        <rFont val="游ゴシック Medium"/>
        <family val="3"/>
        <charset val="128"/>
      </rPr>
      <t>人に貸したか、なくて久しいので書い直し</t>
    </r>
    <rPh sb="0" eb="1">
      <t>ヒト</t>
    </rPh>
    <rPh sb="2" eb="3">
      <t>カ</t>
    </rPh>
    <rPh sb="10" eb="11">
      <t>ヒサ</t>
    </rPh>
    <rPh sb="15" eb="16">
      <t>カ</t>
    </rPh>
    <rPh sb="17" eb="18">
      <t>ナオ</t>
    </rPh>
    <phoneticPr fontId="1"/>
  </si>
  <si>
    <r>
      <rPr>
        <sz val="11"/>
        <rFont val="游ゴシック Medium"/>
        <family val="3"/>
        <charset val="128"/>
      </rPr>
      <t>写真集</t>
    </r>
    <r>
      <rPr>
        <sz val="11"/>
        <rFont val="Consolas"/>
        <family val="3"/>
      </rPr>
      <t>/music</t>
    </r>
    <rPh sb="0" eb="3">
      <t>シャシンシュウ</t>
    </rPh>
    <phoneticPr fontId="1"/>
  </si>
  <si>
    <r>
      <rPr>
        <sz val="11"/>
        <rFont val="游ゴシック Medium"/>
        <family val="3"/>
        <charset val="128"/>
      </rPr>
      <t>庄野</t>
    </r>
    <r>
      <rPr>
        <sz val="11"/>
        <rFont val="Consolas"/>
        <family val="3"/>
      </rPr>
      <t xml:space="preserve"> </t>
    </r>
    <r>
      <rPr>
        <sz val="11"/>
        <rFont val="游ゴシック Medium"/>
        <family val="3"/>
        <charset val="128"/>
      </rPr>
      <t>進</t>
    </r>
    <rPh sb="0" eb="2">
      <t>ショウノ</t>
    </rPh>
    <rPh sb="3" eb="4">
      <t>ススム</t>
    </rPh>
    <phoneticPr fontId="1"/>
  </si>
  <si>
    <r>
      <rPr>
        <sz val="11"/>
        <rFont val="游ゴシック Medium"/>
        <family val="3"/>
        <charset val="128"/>
      </rPr>
      <t>聴取の詩学</t>
    </r>
    <r>
      <rPr>
        <sz val="11"/>
        <rFont val="Consolas"/>
        <family val="3"/>
      </rPr>
      <t xml:space="preserve"> Poetics of Listening - J.Cage</t>
    </r>
    <r>
      <rPr>
        <sz val="11"/>
        <rFont val="游ゴシック Medium"/>
        <family val="3"/>
        <charset val="128"/>
      </rPr>
      <t>から</t>
    </r>
    <r>
      <rPr>
        <sz val="11"/>
        <rFont val="Consolas"/>
        <family val="3"/>
      </rPr>
      <t xml:space="preserve"> </t>
    </r>
    <r>
      <rPr>
        <sz val="11"/>
        <rFont val="游ゴシック Medium"/>
        <family val="3"/>
        <charset val="128"/>
      </rPr>
      <t>そして</t>
    </r>
    <r>
      <rPr>
        <sz val="11"/>
        <rFont val="Consolas"/>
        <family val="3"/>
      </rPr>
      <t xml:space="preserve"> J.Cage</t>
    </r>
    <r>
      <rPr>
        <sz val="11"/>
        <rFont val="游ゴシック Medium"/>
        <family val="3"/>
        <charset val="128"/>
      </rPr>
      <t>へ</t>
    </r>
    <rPh sb="0" eb="2">
      <t>チョウシュ</t>
    </rPh>
    <rPh sb="3" eb="5">
      <t>シガク</t>
    </rPh>
    <rPh sb="31" eb="35">
      <t>ケージ</t>
    </rPh>
    <rPh sb="44" eb="48">
      <t>ケージ</t>
    </rPh>
    <phoneticPr fontId="1"/>
  </si>
  <si>
    <r>
      <rPr>
        <sz val="11"/>
        <rFont val="游ゴシック Medium"/>
        <family val="3"/>
        <charset val="128"/>
      </rPr>
      <t>勁草書房</t>
    </r>
    <rPh sb="0" eb="2">
      <t>ケイソウ</t>
    </rPh>
    <rPh sb="2" eb="4">
      <t>ショボウ</t>
    </rPh>
    <phoneticPr fontId="1"/>
  </si>
  <si>
    <r>
      <rPr>
        <sz val="11"/>
        <rFont val="游ゴシック Medium"/>
        <family val="3"/>
        <charset val="128"/>
      </rPr>
      <t>武田</t>
    </r>
    <r>
      <rPr>
        <sz val="11"/>
        <rFont val="Consolas"/>
        <family val="3"/>
      </rPr>
      <t xml:space="preserve"> </t>
    </r>
    <r>
      <rPr>
        <sz val="11"/>
        <rFont val="游ゴシック Medium"/>
        <family val="3"/>
        <charset val="128"/>
      </rPr>
      <t>明倫</t>
    </r>
    <rPh sb="0" eb="2">
      <t>タケダ</t>
    </rPh>
    <rPh sb="3" eb="5">
      <t>アキミチ</t>
    </rPh>
    <phoneticPr fontId="1"/>
  </si>
  <si>
    <r>
      <rPr>
        <sz val="11"/>
        <rFont val="游ゴシック Medium"/>
        <family val="3"/>
        <charset val="128"/>
      </rPr>
      <t>現代音楽</t>
    </r>
    <r>
      <rPr>
        <sz val="11"/>
        <rFont val="Consolas"/>
        <family val="3"/>
      </rPr>
      <t>Note</t>
    </r>
    <rPh sb="0" eb="4">
      <t>ゲンダイオンガク</t>
    </rPh>
    <rPh sb="4" eb="8">
      <t>ノート</t>
    </rPh>
    <phoneticPr fontId="1"/>
  </si>
  <si>
    <r>
      <t>&lt;</t>
    </r>
    <r>
      <rPr>
        <sz val="11"/>
        <rFont val="游ゴシック Medium"/>
        <family val="3"/>
        <charset val="128"/>
      </rPr>
      <t>今日の音楽</t>
    </r>
    <r>
      <rPr>
        <sz val="11"/>
        <rFont val="Consolas"/>
        <family val="3"/>
      </rPr>
      <t>&gt;</t>
    </r>
    <r>
      <rPr>
        <sz val="11"/>
        <rFont val="游ゴシック Medium"/>
        <family val="3"/>
        <charset val="128"/>
      </rPr>
      <t>シリーズ･</t>
    </r>
    <r>
      <rPr>
        <sz val="11"/>
        <rFont val="Consolas"/>
        <family val="3"/>
      </rPr>
      <t>3</t>
    </r>
    <rPh sb="1" eb="3">
      <t>コンニチ</t>
    </rPh>
    <rPh sb="4" eb="6">
      <t>オンガク</t>
    </rPh>
    <phoneticPr fontId="1"/>
  </si>
  <si>
    <r>
      <rPr>
        <sz val="11"/>
        <rFont val="游ゴシック Medium"/>
        <family val="3"/>
        <charset val="128"/>
      </rPr>
      <t>深夜叢書社＋東京音楽社</t>
    </r>
    <rPh sb="0" eb="2">
      <t>シンヤ</t>
    </rPh>
    <rPh sb="2" eb="4">
      <t>ソウショ</t>
    </rPh>
    <rPh sb="4" eb="5">
      <t>シャ</t>
    </rPh>
    <rPh sb="6" eb="8">
      <t>トウキョウ</t>
    </rPh>
    <rPh sb="8" eb="10">
      <t>オンガク</t>
    </rPh>
    <rPh sb="10" eb="11">
      <t>シャ</t>
    </rPh>
    <phoneticPr fontId="1"/>
  </si>
  <si>
    <r>
      <rPr>
        <sz val="11"/>
        <rFont val="游ゴシック Medium"/>
        <family val="3"/>
        <charset val="128"/>
      </rPr>
      <t>椎名</t>
    </r>
    <r>
      <rPr>
        <sz val="11"/>
        <rFont val="Consolas"/>
        <family val="3"/>
      </rPr>
      <t xml:space="preserve"> </t>
    </r>
    <r>
      <rPr>
        <sz val="11"/>
        <rFont val="游ゴシック Medium"/>
        <family val="3"/>
        <charset val="128"/>
      </rPr>
      <t>亮輔</t>
    </r>
    <rPh sb="0" eb="2">
      <t>シイナ</t>
    </rPh>
    <phoneticPr fontId="1"/>
  </si>
  <si>
    <r>
      <rPr>
        <sz val="11"/>
        <rFont val="游ゴシック Medium"/>
        <family val="3"/>
        <charset val="128"/>
      </rPr>
      <t>実験音楽─</t>
    </r>
    <r>
      <rPr>
        <sz val="11"/>
        <rFont val="Consolas"/>
        <family val="3"/>
      </rPr>
      <t>Cage</t>
    </r>
    <r>
      <rPr>
        <sz val="11"/>
        <rFont val="游ゴシック Medium"/>
        <family val="3"/>
        <charset val="128"/>
      </rPr>
      <t>とその後</t>
    </r>
    <rPh sb="0" eb="2">
      <t>ジッケン</t>
    </rPh>
    <rPh sb="2" eb="4">
      <t>オンガク</t>
    </rPh>
    <rPh sb="5" eb="9">
      <t>ケージ</t>
    </rPh>
    <rPh sb="12" eb="13">
      <t>ゴ</t>
    </rPh>
    <phoneticPr fontId="1"/>
  </si>
  <si>
    <r>
      <rPr>
        <sz val="11"/>
        <rFont val="游ゴシック Medium"/>
        <family val="3"/>
        <charset val="128"/>
      </rPr>
      <t>水声社</t>
    </r>
    <rPh sb="0" eb="3">
      <t>スイセイシャ</t>
    </rPh>
    <phoneticPr fontId="1"/>
  </si>
  <si>
    <r>
      <rPr>
        <sz val="11"/>
        <rFont val="游ゴシック Medium"/>
        <family val="3"/>
        <charset val="128"/>
      </rPr>
      <t>岩佐</t>
    </r>
    <r>
      <rPr>
        <sz val="11"/>
        <rFont val="Consolas"/>
        <family val="3"/>
      </rPr>
      <t xml:space="preserve"> </t>
    </r>
    <r>
      <rPr>
        <sz val="11"/>
        <rFont val="游ゴシック Medium"/>
        <family val="3"/>
        <charset val="128"/>
      </rPr>
      <t>鉄男</t>
    </r>
    <rPh sb="0" eb="2">
      <t>イワサ</t>
    </rPh>
    <rPh sb="3" eb="5">
      <t>テツオ</t>
    </rPh>
    <phoneticPr fontId="1"/>
  </si>
  <si>
    <r>
      <rPr>
        <sz val="11"/>
        <rFont val="游ゴシック Medium"/>
        <family val="3"/>
        <charset val="128"/>
      </rPr>
      <t>叢書･言語の政治</t>
    </r>
    <r>
      <rPr>
        <sz val="11"/>
        <rFont val="Consolas"/>
        <family val="3"/>
      </rPr>
      <t>…3</t>
    </r>
    <rPh sb="0" eb="2">
      <t>ソウショ</t>
    </rPh>
    <rPh sb="3" eb="5">
      <t>ゲンゴ</t>
    </rPh>
    <rPh sb="6" eb="8">
      <t>セイジ</t>
    </rPh>
    <phoneticPr fontId="1"/>
  </si>
  <si>
    <r>
      <rPr>
        <sz val="11"/>
        <rFont val="游ゴシック Medium"/>
        <family val="3"/>
        <charset val="128"/>
      </rPr>
      <t>書肆･風の薔薇／白馬書房</t>
    </r>
    <rPh sb="0" eb="2">
      <t>ショシ</t>
    </rPh>
    <rPh sb="3" eb="7">
      <t>カゼノバラ</t>
    </rPh>
    <rPh sb="8" eb="10">
      <t>ハクバ</t>
    </rPh>
    <rPh sb="10" eb="12">
      <t>ショボウ</t>
    </rPh>
    <phoneticPr fontId="1"/>
  </si>
  <si>
    <r>
      <rPr>
        <sz val="11"/>
        <rFont val="游ゴシック Medium"/>
        <family val="3"/>
        <charset val="128"/>
      </rPr>
      <t>リプロポート</t>
    </r>
    <phoneticPr fontId="1"/>
  </si>
  <si>
    <r>
      <rPr>
        <sz val="11"/>
        <rFont val="游ゴシック Medium"/>
        <family val="3"/>
        <charset val="128"/>
      </rPr>
      <t>現代詩手帖</t>
    </r>
    <r>
      <rPr>
        <sz val="11"/>
        <rFont val="Consolas"/>
        <family val="3"/>
      </rPr>
      <t>4</t>
    </r>
    <r>
      <rPr>
        <sz val="11"/>
        <rFont val="游ゴシック Medium"/>
        <family val="3"/>
        <charset val="128"/>
      </rPr>
      <t>月臨時増刊</t>
    </r>
    <rPh sb="0" eb="2">
      <t>ゲンダイ</t>
    </rPh>
    <rPh sb="2" eb="3">
      <t>シ</t>
    </rPh>
    <rPh sb="3" eb="5">
      <t>テチョウ</t>
    </rPh>
    <rPh sb="5" eb="7">
      <t>４ガツ</t>
    </rPh>
    <rPh sb="7" eb="11">
      <t>リンジゾウカン</t>
    </rPh>
    <phoneticPr fontId="1"/>
  </si>
  <si>
    <r>
      <t>21</t>
    </r>
    <r>
      <rPr>
        <sz val="11"/>
        <rFont val="游ゴシック Medium"/>
        <family val="3"/>
        <charset val="128"/>
      </rPr>
      <t>世紀版画</t>
    </r>
    <r>
      <rPr>
        <sz val="11"/>
        <rFont val="Consolas"/>
        <family val="3"/>
      </rPr>
      <t xml:space="preserve"> 1992/11</t>
    </r>
    <rPh sb="2" eb="4">
      <t>セイキ</t>
    </rPh>
    <rPh sb="4" eb="6">
      <t>ハンガ</t>
    </rPh>
    <phoneticPr fontId="1"/>
  </si>
  <si>
    <r>
      <rPr>
        <sz val="11"/>
        <rFont val="游ゴシック Medium"/>
        <family val="3"/>
        <charset val="128"/>
      </rPr>
      <t>◎特集◎</t>
    </r>
    <r>
      <rPr>
        <sz val="11"/>
        <rFont val="Consolas"/>
        <family val="3"/>
      </rPr>
      <t xml:space="preserve"> John Cage</t>
    </r>
    <rPh sb="1" eb="3">
      <t>トクシュウ</t>
    </rPh>
    <rPh sb="5" eb="14">
      <t>ジョン　ケージ</t>
    </rPh>
    <phoneticPr fontId="1"/>
  </si>
  <si>
    <r>
      <t>21</t>
    </r>
    <r>
      <rPr>
        <sz val="11"/>
        <rFont val="游ゴシック Medium"/>
        <family val="3"/>
        <charset val="128"/>
      </rPr>
      <t>世紀版画</t>
    </r>
    <rPh sb="2" eb="4">
      <t>セイキ</t>
    </rPh>
    <rPh sb="4" eb="6">
      <t>ハンガ</t>
    </rPh>
    <phoneticPr fontId="1"/>
  </si>
  <si>
    <r>
      <rPr>
        <sz val="11"/>
        <rFont val="游ゴシック Medium"/>
        <family val="3"/>
        <charset val="128"/>
      </rPr>
      <t>悠思社</t>
    </r>
    <rPh sb="0" eb="3">
      <t>ユウシシャ</t>
    </rPh>
    <phoneticPr fontId="1"/>
  </si>
  <si>
    <r>
      <rPr>
        <sz val="11"/>
        <rFont val="游ゴシック Medium"/>
        <family val="3"/>
        <charset val="128"/>
      </rPr>
      <t>中村</t>
    </r>
    <r>
      <rPr>
        <sz val="11"/>
        <rFont val="Consolas"/>
        <family val="3"/>
      </rPr>
      <t xml:space="preserve"> </t>
    </r>
    <r>
      <rPr>
        <sz val="11"/>
        <rFont val="游ゴシック Medium"/>
        <family val="3"/>
        <charset val="128"/>
      </rPr>
      <t>明一</t>
    </r>
    <rPh sb="0" eb="2">
      <t>ナカムラ</t>
    </rPh>
    <rPh sb="3" eb="5">
      <t>アキカズ</t>
    </rPh>
    <phoneticPr fontId="1"/>
  </si>
  <si>
    <r>
      <rPr>
        <sz val="11"/>
        <rFont val="游ゴシック Medium"/>
        <family val="3"/>
        <charset val="128"/>
      </rPr>
      <t>倍音</t>
    </r>
    <r>
      <rPr>
        <sz val="11"/>
        <rFont val="Consolas"/>
        <family val="3"/>
      </rPr>
      <t xml:space="preserve"> </t>
    </r>
    <r>
      <rPr>
        <sz val="11"/>
        <rFont val="游ゴシック Medium"/>
        <family val="3"/>
        <charset val="128"/>
      </rPr>
      <t>音・ことば・身体の文化誌</t>
    </r>
    <rPh sb="0" eb="2">
      <t>バイオン</t>
    </rPh>
    <rPh sb="3" eb="4">
      <t>オト</t>
    </rPh>
    <rPh sb="9" eb="11">
      <t>シンタイ</t>
    </rPh>
    <rPh sb="12" eb="14">
      <t>ブンカ</t>
    </rPh>
    <rPh sb="14" eb="15">
      <t>シ</t>
    </rPh>
    <phoneticPr fontId="1"/>
  </si>
  <si>
    <r>
      <rPr>
        <sz val="11"/>
        <rFont val="游ゴシック Medium"/>
        <family val="3"/>
        <charset val="128"/>
      </rPr>
      <t>春秋社</t>
    </r>
    <rPh sb="0" eb="3">
      <t>シュンジュウシャ</t>
    </rPh>
    <phoneticPr fontId="1"/>
  </si>
  <si>
    <r>
      <rPr>
        <sz val="11"/>
        <rFont val="游ゴシック Medium"/>
        <family val="3"/>
        <charset val="128"/>
      </rPr>
      <t>ひんでん生誕</t>
    </r>
    <r>
      <rPr>
        <sz val="11"/>
        <rFont val="Consolas"/>
        <family val="3"/>
      </rPr>
      <t>50</t>
    </r>
    <r>
      <rPr>
        <sz val="11"/>
        <rFont val="游ゴシック Medium"/>
        <family val="3"/>
        <charset val="128"/>
      </rPr>
      <t>周年記念パーティ</t>
    </r>
    <rPh sb="4" eb="6">
      <t>セイタン</t>
    </rPh>
    <rPh sb="8" eb="10">
      <t>シュウネン</t>
    </rPh>
    <rPh sb="10" eb="12">
      <t>キネン</t>
    </rPh>
    <phoneticPr fontId="1"/>
  </si>
  <si>
    <r>
      <rPr>
        <sz val="11"/>
        <rFont val="游ゴシック Medium"/>
        <family val="3"/>
        <charset val="128"/>
      </rPr>
      <t>鈴木</t>
    </r>
    <r>
      <rPr>
        <sz val="11"/>
        <rFont val="Consolas"/>
        <family val="3"/>
      </rPr>
      <t xml:space="preserve"> </t>
    </r>
    <r>
      <rPr>
        <sz val="11"/>
        <rFont val="游ゴシック Medium"/>
        <family val="3"/>
        <charset val="128"/>
      </rPr>
      <t>伸明</t>
    </r>
    <r>
      <rPr>
        <sz val="11"/>
        <rFont val="Consolas"/>
        <family val="3"/>
      </rPr>
      <t xml:space="preserve"> </t>
    </r>
    <r>
      <rPr>
        <sz val="11"/>
        <rFont val="游ゴシック Medium"/>
        <family val="3"/>
        <charset val="128"/>
      </rPr>
      <t>氏から贈呈</t>
    </r>
    <rPh sb="0" eb="2">
      <t>スズキ</t>
    </rPh>
    <rPh sb="3" eb="5">
      <t>ノブアキ</t>
    </rPh>
    <rPh sb="6" eb="7">
      <t>ウジ</t>
    </rPh>
    <rPh sb="9" eb="11">
      <t>ゾウテイ</t>
    </rPh>
    <phoneticPr fontId="1"/>
  </si>
  <si>
    <r>
      <rPr>
        <strike/>
        <sz val="11"/>
        <rFont val="游ゴシック Medium"/>
        <family val="3"/>
        <charset val="128"/>
      </rPr>
      <t>中村</t>
    </r>
    <r>
      <rPr>
        <strike/>
        <sz val="11"/>
        <rFont val="Consolas"/>
        <family val="3"/>
      </rPr>
      <t xml:space="preserve"> </t>
    </r>
    <r>
      <rPr>
        <strike/>
        <sz val="11"/>
        <rFont val="游ゴシック Medium"/>
        <family val="3"/>
        <charset val="128"/>
      </rPr>
      <t>とうよう</t>
    </r>
    <rPh sb="0" eb="2">
      <t>ナカムラ</t>
    </rPh>
    <phoneticPr fontId="1"/>
  </si>
  <si>
    <r>
      <rPr>
        <b/>
        <strike/>
        <sz val="11"/>
        <color indexed="33"/>
        <rFont val="游ゴシック Medium"/>
        <family val="3"/>
        <charset val="128"/>
      </rPr>
      <t>大衆音楽の真実</t>
    </r>
    <rPh sb="0" eb="2">
      <t>タイシュウ</t>
    </rPh>
    <rPh sb="2" eb="4">
      <t>オンガク</t>
    </rPh>
    <rPh sb="5" eb="7">
      <t>シンジツ</t>
    </rPh>
    <phoneticPr fontId="1"/>
  </si>
  <si>
    <r>
      <rPr>
        <strike/>
        <sz val="11"/>
        <rFont val="游ゴシック Medium"/>
        <family val="3"/>
        <charset val="128"/>
      </rPr>
      <t>電車内に置き忘れ</t>
    </r>
    <rPh sb="0" eb="2">
      <t>デンシャ</t>
    </rPh>
    <rPh sb="2" eb="3">
      <t>ナイ</t>
    </rPh>
    <rPh sb="4" eb="7">
      <t>オキワス</t>
    </rPh>
    <phoneticPr fontId="1"/>
  </si>
  <si>
    <r>
      <rPr>
        <sz val="11"/>
        <rFont val="游ゴシック Medium"/>
        <family val="3"/>
        <charset val="128"/>
      </rPr>
      <t>マニュエル</t>
    </r>
    <r>
      <rPr>
        <sz val="11"/>
        <rFont val="Consolas"/>
        <family val="3"/>
      </rPr>
      <t>,Peter</t>
    </r>
    <rPh sb="6" eb="11">
      <t>ピーター</t>
    </rPh>
    <phoneticPr fontId="1"/>
  </si>
  <si>
    <r>
      <rPr>
        <sz val="11"/>
        <rFont val="游ゴシック Medium"/>
        <family val="3"/>
        <charset val="128"/>
      </rPr>
      <t>中村</t>
    </r>
    <r>
      <rPr>
        <sz val="11"/>
        <rFont val="Consolas"/>
        <family val="3"/>
      </rPr>
      <t xml:space="preserve"> </t>
    </r>
    <r>
      <rPr>
        <sz val="11"/>
        <rFont val="游ゴシック Medium"/>
        <family val="3"/>
        <charset val="128"/>
      </rPr>
      <t>とうよう</t>
    </r>
    <rPh sb="0" eb="2">
      <t>ナカムラ</t>
    </rPh>
    <phoneticPr fontId="1"/>
  </si>
  <si>
    <r>
      <rPr>
        <sz val="11"/>
        <rFont val="游ゴシック Medium"/>
        <family val="3"/>
        <charset val="128"/>
      </rPr>
      <t>非西欧世界の</t>
    </r>
    <r>
      <rPr>
        <sz val="11"/>
        <rFont val="Consolas"/>
        <family val="3"/>
      </rPr>
      <t>Popular</t>
    </r>
    <r>
      <rPr>
        <sz val="11"/>
        <rFont val="游ゴシック Medium"/>
        <family val="3"/>
        <charset val="128"/>
      </rPr>
      <t>音楽</t>
    </r>
    <rPh sb="0" eb="1">
      <t>ヒ</t>
    </rPh>
    <rPh sb="1" eb="3">
      <t>セイオウ</t>
    </rPh>
    <rPh sb="3" eb="5">
      <t>セカイ</t>
    </rPh>
    <rPh sb="6" eb="13">
      <t>ポピュラー</t>
    </rPh>
    <rPh sb="13" eb="15">
      <t>オンガク</t>
    </rPh>
    <phoneticPr fontId="1"/>
  </si>
  <si>
    <r>
      <rPr>
        <sz val="11"/>
        <rFont val="游ゴシック Medium"/>
        <family val="3"/>
        <charset val="128"/>
      </rPr>
      <t>のなか</t>
    </r>
    <r>
      <rPr>
        <sz val="11"/>
        <rFont val="Consolas"/>
        <family val="3"/>
      </rPr>
      <t xml:space="preserve"> </t>
    </r>
    <r>
      <rPr>
        <sz val="11"/>
        <rFont val="游ゴシック Medium"/>
        <family val="3"/>
        <charset val="128"/>
      </rPr>
      <t>悟空</t>
    </r>
    <rPh sb="4" eb="6">
      <t>ゴクウ</t>
    </rPh>
    <phoneticPr fontId="1"/>
  </si>
  <si>
    <r>
      <t>Africa</t>
    </r>
    <r>
      <rPr>
        <sz val="11"/>
        <rFont val="游ゴシック Medium"/>
        <family val="3"/>
        <charset val="128"/>
      </rPr>
      <t>音楽探検記</t>
    </r>
    <r>
      <rPr>
        <sz val="11"/>
        <rFont val="Consolas"/>
        <family val="3"/>
      </rPr>
      <t xml:space="preserve"> </t>
    </r>
    <r>
      <rPr>
        <sz val="11"/>
        <rFont val="游ゴシック Medium"/>
        <family val="3"/>
        <charset val="128"/>
      </rPr>
      <t>民族と大地の野性</t>
    </r>
    <r>
      <rPr>
        <sz val="11"/>
        <rFont val="Consolas"/>
        <family val="3"/>
      </rPr>
      <t>Session</t>
    </r>
    <rPh sb="0" eb="8">
      <t>アフリカオンガク</t>
    </rPh>
    <rPh sb="8" eb="10">
      <t>タンケン</t>
    </rPh>
    <rPh sb="10" eb="11">
      <t>キ</t>
    </rPh>
    <rPh sb="12" eb="14">
      <t>ミンゾク</t>
    </rPh>
    <rPh sb="15" eb="17">
      <t>ダイチ</t>
    </rPh>
    <rPh sb="18" eb="20">
      <t>ヤセイ</t>
    </rPh>
    <rPh sb="20" eb="27">
      <t>セッション</t>
    </rPh>
    <phoneticPr fontId="1"/>
  </si>
  <si>
    <r>
      <rPr>
        <sz val="11"/>
        <rFont val="游ゴシック Medium"/>
        <family val="3"/>
        <charset val="128"/>
      </rPr>
      <t>情報</t>
    </r>
    <r>
      <rPr>
        <sz val="11"/>
        <rFont val="Consolas"/>
        <family val="3"/>
      </rPr>
      <t>Center</t>
    </r>
    <r>
      <rPr>
        <sz val="11"/>
        <rFont val="游ゴシック Medium"/>
        <family val="3"/>
        <charset val="128"/>
      </rPr>
      <t>出版局</t>
    </r>
    <rPh sb="0" eb="2">
      <t>ジョウホウ</t>
    </rPh>
    <rPh sb="2" eb="8">
      <t>センター</t>
    </rPh>
    <rPh sb="8" eb="11">
      <t>シュッパンキョク</t>
    </rPh>
    <phoneticPr fontId="1"/>
  </si>
  <si>
    <r>
      <rPr>
        <sz val="11"/>
        <rFont val="游ゴシック Medium"/>
        <family val="3"/>
        <charset val="128"/>
      </rPr>
      <t>三谷</t>
    </r>
    <r>
      <rPr>
        <sz val="11"/>
        <rFont val="Consolas"/>
        <family val="3"/>
      </rPr>
      <t xml:space="preserve"> </t>
    </r>
    <r>
      <rPr>
        <sz val="11"/>
        <rFont val="游ゴシック Medium"/>
        <family val="3"/>
        <charset val="128"/>
      </rPr>
      <t>陽子</t>
    </r>
    <rPh sb="0" eb="2">
      <t>ミタニ</t>
    </rPh>
    <rPh sb="3" eb="5">
      <t>ヨウコ</t>
    </rPh>
    <phoneticPr fontId="1"/>
  </si>
  <si>
    <r>
      <rPr>
        <sz val="11"/>
        <rFont val="游ゴシック Medium"/>
        <family val="3"/>
        <charset val="128"/>
      </rPr>
      <t>諸民族の音楽</t>
    </r>
    <rPh sb="0" eb="3">
      <t>ショミンゾク</t>
    </rPh>
    <rPh sb="4" eb="6">
      <t>オンガク</t>
    </rPh>
    <phoneticPr fontId="1"/>
  </si>
  <si>
    <r>
      <rPr>
        <sz val="11"/>
        <rFont val="游ゴシック Medium"/>
        <family val="3"/>
        <charset val="128"/>
      </rPr>
      <t>慶應通信</t>
    </r>
    <rPh sb="0" eb="2">
      <t>ケイオウ</t>
    </rPh>
    <rPh sb="2" eb="4">
      <t>ツウシン</t>
    </rPh>
    <phoneticPr fontId="1"/>
  </si>
  <si>
    <r>
      <rPr>
        <sz val="11"/>
        <rFont val="游ゴシック Medium"/>
        <family val="3"/>
        <charset val="128"/>
      </rPr>
      <t>江波戸</t>
    </r>
    <r>
      <rPr>
        <sz val="11"/>
        <rFont val="Consolas"/>
        <family val="3"/>
      </rPr>
      <t xml:space="preserve"> </t>
    </r>
    <r>
      <rPr>
        <sz val="11"/>
        <rFont val="游ゴシック Medium"/>
        <family val="3"/>
        <charset val="128"/>
      </rPr>
      <t>昭</t>
    </r>
    <rPh sb="0" eb="3">
      <t>エバト</t>
    </rPh>
    <rPh sb="4" eb="5">
      <t>アキラ</t>
    </rPh>
    <phoneticPr fontId="1"/>
  </si>
  <si>
    <r>
      <t xml:space="preserve">200 CD </t>
    </r>
    <r>
      <rPr>
        <sz val="11"/>
        <rFont val="游ゴシック Medium"/>
        <family val="3"/>
        <charset val="128"/>
      </rPr>
      <t>民族音楽</t>
    </r>
    <r>
      <rPr>
        <sz val="11"/>
        <rFont val="Consolas"/>
        <family val="3"/>
      </rPr>
      <t>/</t>
    </r>
    <r>
      <rPr>
        <sz val="11"/>
        <rFont val="游ゴシック Medium"/>
        <family val="3"/>
        <charset val="128"/>
      </rPr>
      <t>世界の音を聴く</t>
    </r>
    <rPh sb="7" eb="11">
      <t>ミンゾクオンガク</t>
    </rPh>
    <rPh sb="12" eb="14">
      <t>セカイ</t>
    </rPh>
    <rPh sb="15" eb="16">
      <t>オト</t>
    </rPh>
    <rPh sb="17" eb="18">
      <t>キ</t>
    </rPh>
    <phoneticPr fontId="1"/>
  </si>
  <si>
    <r>
      <rPr>
        <sz val="11"/>
        <rFont val="游ゴシック Medium"/>
        <family val="3"/>
        <charset val="128"/>
      </rPr>
      <t>立風書房</t>
    </r>
    <rPh sb="0" eb="4">
      <t>リップウショボウ</t>
    </rPh>
    <phoneticPr fontId="1"/>
  </si>
  <si>
    <r>
      <t xml:space="preserve">200 CD </t>
    </r>
    <r>
      <rPr>
        <sz val="11"/>
        <rFont val="游ゴシック Medium"/>
        <family val="3"/>
        <charset val="128"/>
      </rPr>
      <t>古楽への招待編纂委員会</t>
    </r>
    <rPh sb="13" eb="15">
      <t>ヘンサン</t>
    </rPh>
    <rPh sb="15" eb="18">
      <t>イインカイ</t>
    </rPh>
    <phoneticPr fontId="1"/>
  </si>
  <si>
    <r>
      <t xml:space="preserve">200 CD </t>
    </r>
    <r>
      <rPr>
        <sz val="11"/>
        <rFont val="游ゴシック Medium"/>
        <family val="3"/>
        <charset val="128"/>
      </rPr>
      <t>古楽への招待</t>
    </r>
    <rPh sb="7" eb="9">
      <t>コガク</t>
    </rPh>
    <rPh sb="11" eb="13">
      <t>ショウタイ</t>
    </rPh>
    <phoneticPr fontId="1"/>
  </si>
  <si>
    <r>
      <rPr>
        <sz val="11"/>
        <rFont val="游ゴシック Medium"/>
        <family val="3"/>
        <charset val="128"/>
      </rPr>
      <t>砂川</t>
    </r>
    <r>
      <rPr>
        <sz val="11"/>
        <rFont val="Consolas"/>
        <family val="3"/>
      </rPr>
      <t xml:space="preserve"> </t>
    </r>
    <r>
      <rPr>
        <sz val="11"/>
        <rFont val="游ゴシック Medium"/>
        <family val="3"/>
        <charset val="128"/>
      </rPr>
      <t>しげひさ</t>
    </r>
    <rPh sb="0" eb="2">
      <t>スナカワ</t>
    </rPh>
    <phoneticPr fontId="1"/>
  </si>
  <si>
    <r>
      <rPr>
        <sz val="11"/>
        <rFont val="游ゴシック Medium"/>
        <family val="3"/>
        <charset val="128"/>
      </rPr>
      <t>名演奏家たちのタックル・ランド</t>
    </r>
    <rPh sb="0" eb="4">
      <t>メイエンソウカ</t>
    </rPh>
    <phoneticPr fontId="1"/>
  </si>
  <si>
    <r>
      <rPr>
        <sz val="11"/>
        <rFont val="游ゴシック Medium"/>
        <family val="3"/>
        <charset val="128"/>
      </rPr>
      <t>宮沢</t>
    </r>
    <r>
      <rPr>
        <sz val="11"/>
        <rFont val="Consolas"/>
        <family val="3"/>
      </rPr>
      <t xml:space="preserve"> </t>
    </r>
    <r>
      <rPr>
        <sz val="11"/>
        <rFont val="游ゴシック Medium"/>
        <family val="3"/>
        <charset val="128"/>
      </rPr>
      <t>縦一</t>
    </r>
    <r>
      <rPr>
        <sz val="11"/>
        <rFont val="Consolas"/>
        <family val="3"/>
      </rPr>
      <t>/</t>
    </r>
    <r>
      <rPr>
        <sz val="11"/>
        <rFont val="游ゴシック Medium"/>
        <family val="3"/>
        <charset val="128"/>
      </rPr>
      <t>福原</t>
    </r>
    <r>
      <rPr>
        <sz val="11"/>
        <rFont val="Consolas"/>
        <family val="3"/>
      </rPr>
      <t xml:space="preserve"> </t>
    </r>
    <r>
      <rPr>
        <sz val="11"/>
        <rFont val="游ゴシック Medium"/>
        <family val="3"/>
        <charset val="128"/>
      </rPr>
      <t>信夫</t>
    </r>
    <r>
      <rPr>
        <sz val="11"/>
        <rFont val="Consolas"/>
        <family val="3"/>
      </rPr>
      <t>/</t>
    </r>
    <r>
      <rPr>
        <sz val="11"/>
        <rFont val="游ゴシック Medium"/>
        <family val="3"/>
        <charset val="128"/>
      </rPr>
      <t>高橋</t>
    </r>
    <r>
      <rPr>
        <sz val="11"/>
        <rFont val="Consolas"/>
        <family val="3"/>
      </rPr>
      <t xml:space="preserve"> </t>
    </r>
    <r>
      <rPr>
        <sz val="11"/>
        <rFont val="游ゴシック Medium"/>
        <family val="3"/>
        <charset val="128"/>
      </rPr>
      <t>保男</t>
    </r>
    <rPh sb="0" eb="2">
      <t>ミヤザワ</t>
    </rPh>
    <rPh sb="3" eb="4">
      <t>タテ</t>
    </rPh>
    <rPh sb="4" eb="5">
      <t>イチ</t>
    </rPh>
    <rPh sb="6" eb="8">
      <t>フクハラ</t>
    </rPh>
    <rPh sb="9" eb="11">
      <t>ノブオ</t>
    </rPh>
    <rPh sb="12" eb="14">
      <t>タカハシ</t>
    </rPh>
    <rPh sb="15" eb="17">
      <t>ヤスオ</t>
    </rPh>
    <phoneticPr fontId="1"/>
  </si>
  <si>
    <r>
      <rPr>
        <sz val="11"/>
        <rFont val="游ゴシック Medium"/>
        <family val="3"/>
        <charset val="128"/>
      </rPr>
      <t>企画編集</t>
    </r>
    <rPh sb="0" eb="2">
      <t>キカク</t>
    </rPh>
    <rPh sb="2" eb="4">
      <t>ヘンシュウ</t>
    </rPh>
    <phoneticPr fontId="1"/>
  </si>
  <si>
    <r>
      <rPr>
        <sz val="11"/>
        <rFont val="游ゴシック Medium"/>
        <family val="3"/>
        <charset val="128"/>
      </rPr>
      <t>オペラ全集</t>
    </r>
    <rPh sb="3" eb="5">
      <t>ゼンシュウ</t>
    </rPh>
    <phoneticPr fontId="1"/>
  </si>
  <si>
    <r>
      <rPr>
        <sz val="11"/>
        <rFont val="游ゴシック Medium"/>
        <family val="3"/>
        <charset val="128"/>
      </rPr>
      <t>音楽現代</t>
    </r>
    <r>
      <rPr>
        <sz val="11"/>
        <rFont val="Consolas"/>
        <family val="3"/>
      </rPr>
      <t xml:space="preserve"> </t>
    </r>
    <r>
      <rPr>
        <sz val="11"/>
        <rFont val="游ゴシック Medium"/>
        <family val="3"/>
        <charset val="128"/>
      </rPr>
      <t>名曲解説シリーズ</t>
    </r>
    <rPh sb="0" eb="2">
      <t>オンガク</t>
    </rPh>
    <rPh sb="2" eb="4">
      <t>ゲンダイ</t>
    </rPh>
    <rPh sb="5" eb="7">
      <t>メイキョク</t>
    </rPh>
    <rPh sb="7" eb="9">
      <t>カイセツ</t>
    </rPh>
    <phoneticPr fontId="1"/>
  </si>
  <si>
    <r>
      <rPr>
        <sz val="11"/>
        <rFont val="游ゴシック Medium"/>
        <family val="3"/>
        <charset val="128"/>
      </rPr>
      <t>芸術現代社</t>
    </r>
    <rPh sb="0" eb="2">
      <t>ゲイジュツ</t>
    </rPh>
    <rPh sb="2" eb="4">
      <t>ゲンダイ</t>
    </rPh>
    <rPh sb="4" eb="5">
      <t>シャ</t>
    </rPh>
    <phoneticPr fontId="1"/>
  </si>
  <si>
    <r>
      <rPr>
        <sz val="11"/>
        <rFont val="游ゴシック Medium"/>
        <family val="3"/>
        <charset val="128"/>
      </rPr>
      <t>鬼子母神</t>
    </r>
    <rPh sb="0" eb="4">
      <t>キシボジン</t>
    </rPh>
    <phoneticPr fontId="1"/>
  </si>
  <si>
    <r>
      <rPr>
        <sz val="11"/>
        <rFont val="游ゴシック Medium"/>
        <family val="3"/>
        <charset val="128"/>
      </rPr>
      <t>鈴木</t>
    </r>
    <r>
      <rPr>
        <sz val="11"/>
        <rFont val="Consolas"/>
        <family val="3"/>
      </rPr>
      <t xml:space="preserve"> </t>
    </r>
    <r>
      <rPr>
        <sz val="11"/>
        <rFont val="游ゴシック Medium"/>
        <family val="3"/>
        <charset val="128"/>
      </rPr>
      <t>美幸</t>
    </r>
    <rPh sb="0" eb="2">
      <t>スズキ</t>
    </rPh>
    <rPh sb="3" eb="5">
      <t>ヨシユキ</t>
    </rPh>
    <phoneticPr fontId="1"/>
  </si>
  <si>
    <r>
      <rPr>
        <sz val="11"/>
        <rFont val="游ゴシック Medium"/>
        <family val="3"/>
        <charset val="128"/>
      </rPr>
      <t>ネット</t>
    </r>
    <phoneticPr fontId="1"/>
  </si>
  <si>
    <r>
      <rPr>
        <sz val="11"/>
        <rFont val="游ゴシック Medium"/>
        <family val="3"/>
        <charset val="128"/>
      </rPr>
      <t>奥田</t>
    </r>
    <r>
      <rPr>
        <sz val="11"/>
        <rFont val="Consolas"/>
        <family val="3"/>
      </rPr>
      <t xml:space="preserve"> </t>
    </r>
    <r>
      <rPr>
        <sz val="11"/>
        <rFont val="游ゴシック Medium"/>
        <family val="3"/>
        <charset val="128"/>
      </rPr>
      <t>祐士</t>
    </r>
    <r>
      <rPr>
        <sz val="11"/>
        <rFont val="Consolas"/>
        <family val="3"/>
      </rPr>
      <t>/</t>
    </r>
    <r>
      <rPr>
        <sz val="11"/>
        <rFont val="游ゴシック Medium"/>
        <family val="3"/>
        <charset val="128"/>
      </rPr>
      <t>ジミー</t>
    </r>
    <r>
      <rPr>
        <sz val="11"/>
        <rFont val="Consolas"/>
        <family val="3"/>
      </rPr>
      <t xml:space="preserve"> </t>
    </r>
    <r>
      <rPr>
        <sz val="11"/>
        <rFont val="游ゴシック Medium"/>
        <family val="3"/>
        <charset val="128"/>
      </rPr>
      <t>益子</t>
    </r>
    <r>
      <rPr>
        <sz val="11"/>
        <rFont val="Consolas"/>
        <family val="3"/>
      </rPr>
      <t>/</t>
    </r>
    <r>
      <rPr>
        <sz val="11"/>
        <rFont val="游ゴシック Medium"/>
        <family val="3"/>
        <charset val="128"/>
      </rPr>
      <t>冨田</t>
    </r>
    <r>
      <rPr>
        <sz val="11"/>
        <rFont val="Consolas"/>
        <family val="3"/>
      </rPr>
      <t xml:space="preserve"> </t>
    </r>
    <r>
      <rPr>
        <sz val="11"/>
        <rFont val="游ゴシック Medium"/>
        <family val="3"/>
        <charset val="128"/>
      </rPr>
      <t>恵一</t>
    </r>
    <rPh sb="0" eb="2">
      <t>オクダ</t>
    </rPh>
    <rPh sb="3" eb="5">
      <t>ユウジ</t>
    </rPh>
    <rPh sb="13" eb="15">
      <t>トミタ</t>
    </rPh>
    <rPh sb="16" eb="18">
      <t>ケイイチ</t>
    </rPh>
    <phoneticPr fontId="1"/>
  </si>
  <si>
    <r>
      <rPr>
        <sz val="11"/>
        <rFont val="游ゴシック Medium"/>
        <family val="3"/>
        <charset val="128"/>
      </rPr>
      <t>訳</t>
    </r>
    <r>
      <rPr>
        <sz val="11"/>
        <rFont val="Consolas"/>
        <family val="3"/>
      </rPr>
      <t>/</t>
    </r>
    <r>
      <rPr>
        <sz val="11"/>
        <rFont val="游ゴシック Medium"/>
        <family val="3"/>
        <charset val="128"/>
      </rPr>
      <t>挿絵</t>
    </r>
    <r>
      <rPr>
        <sz val="11"/>
        <rFont val="Consolas"/>
        <family val="3"/>
      </rPr>
      <t>/</t>
    </r>
    <r>
      <rPr>
        <sz val="11"/>
        <rFont val="游ゴシック Medium"/>
        <family val="3"/>
        <charset val="128"/>
      </rPr>
      <t>解説</t>
    </r>
    <rPh sb="0" eb="1">
      <t>ヤク</t>
    </rPh>
    <rPh sb="2" eb="4">
      <t>サシエ</t>
    </rPh>
    <rPh sb="5" eb="7">
      <t>カイセツ</t>
    </rPh>
    <phoneticPr fontId="1"/>
  </si>
  <si>
    <r>
      <t xml:space="preserve">STEELY DAN Aja </t>
    </r>
    <r>
      <rPr>
        <sz val="11"/>
        <rFont val="游ゴシック Medium"/>
        <family val="3"/>
        <charset val="128"/>
      </rPr>
      <t>作曲術と作詞術</t>
    </r>
    <rPh sb="0" eb="10">
      <t>スティーリー・ダン</t>
    </rPh>
    <rPh sb="15" eb="17">
      <t>サッキョク</t>
    </rPh>
    <rPh sb="17" eb="18">
      <t>ジュツ</t>
    </rPh>
    <rPh sb="19" eb="21">
      <t>サクシ</t>
    </rPh>
    <rPh sb="21" eb="22">
      <t>ジュツ</t>
    </rPh>
    <phoneticPr fontId="1"/>
  </si>
  <si>
    <r>
      <rPr>
        <sz val="11"/>
        <rFont val="游ゴシック Medium"/>
        <family val="3"/>
        <charset val="128"/>
      </rPr>
      <t>藤本成昌</t>
    </r>
    <rPh sb="0" eb="2">
      <t>フジモト</t>
    </rPh>
    <rPh sb="2" eb="4">
      <t>シゲマサ</t>
    </rPh>
    <phoneticPr fontId="1"/>
  </si>
  <si>
    <r>
      <rPr>
        <sz val="11"/>
        <rFont val="游ゴシック Medium"/>
        <family val="3"/>
        <charset val="128"/>
      </rPr>
      <t>新宿書房</t>
    </r>
    <rPh sb="0" eb="2">
      <t>シンジュク</t>
    </rPh>
    <rPh sb="2" eb="4">
      <t>ショボウ</t>
    </rPh>
    <phoneticPr fontId="1"/>
  </si>
  <si>
    <r>
      <t>diskUnion</t>
    </r>
    <r>
      <rPr>
        <sz val="11"/>
        <rFont val="游ゴシック Medium"/>
        <family val="3"/>
        <charset val="128"/>
      </rPr>
      <t>池袋</t>
    </r>
    <rPh sb="0" eb="9">
      <t>ディスクユニオン</t>
    </rPh>
    <rPh sb="9" eb="11">
      <t>イケブクロ</t>
    </rPh>
    <phoneticPr fontId="1"/>
  </si>
  <si>
    <r>
      <rPr>
        <sz val="11"/>
        <rFont val="游ゴシック Medium"/>
        <family val="3"/>
        <charset val="128"/>
      </rPr>
      <t>高橋悠治</t>
    </r>
    <r>
      <rPr>
        <sz val="11"/>
        <rFont val="Consolas"/>
        <family val="3"/>
      </rPr>
      <t>+</t>
    </r>
    <r>
      <rPr>
        <sz val="11"/>
        <rFont val="游ゴシック Medium"/>
        <family val="3"/>
        <charset val="128"/>
      </rPr>
      <t>坂本龍一</t>
    </r>
    <rPh sb="0" eb="4">
      <t>タカハシユウジ</t>
    </rPh>
    <rPh sb="5" eb="9">
      <t>サカモトリュウイチ</t>
    </rPh>
    <phoneticPr fontId="1"/>
  </si>
  <si>
    <r>
      <rPr>
        <sz val="11"/>
        <rFont val="游ゴシック Medium"/>
        <family val="3"/>
        <charset val="128"/>
      </rPr>
      <t>長電話</t>
    </r>
    <rPh sb="0" eb="3">
      <t>ナガデンワ</t>
    </rPh>
    <phoneticPr fontId="1"/>
  </si>
  <si>
    <r>
      <rPr>
        <sz val="11"/>
        <rFont val="游ゴシック Medium"/>
        <family val="3"/>
        <charset val="128"/>
      </rPr>
      <t>本本堂</t>
    </r>
    <r>
      <rPr>
        <sz val="11"/>
        <rFont val="Consolas"/>
        <family val="3"/>
      </rPr>
      <t>:</t>
    </r>
    <r>
      <rPr>
        <sz val="11"/>
        <rFont val="游ゴシック Medium"/>
        <family val="3"/>
        <charset val="128"/>
      </rPr>
      <t>発行</t>
    </r>
    <r>
      <rPr>
        <sz val="11"/>
        <rFont val="Consolas"/>
        <family val="3"/>
      </rPr>
      <t>/</t>
    </r>
    <r>
      <rPr>
        <sz val="11"/>
        <rFont val="游ゴシック Medium"/>
        <family val="3"/>
        <charset val="128"/>
      </rPr>
      <t>冬樹社</t>
    </r>
    <r>
      <rPr>
        <sz val="11"/>
        <rFont val="Consolas"/>
        <family val="3"/>
      </rPr>
      <t>:</t>
    </r>
    <r>
      <rPr>
        <sz val="11"/>
        <rFont val="游ゴシック Medium"/>
        <family val="3"/>
        <charset val="128"/>
      </rPr>
      <t>発売</t>
    </r>
    <rPh sb="0" eb="1">
      <t>ホン</t>
    </rPh>
    <rPh sb="1" eb="3">
      <t>ホンドウ</t>
    </rPh>
    <rPh sb="4" eb="6">
      <t>ハッコウ</t>
    </rPh>
    <rPh sb="7" eb="9">
      <t>フユキ</t>
    </rPh>
    <rPh sb="9" eb="10">
      <t>シャ</t>
    </rPh>
    <rPh sb="11" eb="13">
      <t>ハツバイ</t>
    </rPh>
    <phoneticPr fontId="1"/>
  </si>
  <si>
    <r>
      <rPr>
        <sz val="11"/>
        <rFont val="游ゴシック Medium"/>
        <family val="3"/>
        <charset val="128"/>
      </rPr>
      <t>村上龍</t>
    </r>
    <r>
      <rPr>
        <sz val="11"/>
        <rFont val="Consolas"/>
        <family val="3"/>
      </rPr>
      <t>+</t>
    </r>
    <r>
      <rPr>
        <sz val="11"/>
        <rFont val="游ゴシック Medium"/>
        <family val="3"/>
        <charset val="128"/>
      </rPr>
      <t>坂本龍一</t>
    </r>
    <rPh sb="0" eb="2">
      <t>ムラカミ</t>
    </rPh>
    <rPh sb="2" eb="3">
      <t>リュウ</t>
    </rPh>
    <rPh sb="4" eb="8">
      <t>サカモトリュウイチ</t>
    </rPh>
    <phoneticPr fontId="1"/>
  </si>
  <si>
    <r>
      <t>EV.Café/</t>
    </r>
    <r>
      <rPr>
        <sz val="11"/>
        <rFont val="游ゴシック Medium"/>
        <family val="3"/>
        <charset val="128"/>
      </rPr>
      <t>超進化論</t>
    </r>
    <rPh sb="3" eb="7">
      <t>カフェ</t>
    </rPh>
    <rPh sb="8" eb="9">
      <t>チョウ</t>
    </rPh>
    <rPh sb="9" eb="12">
      <t>シンカロン</t>
    </rPh>
    <phoneticPr fontId="1"/>
  </si>
  <si>
    <r>
      <rPr>
        <sz val="11"/>
        <rFont val="游ゴシック Medium"/>
        <family val="3"/>
        <charset val="128"/>
      </rPr>
      <t>大森荘蔵</t>
    </r>
    <r>
      <rPr>
        <sz val="11"/>
        <rFont val="Consolas"/>
        <family val="3"/>
      </rPr>
      <t>+</t>
    </r>
    <r>
      <rPr>
        <sz val="11"/>
        <rFont val="游ゴシック Medium"/>
        <family val="3"/>
        <charset val="128"/>
      </rPr>
      <t>坂本龍一</t>
    </r>
    <rPh sb="0" eb="2">
      <t>オオモリ</t>
    </rPh>
    <rPh sb="2" eb="4">
      <t>ショウゾウ</t>
    </rPh>
    <rPh sb="5" eb="9">
      <t>サカモトリュウイチ</t>
    </rPh>
    <phoneticPr fontId="1"/>
  </si>
  <si>
    <r>
      <rPr>
        <sz val="11"/>
        <rFont val="游ゴシック Medium"/>
        <family val="3"/>
        <charset val="128"/>
      </rPr>
      <t>音を視る､時を聴く</t>
    </r>
    <r>
      <rPr>
        <sz val="11"/>
        <rFont val="Consolas"/>
        <family val="3"/>
      </rPr>
      <t>[</t>
    </r>
    <r>
      <rPr>
        <sz val="11"/>
        <rFont val="游ゴシック Medium"/>
        <family val="3"/>
        <charset val="128"/>
      </rPr>
      <t>哲学講義</t>
    </r>
    <r>
      <rPr>
        <sz val="11"/>
        <rFont val="Consolas"/>
        <family val="3"/>
      </rPr>
      <t>]</t>
    </r>
    <rPh sb="0" eb="1">
      <t>オト</t>
    </rPh>
    <rPh sb="2" eb="4">
      <t>ミル</t>
    </rPh>
    <rPh sb="5" eb="6">
      <t>トキ</t>
    </rPh>
    <rPh sb="7" eb="8">
      <t>キ</t>
    </rPh>
    <rPh sb="10" eb="12">
      <t>テツガク</t>
    </rPh>
    <rPh sb="12" eb="14">
      <t>コウギ</t>
    </rPh>
    <phoneticPr fontId="1"/>
  </si>
  <si>
    <r>
      <rPr>
        <sz val="11"/>
        <rFont val="游ゴシック Medium"/>
        <family val="3"/>
        <charset val="128"/>
      </rPr>
      <t>朝日出版社</t>
    </r>
    <rPh sb="0" eb="2">
      <t>アサヒ</t>
    </rPh>
    <rPh sb="2" eb="5">
      <t>シュッパンシャ</t>
    </rPh>
    <phoneticPr fontId="1"/>
  </si>
  <si>
    <r>
      <rPr>
        <sz val="11"/>
        <rFont val="游ゴシック Medium"/>
        <family val="3"/>
        <charset val="128"/>
      </rPr>
      <t>サエキけんぞう</t>
    </r>
    <r>
      <rPr>
        <sz val="11"/>
        <rFont val="Consolas"/>
        <family val="3"/>
      </rPr>
      <t>/</t>
    </r>
    <r>
      <rPr>
        <sz val="11"/>
        <rFont val="游ゴシック Medium"/>
        <family val="3"/>
        <charset val="128"/>
      </rPr>
      <t>鈴木博文</t>
    </r>
    <r>
      <rPr>
        <sz val="11"/>
        <rFont val="Consolas"/>
        <family val="3"/>
      </rPr>
      <t>/</t>
    </r>
    <r>
      <rPr>
        <sz val="11"/>
        <rFont val="游ゴシック Medium"/>
        <family val="3"/>
        <charset val="128"/>
      </rPr>
      <t>伊藤ヨタロウ</t>
    </r>
    <rPh sb="8" eb="10">
      <t>スズキ</t>
    </rPh>
    <rPh sb="10" eb="12">
      <t>ヒロブミ</t>
    </rPh>
    <rPh sb="13" eb="15">
      <t>イトウ</t>
    </rPh>
    <phoneticPr fontId="1"/>
  </si>
  <si>
    <r>
      <rPr>
        <sz val="11"/>
        <rFont val="游ゴシック Medium"/>
        <family val="3"/>
        <charset val="128"/>
      </rPr>
      <t>東京百景</t>
    </r>
    <rPh sb="0" eb="2">
      <t>トウキョウ</t>
    </rPh>
    <rPh sb="2" eb="4">
      <t>ヒャッケイ</t>
    </rPh>
    <phoneticPr fontId="1"/>
  </si>
  <si>
    <r>
      <t>NHK</t>
    </r>
    <r>
      <rPr>
        <sz val="11"/>
        <rFont val="游ゴシック Medium"/>
        <family val="3"/>
        <charset val="128"/>
      </rPr>
      <t>出版</t>
    </r>
    <rPh sb="3" eb="5">
      <t>シュッパン</t>
    </rPh>
    <phoneticPr fontId="1"/>
  </si>
  <si>
    <r>
      <rPr>
        <sz val="11"/>
        <rFont val="游ゴシック Medium"/>
        <family val="3"/>
        <charset val="128"/>
      </rPr>
      <t>鈴木博文</t>
    </r>
    <rPh sb="0" eb="2">
      <t>スズキ</t>
    </rPh>
    <rPh sb="2" eb="4">
      <t>ヒロブミ</t>
    </rPh>
    <phoneticPr fontId="1"/>
  </si>
  <si>
    <r>
      <rPr>
        <sz val="11"/>
        <rFont val="游ゴシック Medium"/>
        <family val="3"/>
        <charset val="128"/>
      </rPr>
      <t>ひとりでは、誰も愛せない</t>
    </r>
    <rPh sb="6" eb="7">
      <t>ダレ</t>
    </rPh>
    <rPh sb="8" eb="9">
      <t>アイ</t>
    </rPh>
    <phoneticPr fontId="1"/>
  </si>
  <si>
    <r>
      <rPr>
        <sz val="11"/>
        <rFont val="游ゴシック Medium"/>
        <family val="3"/>
        <charset val="128"/>
      </rPr>
      <t>創現社出版</t>
    </r>
    <rPh sb="0" eb="1">
      <t>ソウ</t>
    </rPh>
    <rPh sb="1" eb="2">
      <t>ゲン</t>
    </rPh>
    <rPh sb="2" eb="3">
      <t>シャ</t>
    </rPh>
    <rPh sb="3" eb="5">
      <t>シュッパン</t>
    </rPh>
    <phoneticPr fontId="1"/>
  </si>
  <si>
    <r>
      <rPr>
        <sz val="11"/>
        <rFont val="游ゴシック Medium"/>
        <family val="3"/>
        <charset val="128"/>
      </rPr>
      <t>九番目の夢</t>
    </r>
    <rPh sb="0" eb="3">
      <t>キュウバンメ</t>
    </rPh>
    <rPh sb="4" eb="5">
      <t>ユメ</t>
    </rPh>
    <phoneticPr fontId="1"/>
  </si>
  <si>
    <r>
      <rPr>
        <sz val="11"/>
        <rFont val="游ゴシック Medium"/>
        <family val="3"/>
        <charset val="128"/>
      </rPr>
      <t>僕は走って灰になる</t>
    </r>
    <rPh sb="0" eb="1">
      <t>ボク</t>
    </rPh>
    <rPh sb="2" eb="3">
      <t>ハシ</t>
    </rPh>
    <rPh sb="5" eb="6">
      <t>ハイ</t>
    </rPh>
    <phoneticPr fontId="1"/>
  </si>
  <si>
    <r>
      <rPr>
        <sz val="11"/>
        <rFont val="游ゴシック Medium"/>
        <family val="3"/>
        <charset val="128"/>
      </rPr>
      <t>矢口博康</t>
    </r>
    <rPh sb="0" eb="2">
      <t>ヤグチ</t>
    </rPh>
    <rPh sb="2" eb="4">
      <t>ヒロヤス</t>
    </rPh>
    <phoneticPr fontId="1"/>
  </si>
  <si>
    <r>
      <rPr>
        <sz val="11"/>
        <rFont val="游ゴシック Medium"/>
        <family val="3"/>
        <charset val="128"/>
      </rPr>
      <t>観光地楽団</t>
    </r>
    <rPh sb="0" eb="3">
      <t>カンコウチ</t>
    </rPh>
    <rPh sb="3" eb="5">
      <t>ガクダン</t>
    </rPh>
    <phoneticPr fontId="1"/>
  </si>
  <si>
    <r>
      <rPr>
        <sz val="11"/>
        <rFont val="游ゴシック Medium"/>
        <family val="3"/>
        <charset val="128"/>
      </rPr>
      <t>カセットブックシリーズ</t>
    </r>
    <r>
      <rPr>
        <sz val="11"/>
        <rFont val="Consolas"/>
        <family val="3"/>
      </rPr>
      <t>[SEED]2</t>
    </r>
    <phoneticPr fontId="1"/>
  </si>
  <si>
    <r>
      <rPr>
        <sz val="11"/>
        <rFont val="游ゴシック Medium"/>
        <family val="3"/>
        <charset val="128"/>
      </rPr>
      <t>冬樹社</t>
    </r>
    <rPh sb="0" eb="2">
      <t>フユキ</t>
    </rPh>
    <rPh sb="2" eb="3">
      <t>シャ</t>
    </rPh>
    <phoneticPr fontId="1"/>
  </si>
  <si>
    <r>
      <t xml:space="preserve">Mania </t>
    </r>
    <r>
      <rPr>
        <sz val="11"/>
        <rFont val="游ゴシック Medium"/>
        <family val="3"/>
        <charset val="128"/>
      </rPr>
      <t>マニエラ</t>
    </r>
    <r>
      <rPr>
        <sz val="11"/>
        <rFont val="Consolas"/>
        <family val="3"/>
      </rPr>
      <t>/</t>
    </r>
    <r>
      <rPr>
        <sz val="11"/>
        <rFont val="游ゴシック Medium"/>
        <family val="3"/>
        <charset val="128"/>
      </rPr>
      <t>月光下騎士団</t>
    </r>
    <rPh sb="0" eb="5">
      <t>マニア</t>
    </rPh>
    <rPh sb="11" eb="13">
      <t>ゲッコウ</t>
    </rPh>
    <rPh sb="13" eb="14">
      <t>カ</t>
    </rPh>
    <rPh sb="14" eb="17">
      <t>キシダン</t>
    </rPh>
    <phoneticPr fontId="1"/>
  </si>
  <si>
    <r>
      <rPr>
        <sz val="11"/>
        <rFont val="游ゴシック Medium"/>
        <family val="3"/>
        <charset val="128"/>
      </rPr>
      <t>カセットブックシリーズ</t>
    </r>
    <r>
      <rPr>
        <sz val="11"/>
        <rFont val="Consolas"/>
        <family val="3"/>
      </rPr>
      <t>[SEED]3</t>
    </r>
    <phoneticPr fontId="1"/>
  </si>
  <si>
    <r>
      <rPr>
        <sz val="11"/>
        <rFont val="游ゴシック Medium"/>
        <family val="3"/>
        <charset val="128"/>
      </rPr>
      <t>鈴木慶一</t>
    </r>
    <rPh sb="0" eb="4">
      <t>スズキケイイチ</t>
    </rPh>
    <phoneticPr fontId="1"/>
  </si>
  <si>
    <r>
      <rPr>
        <sz val="11"/>
        <rFont val="游ゴシック Medium"/>
        <family val="3"/>
        <charset val="128"/>
      </rPr>
      <t>火の玉ボーイとコモンマン</t>
    </r>
    <r>
      <rPr>
        <sz val="11"/>
        <rFont val="Consolas"/>
        <family val="3"/>
      </rPr>
      <t>/</t>
    </r>
    <r>
      <rPr>
        <sz val="11"/>
        <rFont val="游ゴシック Medium"/>
        <family val="3"/>
        <charset val="128"/>
      </rPr>
      <t>東京･音楽･家族</t>
    </r>
    <r>
      <rPr>
        <sz val="11"/>
        <rFont val="Consolas"/>
        <family val="3"/>
      </rPr>
      <t xml:space="preserve"> 1951~1990</t>
    </r>
    <rPh sb="0" eb="3">
      <t>ヒノタマ</t>
    </rPh>
    <rPh sb="13" eb="15">
      <t>トウキョウ</t>
    </rPh>
    <rPh sb="16" eb="18">
      <t>オンガク</t>
    </rPh>
    <rPh sb="19" eb="21">
      <t>カゾク</t>
    </rPh>
    <phoneticPr fontId="1"/>
  </si>
  <si>
    <r>
      <t>Moonriders+</t>
    </r>
    <r>
      <rPr>
        <sz val="11"/>
        <rFont val="游ゴシック Medium"/>
        <family val="3"/>
        <charset val="128"/>
      </rPr>
      <t>アストロ･チンプス</t>
    </r>
    <rPh sb="0" eb="10">
      <t>ムーンライダーズ</t>
    </rPh>
    <phoneticPr fontId="1"/>
  </si>
  <si>
    <r>
      <t>JICC</t>
    </r>
    <r>
      <rPr>
        <sz val="11"/>
        <rFont val="游ゴシック Medium"/>
        <family val="3"/>
        <charset val="128"/>
      </rPr>
      <t>出版局</t>
    </r>
    <rPh sb="4" eb="7">
      <t>シュッパンキョク</t>
    </rPh>
    <phoneticPr fontId="1"/>
  </si>
  <si>
    <r>
      <rPr>
        <sz val="11"/>
        <rFont val="游ゴシック Medium"/>
        <family val="3"/>
        <charset val="128"/>
      </rPr>
      <t>吉村</t>
    </r>
    <r>
      <rPr>
        <sz val="11"/>
        <rFont val="Consolas"/>
        <family val="3"/>
      </rPr>
      <t xml:space="preserve"> </t>
    </r>
    <r>
      <rPr>
        <sz val="11"/>
        <rFont val="游ゴシック Medium"/>
        <family val="3"/>
        <charset val="128"/>
      </rPr>
      <t>弘</t>
    </r>
    <rPh sb="0" eb="2">
      <t>ヨシムラ</t>
    </rPh>
    <rPh sb="3" eb="4">
      <t>ヒロシ</t>
    </rPh>
    <phoneticPr fontId="1"/>
  </si>
  <si>
    <r>
      <rPr>
        <sz val="11"/>
        <rFont val="游ゴシック Medium"/>
        <family val="3"/>
        <charset val="128"/>
      </rPr>
      <t>音の島</t>
    </r>
    <r>
      <rPr>
        <sz val="11"/>
        <rFont val="Consolas"/>
        <family val="3"/>
      </rPr>
      <t>/</t>
    </r>
    <r>
      <rPr>
        <sz val="11"/>
        <rFont val="游ゴシック Medium"/>
        <family val="3"/>
        <charset val="128"/>
      </rPr>
      <t>吉村</t>
    </r>
    <r>
      <rPr>
        <sz val="11"/>
        <rFont val="Consolas"/>
        <family val="3"/>
      </rPr>
      <t xml:space="preserve"> </t>
    </r>
    <r>
      <rPr>
        <sz val="11"/>
        <rFont val="游ゴシック Medium"/>
        <family val="3"/>
        <charset val="128"/>
      </rPr>
      <t>弘の耳</t>
    </r>
    <rPh sb="0" eb="1">
      <t>オト</t>
    </rPh>
    <rPh sb="2" eb="3">
      <t>シマ</t>
    </rPh>
    <rPh sb="4" eb="6">
      <t>ヨシムラ</t>
    </rPh>
    <rPh sb="7" eb="8">
      <t>ヒロシ</t>
    </rPh>
    <rPh sb="9" eb="10">
      <t>ミミ</t>
    </rPh>
    <phoneticPr fontId="1"/>
  </si>
  <si>
    <r>
      <rPr>
        <sz val="11"/>
        <rFont val="游ゴシック Medium"/>
        <family val="3"/>
        <charset val="128"/>
      </rPr>
      <t>身内</t>
    </r>
    <rPh sb="0" eb="2">
      <t>ミウチ</t>
    </rPh>
    <phoneticPr fontId="1"/>
  </si>
  <si>
    <r>
      <rPr>
        <sz val="11"/>
        <rFont val="游ゴシック Medium"/>
        <family val="3"/>
        <charset val="128"/>
      </rPr>
      <t>関根秀樹</t>
    </r>
    <rPh sb="0" eb="2">
      <t>セキネ</t>
    </rPh>
    <rPh sb="2" eb="4">
      <t>ヒデキ</t>
    </rPh>
    <phoneticPr fontId="1"/>
  </si>
  <si>
    <r>
      <rPr>
        <sz val="11"/>
        <rFont val="游ゴシック Medium"/>
        <family val="3"/>
        <charset val="128"/>
      </rPr>
      <t>三浦和人</t>
    </r>
    <r>
      <rPr>
        <sz val="11"/>
        <rFont val="Consolas"/>
        <family val="3"/>
      </rPr>
      <t>/</t>
    </r>
    <r>
      <rPr>
        <sz val="11"/>
        <rFont val="游ゴシック Medium"/>
        <family val="3"/>
        <charset val="128"/>
      </rPr>
      <t>長崎真裕美</t>
    </r>
    <rPh sb="0" eb="2">
      <t>ミウラ</t>
    </rPh>
    <rPh sb="2" eb="4">
      <t>カズト</t>
    </rPh>
    <rPh sb="5" eb="7">
      <t>ナガサキ</t>
    </rPh>
    <rPh sb="7" eb="10">
      <t>マユミ</t>
    </rPh>
    <phoneticPr fontId="1"/>
  </si>
  <si>
    <r>
      <rPr>
        <sz val="11"/>
        <rFont val="游ゴシック Medium"/>
        <family val="3"/>
        <charset val="128"/>
      </rPr>
      <t>竹で作る楽器</t>
    </r>
    <rPh sb="0" eb="1">
      <t>タケ</t>
    </rPh>
    <rPh sb="2" eb="3">
      <t>ツク</t>
    </rPh>
    <rPh sb="4" eb="6">
      <t>ガッキ</t>
    </rPh>
    <phoneticPr fontId="1"/>
  </si>
  <si>
    <r>
      <t>Series</t>
    </r>
    <r>
      <rPr>
        <sz val="11"/>
        <rFont val="游ゴシック Medium"/>
        <family val="3"/>
        <charset val="128"/>
      </rPr>
      <t>親と子でつくる</t>
    </r>
    <r>
      <rPr>
        <sz val="11"/>
        <rFont val="Consolas"/>
        <family val="3"/>
      </rPr>
      <t>15</t>
    </r>
    <rPh sb="0" eb="6">
      <t>シリーズ</t>
    </rPh>
    <rPh sb="6" eb="7">
      <t>オヤ</t>
    </rPh>
    <rPh sb="8" eb="9">
      <t>コ</t>
    </rPh>
    <phoneticPr fontId="1"/>
  </si>
  <si>
    <r>
      <rPr>
        <sz val="11"/>
        <rFont val="游ゴシック Medium"/>
        <family val="3"/>
        <charset val="128"/>
      </rPr>
      <t>創和出版</t>
    </r>
    <rPh sb="0" eb="2">
      <t>ソウワ</t>
    </rPh>
    <rPh sb="2" eb="4">
      <t>シュッパン</t>
    </rPh>
    <phoneticPr fontId="1"/>
  </si>
  <si>
    <r>
      <rPr>
        <sz val="11"/>
        <rFont val="游ゴシック Medium"/>
        <family val="3"/>
        <charset val="128"/>
      </rPr>
      <t>許</t>
    </r>
    <r>
      <rPr>
        <sz val="11"/>
        <rFont val="Consolas"/>
        <family val="3"/>
      </rPr>
      <t xml:space="preserve"> </t>
    </r>
    <r>
      <rPr>
        <sz val="11"/>
        <rFont val="游ゴシック Medium"/>
        <family val="3"/>
        <charset val="128"/>
      </rPr>
      <t>光俊</t>
    </r>
    <rPh sb="0" eb="1">
      <t>キョ</t>
    </rPh>
    <rPh sb="2" eb="4">
      <t>ミツトシ</t>
    </rPh>
    <phoneticPr fontId="1"/>
  </si>
  <si>
    <r>
      <rPr>
        <sz val="11"/>
        <rFont val="游ゴシック Medium"/>
        <family val="3"/>
        <charset val="128"/>
      </rPr>
      <t>鈴木</t>
    </r>
    <r>
      <rPr>
        <sz val="11"/>
        <rFont val="Consolas"/>
        <family val="3"/>
      </rPr>
      <t xml:space="preserve"> </t>
    </r>
    <r>
      <rPr>
        <sz val="11"/>
        <rFont val="游ゴシック Medium"/>
        <family val="3"/>
        <charset val="128"/>
      </rPr>
      <t>淳史</t>
    </r>
    <r>
      <rPr>
        <sz val="11"/>
        <rFont val="Consolas"/>
        <family val="3"/>
      </rPr>
      <t>/</t>
    </r>
    <r>
      <rPr>
        <sz val="11"/>
        <rFont val="游ゴシック Medium"/>
        <family val="3"/>
        <charset val="128"/>
      </rPr>
      <t>吉澤</t>
    </r>
    <r>
      <rPr>
        <sz val="11"/>
        <rFont val="Consolas"/>
        <family val="3"/>
      </rPr>
      <t xml:space="preserve"> </t>
    </r>
    <r>
      <rPr>
        <sz val="11"/>
        <rFont val="游ゴシック Medium"/>
        <family val="3"/>
        <charset val="128"/>
      </rPr>
      <t>ヴィルヘルム</t>
    </r>
    <r>
      <rPr>
        <sz val="11"/>
        <rFont val="Consolas"/>
        <family val="3"/>
      </rPr>
      <t>/</t>
    </r>
    <r>
      <rPr>
        <sz val="11"/>
        <rFont val="游ゴシック Medium"/>
        <family val="3"/>
        <charset val="128"/>
      </rPr>
      <t>宮岡</t>
    </r>
    <r>
      <rPr>
        <sz val="11"/>
        <rFont val="Consolas"/>
        <family val="3"/>
      </rPr>
      <t xml:space="preserve"> </t>
    </r>
    <r>
      <rPr>
        <sz val="11"/>
        <rFont val="游ゴシック Medium"/>
        <family val="3"/>
        <charset val="128"/>
      </rPr>
      <t>博英</t>
    </r>
    <rPh sb="0" eb="2">
      <t>スズキ</t>
    </rPh>
    <rPh sb="3" eb="5">
      <t>アツフミ</t>
    </rPh>
    <rPh sb="6" eb="8">
      <t>ヨシザワ</t>
    </rPh>
    <rPh sb="16" eb="18">
      <t>ミヤオカ</t>
    </rPh>
    <rPh sb="19" eb="21">
      <t>ヒロヒデ</t>
    </rPh>
    <phoneticPr fontId="1"/>
  </si>
  <si>
    <r>
      <rPr>
        <sz val="11"/>
        <rFont val="游ゴシック Medium"/>
        <family val="3"/>
        <charset val="128"/>
      </rPr>
      <t>こんな「名盤」は、いらない</t>
    </r>
    <r>
      <rPr>
        <sz val="11"/>
        <rFont val="Consolas"/>
        <family val="3"/>
      </rPr>
      <t xml:space="preserve"> !</t>
    </r>
    <rPh sb="4" eb="6">
      <t>メイバン</t>
    </rPh>
    <phoneticPr fontId="1"/>
  </si>
  <si>
    <r>
      <rPr>
        <sz val="11"/>
        <rFont val="游ゴシック Medium"/>
        <family val="3"/>
        <charset val="128"/>
      </rPr>
      <t>クラシック</t>
    </r>
    <r>
      <rPr>
        <sz val="11"/>
        <rFont val="Consolas"/>
        <family val="3"/>
      </rPr>
      <t xml:space="preserve"> </t>
    </r>
    <r>
      <rPr>
        <sz val="11"/>
        <rFont val="游ゴシック Medium"/>
        <family val="3"/>
        <charset val="128"/>
      </rPr>
      <t>恐怖の審判</t>
    </r>
    <r>
      <rPr>
        <sz val="11"/>
        <rFont val="Consolas"/>
        <family val="3"/>
      </rPr>
      <t xml:space="preserve"> 1</t>
    </r>
    <rPh sb="6" eb="8">
      <t>キョウフ</t>
    </rPh>
    <rPh sb="9" eb="11">
      <t>シンパン</t>
    </rPh>
    <phoneticPr fontId="1"/>
  </si>
  <si>
    <r>
      <rPr>
        <sz val="11"/>
        <rFont val="游ゴシック Medium"/>
        <family val="3"/>
        <charset val="128"/>
      </rPr>
      <t>夏目書房</t>
    </r>
    <rPh sb="0" eb="2">
      <t>ナツメ</t>
    </rPh>
    <rPh sb="2" eb="4">
      <t>ショボウ</t>
    </rPh>
    <phoneticPr fontId="1"/>
  </si>
  <si>
    <r>
      <rPr>
        <sz val="11"/>
        <rFont val="游ゴシック Medium"/>
        <family val="3"/>
        <charset val="128"/>
      </rPr>
      <t>久住昌之</t>
    </r>
    <rPh sb="0" eb="2">
      <t>クスミ</t>
    </rPh>
    <rPh sb="2" eb="4">
      <t>マサユキ</t>
    </rPh>
    <phoneticPr fontId="1"/>
  </si>
  <si>
    <r>
      <rPr>
        <sz val="11"/>
        <rFont val="游ゴシック Medium"/>
        <family val="3"/>
        <charset val="128"/>
      </rPr>
      <t>工夫癖</t>
    </r>
    <rPh sb="0" eb="2">
      <t>クフウ</t>
    </rPh>
    <rPh sb="2" eb="3">
      <t>ヘキ</t>
    </rPh>
    <phoneticPr fontId="1"/>
  </si>
  <si>
    <r>
      <rPr>
        <sz val="11"/>
        <rFont val="游ゴシック Medium"/>
        <family val="3"/>
        <charset val="128"/>
      </rPr>
      <t>双葉社</t>
    </r>
    <rPh sb="0" eb="2">
      <t>フタバ</t>
    </rPh>
    <rPh sb="2" eb="3">
      <t>シャ</t>
    </rPh>
    <phoneticPr fontId="1"/>
  </si>
  <si>
    <r>
      <rPr>
        <sz val="11"/>
        <rFont val="游ゴシック Medium"/>
        <family val="3"/>
        <charset val="128"/>
      </rPr>
      <t>井上雅彦</t>
    </r>
    <rPh sb="0" eb="2">
      <t>イノウエ</t>
    </rPh>
    <rPh sb="2" eb="4">
      <t>マサヒコ</t>
    </rPh>
    <phoneticPr fontId="1"/>
  </si>
  <si>
    <r>
      <t>1001</t>
    </r>
    <r>
      <rPr>
        <sz val="11"/>
        <rFont val="游ゴシック Medium"/>
        <family val="3"/>
        <charset val="128"/>
      </rPr>
      <t>秒の恐怖映画</t>
    </r>
    <rPh sb="4" eb="5">
      <t>ビョウ</t>
    </rPh>
    <rPh sb="6" eb="8">
      <t>キョウフ</t>
    </rPh>
    <rPh sb="8" eb="10">
      <t>エイガ</t>
    </rPh>
    <phoneticPr fontId="1"/>
  </si>
  <si>
    <r>
      <rPr>
        <sz val="11"/>
        <rFont val="游ゴシック Medium"/>
        <family val="3"/>
        <charset val="128"/>
      </rPr>
      <t>ぶんか社</t>
    </r>
    <rPh sb="3" eb="4">
      <t>シャ</t>
    </rPh>
    <phoneticPr fontId="1"/>
  </si>
  <si>
    <r>
      <rPr>
        <sz val="11"/>
        <rFont val="游ゴシック Medium"/>
        <family val="3"/>
        <charset val="128"/>
      </rPr>
      <t>根元書房</t>
    </r>
    <rPh sb="0" eb="2">
      <t>コンゲン</t>
    </rPh>
    <rPh sb="2" eb="4">
      <t>ショボウ</t>
    </rPh>
    <phoneticPr fontId="1"/>
  </si>
  <si>
    <r>
      <rPr>
        <sz val="11"/>
        <rFont val="游ゴシック Medium"/>
        <family val="3"/>
        <charset val="128"/>
      </rPr>
      <t>松田和也</t>
    </r>
    <rPh sb="0" eb="2">
      <t>マツダ</t>
    </rPh>
    <rPh sb="2" eb="4">
      <t>カズヤ</t>
    </rPh>
    <phoneticPr fontId="1"/>
  </si>
  <si>
    <r>
      <rPr>
        <sz val="11"/>
        <rFont val="游ゴシック Medium"/>
        <family val="3"/>
        <charset val="128"/>
      </rPr>
      <t>神々の果実</t>
    </r>
    <r>
      <rPr>
        <sz val="11"/>
        <rFont val="Consolas"/>
        <family val="3"/>
      </rPr>
      <t>/Strange Fruit</t>
    </r>
    <rPh sb="0" eb="2">
      <t>カミガミ</t>
    </rPh>
    <rPh sb="3" eb="5">
      <t>カジツ</t>
    </rPh>
    <phoneticPr fontId="1"/>
  </si>
  <si>
    <r>
      <rPr>
        <sz val="11"/>
        <rFont val="游ゴシック Medium"/>
        <family val="3"/>
        <charset val="128"/>
      </rPr>
      <t>幻覚キノコと秘儀の文化史</t>
    </r>
    <r>
      <rPr>
        <sz val="11"/>
        <rFont val="Consolas"/>
        <family val="3"/>
      </rPr>
      <t>/</t>
    </r>
    <r>
      <rPr>
        <sz val="11"/>
        <rFont val="游ゴシック Medium"/>
        <family val="3"/>
        <charset val="128"/>
      </rPr>
      <t>秘められた宗教と錬金術の真実</t>
    </r>
    <rPh sb="0" eb="2">
      <t>ゲンカク</t>
    </rPh>
    <rPh sb="6" eb="8">
      <t>ヒギ</t>
    </rPh>
    <rPh sb="9" eb="12">
      <t>ブンカシ</t>
    </rPh>
    <rPh sb="13" eb="14">
      <t>ヒ</t>
    </rPh>
    <rPh sb="18" eb="20">
      <t>シュウキョウ</t>
    </rPh>
    <rPh sb="21" eb="24">
      <t>レンキンジュツ</t>
    </rPh>
    <rPh sb="25" eb="27">
      <t>シンジツ</t>
    </rPh>
    <phoneticPr fontId="1"/>
  </si>
  <si>
    <r>
      <rPr>
        <sz val="11"/>
        <rFont val="游ゴシック Medium"/>
        <family val="3"/>
        <charset val="128"/>
      </rPr>
      <t>ワイル</t>
    </r>
    <r>
      <rPr>
        <sz val="11"/>
        <rFont val="Consolas"/>
        <family val="3"/>
      </rPr>
      <t>,A+</t>
    </r>
    <r>
      <rPr>
        <sz val="11"/>
        <rFont val="游ゴシック Medium"/>
        <family val="3"/>
        <charset val="128"/>
      </rPr>
      <t>ローセン</t>
    </r>
    <r>
      <rPr>
        <sz val="11"/>
        <rFont val="Consolas"/>
        <family val="3"/>
      </rPr>
      <t>,W</t>
    </r>
    <phoneticPr fontId="1"/>
  </si>
  <si>
    <r>
      <rPr>
        <sz val="11"/>
        <rFont val="游ゴシック Medium"/>
        <family val="3"/>
        <charset val="128"/>
      </rPr>
      <t>ハミルトン･遥子</t>
    </r>
    <rPh sb="6" eb="8">
      <t>ヨウコ</t>
    </rPh>
    <phoneticPr fontId="1"/>
  </si>
  <si>
    <r>
      <t>Chocolate</t>
    </r>
    <r>
      <rPr>
        <b/>
        <sz val="11"/>
        <color indexed="33"/>
        <rFont val="游ゴシック Medium"/>
        <family val="3"/>
        <charset val="128"/>
      </rPr>
      <t>から</t>
    </r>
    <r>
      <rPr>
        <b/>
        <sz val="11"/>
        <color indexed="33"/>
        <rFont val="Consolas"/>
        <family val="3"/>
      </rPr>
      <t>Heroin</t>
    </r>
    <r>
      <rPr>
        <b/>
        <sz val="11"/>
        <color indexed="33"/>
        <rFont val="游ゴシック Medium"/>
        <family val="3"/>
        <charset val="128"/>
      </rPr>
      <t>まで</t>
    </r>
    <r>
      <rPr>
        <b/>
        <sz val="11"/>
        <color indexed="33"/>
        <rFont val="Consolas"/>
        <family val="3"/>
      </rPr>
      <t>(Drug Culture</t>
    </r>
    <r>
      <rPr>
        <b/>
        <sz val="11"/>
        <color indexed="33"/>
        <rFont val="游ゴシック Medium"/>
        <family val="3"/>
        <charset val="128"/>
      </rPr>
      <t>のすべて</t>
    </r>
    <r>
      <rPr>
        <b/>
        <sz val="11"/>
        <color indexed="33"/>
        <rFont val="Consolas"/>
        <family val="3"/>
      </rPr>
      <t>)</t>
    </r>
    <rPh sb="0" eb="9">
      <t>チョコレート</t>
    </rPh>
    <rPh sb="11" eb="17">
      <t>ヘロイン</t>
    </rPh>
    <rPh sb="20" eb="24">
      <t>ドラッグ</t>
    </rPh>
    <rPh sb="25" eb="32">
      <t>カルチャー</t>
    </rPh>
    <phoneticPr fontId="1"/>
  </si>
  <si>
    <r>
      <rPr>
        <sz val="11"/>
        <rFont val="游ゴシック Medium"/>
        <family val="3"/>
        <charset val="128"/>
      </rPr>
      <t>第三書館</t>
    </r>
    <rPh sb="0" eb="2">
      <t>ダイサン</t>
    </rPh>
    <rPh sb="2" eb="4">
      <t>ショカン</t>
    </rPh>
    <phoneticPr fontId="1"/>
  </si>
  <si>
    <r>
      <rPr>
        <sz val="11"/>
        <rFont val="游ゴシック Medium"/>
        <family val="3"/>
        <charset val="128"/>
      </rPr>
      <t>石川元助</t>
    </r>
    <rPh sb="0" eb="2">
      <t>イシカワ</t>
    </rPh>
    <rPh sb="2" eb="4">
      <t>モトスケ</t>
    </rPh>
    <phoneticPr fontId="1"/>
  </si>
  <si>
    <r>
      <rPr>
        <sz val="11"/>
        <rFont val="游ゴシック Medium"/>
        <family val="3"/>
        <charset val="128"/>
      </rPr>
      <t>民族毒物学</t>
    </r>
    <rPh sb="0" eb="2">
      <t>ミンゾク</t>
    </rPh>
    <rPh sb="2" eb="4">
      <t>ドクブツ</t>
    </rPh>
    <rPh sb="4" eb="5">
      <t>ガク</t>
    </rPh>
    <phoneticPr fontId="1"/>
  </si>
  <si>
    <r>
      <rPr>
        <sz val="11"/>
        <rFont val="游ゴシック Medium"/>
        <family val="3"/>
        <charset val="128"/>
      </rPr>
      <t>ガマの油から</t>
    </r>
    <r>
      <rPr>
        <sz val="11"/>
        <rFont val="Consolas"/>
        <family val="3"/>
      </rPr>
      <t>LSD</t>
    </r>
    <r>
      <rPr>
        <sz val="11"/>
        <rFont val="游ゴシック Medium"/>
        <family val="3"/>
        <charset val="128"/>
      </rPr>
      <t>まで</t>
    </r>
    <r>
      <rPr>
        <sz val="11"/>
        <rFont val="Consolas"/>
        <family val="3"/>
      </rPr>
      <t>/</t>
    </r>
    <r>
      <rPr>
        <sz val="11"/>
        <rFont val="游ゴシック Medium"/>
        <family val="3"/>
        <charset val="128"/>
      </rPr>
      <t>陶酔と幻覚の文化</t>
    </r>
    <rPh sb="3" eb="4">
      <t>アブラ</t>
    </rPh>
    <rPh sb="12" eb="14">
      <t>トウスイ</t>
    </rPh>
    <rPh sb="15" eb="17">
      <t>ゲンカク</t>
    </rPh>
    <rPh sb="18" eb="20">
      <t>ブンカ</t>
    </rPh>
    <phoneticPr fontId="1"/>
  </si>
  <si>
    <r>
      <t>Marijuana Now</t>
    </r>
    <r>
      <rPr>
        <sz val="11"/>
        <rFont val="游ゴシック Medium"/>
        <family val="3"/>
        <charset val="128"/>
      </rPr>
      <t>編集会</t>
    </r>
    <rPh sb="0" eb="9">
      <t>マリファナ</t>
    </rPh>
    <rPh sb="10" eb="13">
      <t>ナウ</t>
    </rPh>
    <rPh sb="13" eb="16">
      <t>ヘンシュウカイ</t>
    </rPh>
    <phoneticPr fontId="1"/>
  </si>
  <si>
    <r>
      <rPr>
        <sz val="11"/>
        <rFont val="游ゴシック Medium"/>
        <family val="3"/>
        <charset val="128"/>
      </rPr>
      <t>一戸良行</t>
    </r>
    <rPh sb="0" eb="2">
      <t>イチノヘ</t>
    </rPh>
    <rPh sb="2" eb="4">
      <t>ヨシユキ</t>
    </rPh>
    <phoneticPr fontId="1"/>
  </si>
  <si>
    <r>
      <rPr>
        <sz val="11"/>
        <rFont val="游ゴシック Medium"/>
        <family val="3"/>
        <charset val="128"/>
      </rPr>
      <t>麻薬の科学</t>
    </r>
    <rPh sb="0" eb="2">
      <t>マヤク</t>
    </rPh>
    <rPh sb="3" eb="5">
      <t>カガク</t>
    </rPh>
    <phoneticPr fontId="1"/>
  </si>
  <si>
    <r>
      <rPr>
        <sz val="11"/>
        <rFont val="游ゴシック Medium"/>
        <family val="3"/>
        <charset val="128"/>
      </rPr>
      <t>のぎへんのほん</t>
    </r>
    <phoneticPr fontId="1"/>
  </si>
  <si>
    <r>
      <rPr>
        <sz val="11"/>
        <rFont val="游ゴシック Medium"/>
        <family val="3"/>
        <charset val="128"/>
      </rPr>
      <t>研成社</t>
    </r>
    <rPh sb="0" eb="3">
      <t>ケンセイシャ</t>
    </rPh>
    <phoneticPr fontId="1"/>
  </si>
  <si>
    <r>
      <t xml:space="preserve">Carlos </t>
    </r>
    <r>
      <rPr>
        <strike/>
        <sz val="11"/>
        <rFont val="游ゴシック Medium"/>
        <family val="3"/>
        <charset val="128"/>
      </rPr>
      <t>カスタネダ</t>
    </r>
    <rPh sb="0" eb="6">
      <t>カルロス</t>
    </rPh>
    <phoneticPr fontId="1"/>
  </si>
  <si>
    <r>
      <rPr>
        <strike/>
        <sz val="11"/>
        <rFont val="游ゴシック Medium"/>
        <family val="3"/>
        <charset val="128"/>
      </rPr>
      <t>呪術師と私─</t>
    </r>
    <r>
      <rPr>
        <strike/>
        <sz val="11"/>
        <rFont val="Consolas"/>
        <family val="3"/>
      </rPr>
      <t>Don Juan</t>
    </r>
    <r>
      <rPr>
        <strike/>
        <sz val="11"/>
        <rFont val="游ゴシック Medium"/>
        <family val="3"/>
        <charset val="128"/>
      </rPr>
      <t>の教え</t>
    </r>
    <rPh sb="0" eb="2">
      <t>ジュジュツ</t>
    </rPh>
    <rPh sb="2" eb="3">
      <t>シ</t>
    </rPh>
    <rPh sb="4" eb="5">
      <t>ワタシ</t>
    </rPh>
    <rPh sb="6" eb="14">
      <t>ドン・ファン</t>
    </rPh>
    <rPh sb="15" eb="16">
      <t>オシ</t>
    </rPh>
    <phoneticPr fontId="1"/>
  </si>
  <si>
    <r>
      <rPr>
        <strike/>
        <sz val="11"/>
        <rFont val="游ゴシック Medium"/>
        <family val="3"/>
        <charset val="128"/>
      </rPr>
      <t>二見書房</t>
    </r>
    <rPh sb="0" eb="2">
      <t>フタミ</t>
    </rPh>
    <rPh sb="2" eb="4">
      <t>ショボウ</t>
    </rPh>
    <phoneticPr fontId="1"/>
  </si>
  <si>
    <r>
      <rPr>
        <strike/>
        <sz val="11"/>
        <rFont val="游ゴシック Medium"/>
        <family val="3"/>
        <charset val="128"/>
      </rPr>
      <t>古本屋に売却</t>
    </r>
    <rPh sb="0" eb="3">
      <t>フルホンヤ</t>
    </rPh>
    <rPh sb="4" eb="6">
      <t>バイキャク</t>
    </rPh>
    <phoneticPr fontId="1"/>
  </si>
  <si>
    <r>
      <rPr>
        <strike/>
        <sz val="11"/>
        <rFont val="游ゴシック Medium"/>
        <family val="3"/>
        <charset val="128"/>
      </rPr>
      <t>呪術の体験─分離した</t>
    </r>
    <r>
      <rPr>
        <strike/>
        <sz val="11"/>
        <rFont val="Consolas"/>
        <family val="3"/>
      </rPr>
      <t>Reality</t>
    </r>
    <rPh sb="0" eb="2">
      <t>ジュジュツ</t>
    </rPh>
    <rPh sb="3" eb="5">
      <t>タイケン</t>
    </rPh>
    <rPh sb="6" eb="8">
      <t>ブンリ</t>
    </rPh>
    <rPh sb="10" eb="17">
      <t>リアリティ</t>
    </rPh>
    <phoneticPr fontId="1"/>
  </si>
  <si>
    <r>
      <rPr>
        <sz val="11"/>
        <rFont val="游ゴシック Medium"/>
        <family val="3"/>
        <charset val="128"/>
      </rPr>
      <t>青山正明</t>
    </r>
    <rPh sb="0" eb="2">
      <t>アオヤマ</t>
    </rPh>
    <rPh sb="2" eb="4">
      <t>マサアキ</t>
    </rPh>
    <phoneticPr fontId="1"/>
  </si>
  <si>
    <r>
      <rPr>
        <b/>
        <sz val="11"/>
        <color indexed="33"/>
        <rFont val="游ゴシック Medium"/>
        <family val="3"/>
        <charset val="128"/>
      </rPr>
      <t>危ない薬</t>
    </r>
    <rPh sb="0" eb="1">
      <t>アブ</t>
    </rPh>
    <rPh sb="3" eb="4">
      <t>クスリ</t>
    </rPh>
    <phoneticPr fontId="1"/>
  </si>
  <si>
    <r>
      <rPr>
        <sz val="11"/>
        <rFont val="游ゴシック Medium"/>
        <family val="3"/>
        <charset val="128"/>
      </rPr>
      <t>データハウス</t>
    </r>
    <phoneticPr fontId="1"/>
  </si>
  <si>
    <r>
      <rPr>
        <sz val="11"/>
        <rFont val="游ゴシック Medium"/>
        <family val="3"/>
        <charset val="128"/>
      </rPr>
      <t>続･危ない薬</t>
    </r>
    <rPh sb="0" eb="1">
      <t>ゾク</t>
    </rPh>
    <rPh sb="2" eb="3">
      <t>アブ</t>
    </rPh>
    <rPh sb="5" eb="6">
      <t>クスリ</t>
    </rPh>
    <phoneticPr fontId="1"/>
  </si>
  <si>
    <r>
      <rPr>
        <sz val="11"/>
        <rFont val="游ゴシック Medium"/>
        <family val="3"/>
        <charset val="128"/>
      </rPr>
      <t>中山</t>
    </r>
    <r>
      <rPr>
        <sz val="11"/>
        <rFont val="Consolas"/>
        <family val="3"/>
      </rPr>
      <t xml:space="preserve"> </t>
    </r>
    <r>
      <rPr>
        <sz val="11"/>
        <rFont val="游ゴシック Medium"/>
        <family val="3"/>
        <charset val="128"/>
      </rPr>
      <t>純</t>
    </r>
    <rPh sb="0" eb="2">
      <t>ナカヤマ</t>
    </rPh>
    <rPh sb="3" eb="4">
      <t>ジュン</t>
    </rPh>
    <phoneticPr fontId="1"/>
  </si>
  <si>
    <r>
      <rPr>
        <sz val="11"/>
        <rFont val="游ゴシック Medium"/>
        <family val="3"/>
        <charset val="128"/>
      </rPr>
      <t>悪い薬</t>
    </r>
    <rPh sb="0" eb="1">
      <t>ワル</t>
    </rPh>
    <rPh sb="2" eb="3">
      <t>クスリ</t>
    </rPh>
    <phoneticPr fontId="1"/>
  </si>
  <si>
    <r>
      <rPr>
        <sz val="11"/>
        <rFont val="游ゴシック Medium"/>
        <family val="3"/>
        <charset val="128"/>
      </rPr>
      <t>悪い産婦人科医</t>
    </r>
    <rPh sb="0" eb="1">
      <t>ワル</t>
    </rPh>
    <rPh sb="2" eb="7">
      <t>サンフジンカイ</t>
    </rPh>
    <phoneticPr fontId="1"/>
  </si>
  <si>
    <r>
      <rPr>
        <sz val="11"/>
        <rFont val="游ゴシック Medium"/>
        <family val="3"/>
        <charset val="128"/>
      </rPr>
      <t>東京公司</t>
    </r>
    <rPh sb="0" eb="2">
      <t>トウキョウ</t>
    </rPh>
    <rPh sb="2" eb="4">
      <t>コウシ</t>
    </rPh>
    <phoneticPr fontId="1"/>
  </si>
  <si>
    <r>
      <rPr>
        <sz val="11"/>
        <rFont val="游ゴシック Medium"/>
        <family val="3"/>
        <charset val="128"/>
      </rPr>
      <t>アダルトグッズ完全使用</t>
    </r>
    <r>
      <rPr>
        <sz val="11"/>
        <rFont val="Consolas"/>
        <family val="3"/>
      </rPr>
      <t>Manual</t>
    </r>
    <rPh sb="7" eb="9">
      <t>カンゼン</t>
    </rPh>
    <rPh sb="9" eb="11">
      <t>シヨウ</t>
    </rPh>
    <rPh sb="11" eb="17">
      <t>マニュアル</t>
    </rPh>
    <phoneticPr fontId="1"/>
  </si>
  <si>
    <r>
      <rPr>
        <sz val="11"/>
        <rFont val="游ゴシック Medium"/>
        <family val="3"/>
        <charset val="128"/>
      </rPr>
      <t>実践性科学研究会</t>
    </r>
    <rPh sb="0" eb="2">
      <t>ジッセン</t>
    </rPh>
    <rPh sb="2" eb="3">
      <t>セイ</t>
    </rPh>
    <rPh sb="3" eb="5">
      <t>カガク</t>
    </rPh>
    <rPh sb="5" eb="8">
      <t>ケンキュウカイ</t>
    </rPh>
    <phoneticPr fontId="1"/>
  </si>
  <si>
    <r>
      <rPr>
        <sz val="11"/>
        <rFont val="游ゴシック Medium"/>
        <family val="3"/>
        <charset val="128"/>
      </rPr>
      <t>アダルトグッズ公式使用</t>
    </r>
    <r>
      <rPr>
        <sz val="11"/>
        <rFont val="Consolas"/>
        <family val="3"/>
      </rPr>
      <t>Manual</t>
    </r>
    <rPh sb="7" eb="9">
      <t>コウシキ</t>
    </rPh>
    <rPh sb="9" eb="11">
      <t>シヨウ</t>
    </rPh>
    <rPh sb="11" eb="17">
      <t>マニュアル</t>
    </rPh>
    <phoneticPr fontId="1"/>
  </si>
  <si>
    <r>
      <rPr>
        <strike/>
        <sz val="11"/>
        <rFont val="游ゴシック Medium"/>
        <family val="3"/>
        <charset val="128"/>
      </rPr>
      <t>身内</t>
    </r>
    <rPh sb="0" eb="2">
      <t>ミウチ</t>
    </rPh>
    <phoneticPr fontId="1"/>
  </si>
  <si>
    <r>
      <rPr>
        <strike/>
        <sz val="11"/>
        <rFont val="游ゴシック Medium"/>
        <family val="3"/>
        <charset val="128"/>
      </rPr>
      <t>相澤史生</t>
    </r>
    <rPh sb="0" eb="2">
      <t>アイザワ</t>
    </rPh>
    <rPh sb="2" eb="4">
      <t>フミオ</t>
    </rPh>
    <phoneticPr fontId="1"/>
  </si>
  <si>
    <r>
      <rPr>
        <strike/>
        <sz val="11"/>
        <rFont val="游ゴシック Medium"/>
        <family val="3"/>
        <charset val="128"/>
      </rPr>
      <t>合田ケムリ</t>
    </r>
    <rPh sb="0" eb="2">
      <t>アイダ</t>
    </rPh>
    <phoneticPr fontId="1"/>
  </si>
  <si>
    <r>
      <rPr>
        <strike/>
        <sz val="11"/>
        <rFont val="游ゴシック Medium"/>
        <family val="3"/>
        <charset val="128"/>
      </rPr>
      <t>今どきの拷問術</t>
    </r>
    <rPh sb="0" eb="1">
      <t>イマ</t>
    </rPh>
    <rPh sb="4" eb="6">
      <t>ゴウモン</t>
    </rPh>
    <rPh sb="6" eb="7">
      <t>ジュツ</t>
    </rPh>
    <phoneticPr fontId="1"/>
  </si>
  <si>
    <r>
      <rPr>
        <strike/>
        <sz val="11"/>
        <rFont val="游ゴシック Medium"/>
        <family val="3"/>
        <charset val="128"/>
      </rPr>
      <t>データハウス</t>
    </r>
    <phoneticPr fontId="1"/>
  </si>
  <si>
    <r>
      <rPr>
        <sz val="11"/>
        <rFont val="游ゴシック Medium"/>
        <family val="3"/>
        <charset val="128"/>
      </rPr>
      <t>図解・中毒</t>
    </r>
    <r>
      <rPr>
        <sz val="11"/>
        <rFont val="Consolas"/>
        <family val="3"/>
      </rPr>
      <t>Manual</t>
    </r>
    <r>
      <rPr>
        <sz val="11"/>
        <rFont val="游ゴシック Medium"/>
        <family val="3"/>
        <charset val="128"/>
      </rPr>
      <t>（全</t>
    </r>
    <r>
      <rPr>
        <sz val="11"/>
        <rFont val="Consolas"/>
        <family val="3"/>
      </rPr>
      <t>2</t>
    </r>
    <r>
      <rPr>
        <sz val="11"/>
        <rFont val="游ゴシック Medium"/>
        <family val="3"/>
        <charset val="128"/>
      </rPr>
      <t>巻）</t>
    </r>
    <rPh sb="0" eb="2">
      <t>ズカイ</t>
    </rPh>
    <rPh sb="3" eb="5">
      <t>チュウドク</t>
    </rPh>
    <rPh sb="5" eb="11">
      <t>マニュアル</t>
    </rPh>
    <phoneticPr fontId="1"/>
  </si>
  <si>
    <r>
      <rPr>
        <sz val="11"/>
        <rFont val="游ゴシック Medium"/>
        <family val="3"/>
        <charset val="128"/>
      </rPr>
      <t>全</t>
    </r>
    <r>
      <rPr>
        <sz val="11"/>
        <rFont val="Consolas"/>
        <family val="3"/>
      </rPr>
      <t>2</t>
    </r>
    <r>
      <rPr>
        <sz val="11"/>
        <rFont val="游ゴシック Medium"/>
        <family val="3"/>
        <charset val="128"/>
      </rPr>
      <t>巻</t>
    </r>
    <rPh sb="0" eb="1">
      <t>ゼン</t>
    </rPh>
    <rPh sb="2" eb="3">
      <t>カン</t>
    </rPh>
    <phoneticPr fontId="1"/>
  </si>
  <si>
    <r>
      <rPr>
        <sz val="11"/>
        <rFont val="游ゴシック Medium"/>
        <family val="3"/>
        <charset val="128"/>
      </rPr>
      <t>同文書院</t>
    </r>
    <rPh sb="0" eb="2">
      <t>ドウブン</t>
    </rPh>
    <rPh sb="2" eb="4">
      <t>ショイン</t>
    </rPh>
    <phoneticPr fontId="1"/>
  </si>
  <si>
    <r>
      <rPr>
        <sz val="11"/>
        <rFont val="游ゴシック Medium"/>
        <family val="3"/>
        <charset val="128"/>
      </rPr>
      <t>鶴見</t>
    </r>
    <r>
      <rPr>
        <sz val="11"/>
        <rFont val="Consolas"/>
        <family val="3"/>
      </rPr>
      <t xml:space="preserve"> </t>
    </r>
    <r>
      <rPr>
        <sz val="11"/>
        <rFont val="游ゴシック Medium"/>
        <family val="3"/>
        <charset val="128"/>
      </rPr>
      <t>済</t>
    </r>
    <rPh sb="0" eb="2">
      <t>ツルミ</t>
    </rPh>
    <phoneticPr fontId="1"/>
  </si>
  <si>
    <r>
      <rPr>
        <sz val="11"/>
        <rFont val="游ゴシック Medium"/>
        <family val="3"/>
        <charset val="128"/>
      </rPr>
      <t>完全自殺</t>
    </r>
    <r>
      <rPr>
        <sz val="11"/>
        <rFont val="Consolas"/>
        <family val="3"/>
      </rPr>
      <t>Manual</t>
    </r>
    <rPh sb="0" eb="2">
      <t>カンゼン</t>
    </rPh>
    <rPh sb="2" eb="4">
      <t>ジサツ</t>
    </rPh>
    <rPh sb="4" eb="10">
      <t>マニュアル</t>
    </rPh>
    <phoneticPr fontId="1"/>
  </si>
  <si>
    <r>
      <rPr>
        <sz val="11"/>
        <rFont val="游ゴシック Medium"/>
        <family val="3"/>
        <charset val="128"/>
      </rPr>
      <t>太田出版</t>
    </r>
    <rPh sb="0" eb="2">
      <t>オオタ</t>
    </rPh>
    <rPh sb="2" eb="4">
      <t>シュッパン</t>
    </rPh>
    <phoneticPr fontId="1"/>
  </si>
  <si>
    <r>
      <t xml:space="preserve">the </t>
    </r>
    <r>
      <rPr>
        <sz val="11"/>
        <rFont val="游ゴシック Medium"/>
        <family val="3"/>
        <charset val="128"/>
      </rPr>
      <t>殺人術</t>
    </r>
    <rPh sb="0" eb="3">
      <t>ザ</t>
    </rPh>
    <rPh sb="4" eb="6">
      <t>サツジン</t>
    </rPh>
    <rPh sb="6" eb="7">
      <t>ジュツ</t>
    </rPh>
    <phoneticPr fontId="1"/>
  </si>
  <si>
    <r>
      <rPr>
        <sz val="11"/>
        <rFont val="游ゴシック Medium"/>
        <family val="3"/>
        <charset val="128"/>
      </rPr>
      <t>ルービン</t>
    </r>
    <r>
      <rPr>
        <sz val="11"/>
        <rFont val="Consolas"/>
        <family val="3"/>
      </rPr>
      <t>,</t>
    </r>
    <r>
      <rPr>
        <sz val="11"/>
        <rFont val="游ゴシック Medium"/>
        <family val="3"/>
        <charset val="128"/>
      </rPr>
      <t>ジェリー</t>
    </r>
    <phoneticPr fontId="1"/>
  </si>
  <si>
    <r>
      <rPr>
        <sz val="11"/>
        <rFont val="游ゴシック Medium"/>
        <family val="3"/>
        <charset val="128"/>
      </rPr>
      <t>田村隆一・岩本隼</t>
    </r>
    <r>
      <rPr>
        <sz val="11"/>
        <rFont val="Consolas"/>
        <family val="3"/>
      </rPr>
      <t>/</t>
    </r>
    <r>
      <rPr>
        <sz val="11"/>
        <rFont val="游ゴシック Medium"/>
        <family val="3"/>
        <charset val="128"/>
      </rPr>
      <t>金坂健二</t>
    </r>
    <rPh sb="0" eb="2">
      <t>タムラ</t>
    </rPh>
    <rPh sb="2" eb="4">
      <t>リュウイチ</t>
    </rPh>
    <rPh sb="5" eb="7">
      <t>イワモト</t>
    </rPh>
    <rPh sb="9" eb="11">
      <t>カナサカ</t>
    </rPh>
    <rPh sb="11" eb="13">
      <t>ケンジ</t>
    </rPh>
    <phoneticPr fontId="1"/>
  </si>
  <si>
    <r>
      <rPr>
        <sz val="11"/>
        <rFont val="游ゴシック Medium"/>
        <family val="3"/>
        <charset val="128"/>
      </rPr>
      <t>共訳</t>
    </r>
    <r>
      <rPr>
        <sz val="11"/>
        <rFont val="Consolas"/>
        <family val="3"/>
      </rPr>
      <t>/</t>
    </r>
    <r>
      <rPr>
        <sz val="11"/>
        <rFont val="游ゴシック Medium"/>
        <family val="3"/>
        <charset val="128"/>
      </rPr>
      <t>解説</t>
    </r>
    <rPh sb="0" eb="2">
      <t>キョウヤク</t>
    </rPh>
    <rPh sb="3" eb="5">
      <t>カイセツ</t>
    </rPh>
    <phoneticPr fontId="1"/>
  </si>
  <si>
    <r>
      <rPr>
        <sz val="11"/>
        <rFont val="游ゴシック Medium"/>
        <family val="3"/>
        <charset val="128"/>
      </rPr>
      <t>やっちまえ</t>
    </r>
    <r>
      <rPr>
        <sz val="11"/>
        <rFont val="Consolas"/>
        <family val="3"/>
      </rPr>
      <t xml:space="preserve"> Do It</t>
    </r>
    <r>
      <rPr>
        <sz val="11"/>
        <rFont val="游ゴシック Medium"/>
        <family val="3"/>
        <charset val="128"/>
      </rPr>
      <t>！</t>
    </r>
    <r>
      <rPr>
        <sz val="11"/>
        <rFont val="Consolas"/>
        <family val="3"/>
      </rPr>
      <t xml:space="preserve"> </t>
    </r>
    <r>
      <rPr>
        <sz val="11"/>
        <rFont val="游ゴシック Medium"/>
        <family val="3"/>
        <charset val="128"/>
      </rPr>
      <t>─革命の</t>
    </r>
    <r>
      <rPr>
        <sz val="11"/>
        <rFont val="Consolas"/>
        <family val="3"/>
      </rPr>
      <t>Scenario</t>
    </r>
    <r>
      <rPr>
        <sz val="11"/>
        <rFont val="游ゴシック Medium"/>
        <family val="3"/>
        <charset val="128"/>
      </rPr>
      <t>─</t>
    </r>
    <rPh sb="14" eb="16">
      <t>カクメイ</t>
    </rPh>
    <rPh sb="17" eb="25">
      <t>シナリオ</t>
    </rPh>
    <phoneticPr fontId="1"/>
  </si>
  <si>
    <r>
      <rPr>
        <sz val="11"/>
        <rFont val="游ゴシック Medium"/>
        <family val="3"/>
        <charset val="128"/>
      </rPr>
      <t>都市出版社</t>
    </r>
    <rPh sb="0" eb="2">
      <t>トシ</t>
    </rPh>
    <rPh sb="2" eb="5">
      <t>シュッパンシャ</t>
    </rPh>
    <phoneticPr fontId="1"/>
  </si>
  <si>
    <r>
      <rPr>
        <sz val="11"/>
        <rFont val="游ゴシック Medium"/>
        <family val="3"/>
        <charset val="128"/>
      </rPr>
      <t>後藤一雄</t>
    </r>
    <rPh sb="0" eb="2">
      <t>ゴトウ</t>
    </rPh>
    <rPh sb="2" eb="4">
      <t>カズオ</t>
    </rPh>
    <phoneticPr fontId="1"/>
  </si>
  <si>
    <r>
      <rPr>
        <sz val="11"/>
        <rFont val="游ゴシック Medium"/>
        <family val="3"/>
        <charset val="128"/>
      </rPr>
      <t>心電図入門の入門</t>
    </r>
    <rPh sb="0" eb="3">
      <t>シンデンズ</t>
    </rPh>
    <rPh sb="3" eb="5">
      <t>ニュウモン</t>
    </rPh>
    <rPh sb="6" eb="8">
      <t>ニュウモン</t>
    </rPh>
    <phoneticPr fontId="1"/>
  </si>
  <si>
    <r>
      <rPr>
        <sz val="11"/>
        <rFont val="游ゴシック Medium"/>
        <family val="3"/>
        <charset val="128"/>
      </rPr>
      <t>梅本堯夫</t>
    </r>
    <rPh sb="0" eb="2">
      <t>ウメモト</t>
    </rPh>
    <rPh sb="2" eb="4">
      <t>タカオ</t>
    </rPh>
    <phoneticPr fontId="1"/>
  </si>
  <si>
    <r>
      <rPr>
        <sz val="11"/>
        <rFont val="游ゴシック Medium"/>
        <family val="3"/>
        <charset val="128"/>
      </rPr>
      <t>音楽心理学</t>
    </r>
    <rPh sb="0" eb="2">
      <t>オンガク</t>
    </rPh>
    <rPh sb="2" eb="5">
      <t>シンリガク</t>
    </rPh>
    <phoneticPr fontId="1"/>
  </si>
  <si>
    <r>
      <rPr>
        <sz val="11"/>
        <rFont val="游ゴシック Medium"/>
        <family val="3"/>
        <charset val="128"/>
      </rPr>
      <t>誠信書房</t>
    </r>
    <rPh sb="0" eb="4">
      <t>セイシンショボウ</t>
    </rPh>
    <phoneticPr fontId="1"/>
  </si>
  <si>
    <r>
      <rPr>
        <sz val="11"/>
        <rFont val="游ゴシック Medium"/>
        <family val="3"/>
        <charset val="128"/>
      </rPr>
      <t>松井紀和</t>
    </r>
    <rPh sb="0" eb="2">
      <t>マツイ</t>
    </rPh>
    <rPh sb="2" eb="4">
      <t>ノリカズ</t>
    </rPh>
    <phoneticPr fontId="1"/>
  </si>
  <si>
    <r>
      <rPr>
        <sz val="11"/>
        <rFont val="游ゴシック Medium"/>
        <family val="3"/>
        <charset val="128"/>
      </rPr>
      <t>音楽療法の手引</t>
    </r>
    <r>
      <rPr>
        <sz val="11"/>
        <rFont val="Consolas"/>
        <family val="3"/>
      </rPr>
      <t>/</t>
    </r>
    <r>
      <rPr>
        <sz val="11"/>
        <rFont val="游ゴシック Medium"/>
        <family val="3"/>
        <charset val="128"/>
      </rPr>
      <t>音楽療法家のための</t>
    </r>
    <rPh sb="0" eb="4">
      <t>オンガクリョウホウ</t>
    </rPh>
    <rPh sb="5" eb="7">
      <t>テビキ</t>
    </rPh>
    <rPh sb="8" eb="13">
      <t>オンガクリョウホウカ</t>
    </rPh>
    <phoneticPr fontId="1"/>
  </si>
  <si>
    <r>
      <rPr>
        <sz val="11"/>
        <rFont val="游ゴシック Medium"/>
        <family val="3"/>
        <charset val="128"/>
      </rPr>
      <t>牧野出版</t>
    </r>
    <rPh sb="0" eb="2">
      <t>マキノ</t>
    </rPh>
    <rPh sb="2" eb="4">
      <t>シュッパン</t>
    </rPh>
    <phoneticPr fontId="1"/>
  </si>
  <si>
    <r>
      <rPr>
        <sz val="11"/>
        <rFont val="游ゴシック Medium"/>
        <family val="3"/>
        <charset val="128"/>
      </rPr>
      <t>田中多聞</t>
    </r>
    <rPh sb="0" eb="2">
      <t>タナカ</t>
    </rPh>
    <rPh sb="2" eb="4">
      <t>タモン</t>
    </rPh>
    <phoneticPr fontId="1"/>
  </si>
  <si>
    <r>
      <rPr>
        <sz val="11"/>
        <rFont val="游ゴシック Medium"/>
        <family val="3"/>
        <charset val="128"/>
      </rPr>
      <t>自分でできる音楽療法</t>
    </r>
    <rPh sb="0" eb="2">
      <t>ジブン</t>
    </rPh>
    <rPh sb="6" eb="10">
      <t>オンガクリョウホウ</t>
    </rPh>
    <phoneticPr fontId="1"/>
  </si>
  <si>
    <r>
      <rPr>
        <sz val="11"/>
        <rFont val="游ゴシック Medium"/>
        <family val="3"/>
        <charset val="128"/>
      </rPr>
      <t>人間と歴史社</t>
    </r>
    <rPh sb="0" eb="2">
      <t>ニンゲン</t>
    </rPh>
    <rPh sb="3" eb="5">
      <t>レキシ</t>
    </rPh>
    <rPh sb="5" eb="6">
      <t>シャ</t>
    </rPh>
    <phoneticPr fontId="1"/>
  </si>
  <si>
    <r>
      <rPr>
        <sz val="11"/>
        <rFont val="游ゴシック Medium"/>
        <family val="3"/>
        <charset val="128"/>
      </rPr>
      <t>伊藤</t>
    </r>
    <r>
      <rPr>
        <sz val="11"/>
        <rFont val="Consolas"/>
        <family val="3"/>
      </rPr>
      <t xml:space="preserve"> </t>
    </r>
    <r>
      <rPr>
        <sz val="11"/>
        <rFont val="游ゴシック Medium"/>
        <family val="3"/>
        <charset val="128"/>
      </rPr>
      <t>薫</t>
    </r>
    <rPh sb="0" eb="2">
      <t>イトウ</t>
    </rPh>
    <rPh sb="3" eb="4">
      <t>カオル</t>
    </rPh>
    <phoneticPr fontId="1"/>
  </si>
  <si>
    <r>
      <rPr>
        <sz val="11"/>
        <rFont val="游ゴシック Medium"/>
        <family val="3"/>
        <charset val="128"/>
      </rPr>
      <t>脳と神経の生物学</t>
    </r>
    <r>
      <rPr>
        <sz val="11"/>
        <rFont val="Consolas"/>
        <family val="3"/>
      </rPr>
      <t>/</t>
    </r>
    <r>
      <rPr>
        <sz val="11"/>
        <rFont val="游ゴシック Medium"/>
        <family val="3"/>
        <charset val="128"/>
      </rPr>
      <t>改訂版</t>
    </r>
    <rPh sb="0" eb="1">
      <t>ノウ</t>
    </rPh>
    <rPh sb="2" eb="4">
      <t>シンケイ</t>
    </rPh>
    <rPh sb="5" eb="8">
      <t>セイブツガク</t>
    </rPh>
    <rPh sb="9" eb="12">
      <t>カイテイバン</t>
    </rPh>
    <phoneticPr fontId="1"/>
  </si>
  <si>
    <r>
      <rPr>
        <sz val="11"/>
        <rFont val="游ゴシック Medium"/>
        <family val="3"/>
        <charset val="128"/>
      </rPr>
      <t>培風館</t>
    </r>
    <rPh sb="0" eb="1">
      <t>バイ</t>
    </rPh>
    <rPh sb="1" eb="2">
      <t>フウ</t>
    </rPh>
    <rPh sb="2" eb="3">
      <t>カン</t>
    </rPh>
    <phoneticPr fontId="1"/>
  </si>
  <si>
    <r>
      <t>America</t>
    </r>
    <r>
      <rPr>
        <sz val="11"/>
        <rFont val="游ゴシック Medium"/>
        <family val="3"/>
        <charset val="128"/>
      </rPr>
      <t>心理学会</t>
    </r>
    <rPh sb="0" eb="7">
      <t>アメリカ</t>
    </rPh>
    <rPh sb="7" eb="9">
      <t>シンリ</t>
    </rPh>
    <rPh sb="9" eb="11">
      <t>ガッカイ</t>
    </rPh>
    <phoneticPr fontId="1"/>
  </si>
  <si>
    <r>
      <rPr>
        <sz val="11"/>
        <rFont val="游ゴシック Medium"/>
        <family val="3"/>
        <charset val="128"/>
      </rPr>
      <t>佐藤倚男</t>
    </r>
    <r>
      <rPr>
        <sz val="11"/>
        <rFont val="Consolas"/>
        <family val="3"/>
      </rPr>
      <t>+</t>
    </r>
    <r>
      <rPr>
        <sz val="11"/>
        <rFont val="游ゴシック Medium"/>
        <family val="3"/>
        <charset val="128"/>
      </rPr>
      <t>栗栖瑛子</t>
    </r>
    <rPh sb="0" eb="2">
      <t>サトウ</t>
    </rPh>
    <rPh sb="2" eb="4">
      <t>ヨリオ</t>
    </rPh>
    <rPh sb="5" eb="7">
      <t>クルス</t>
    </rPh>
    <rPh sb="7" eb="9">
      <t>エイコ</t>
    </rPh>
    <phoneticPr fontId="1"/>
  </si>
  <si>
    <r>
      <rPr>
        <sz val="11"/>
        <rFont val="游ゴシック Medium"/>
        <family val="3"/>
        <charset val="128"/>
      </rPr>
      <t>心理学者のための倫理規準･事例集</t>
    </r>
    <r>
      <rPr>
        <sz val="11"/>
        <rFont val="Consolas"/>
        <family val="3"/>
      </rPr>
      <t>/Casebook on Ethical Standards of Psychologists</t>
    </r>
    <rPh sb="0" eb="4">
      <t>シンリガクシャ</t>
    </rPh>
    <rPh sb="8" eb="10">
      <t>リンリ</t>
    </rPh>
    <rPh sb="10" eb="12">
      <t>キジュン</t>
    </rPh>
    <rPh sb="13" eb="16">
      <t>ジレイシュウ</t>
    </rPh>
    <phoneticPr fontId="1"/>
  </si>
  <si>
    <r>
      <rPr>
        <sz val="11"/>
        <rFont val="游ゴシック Medium"/>
        <family val="3"/>
        <charset val="128"/>
      </rPr>
      <t>國分</t>
    </r>
    <r>
      <rPr>
        <sz val="11"/>
        <rFont val="Consolas"/>
        <family val="3"/>
      </rPr>
      <t xml:space="preserve"> </t>
    </r>
    <r>
      <rPr>
        <sz val="11"/>
        <rFont val="游ゴシック Medium"/>
        <family val="3"/>
        <charset val="128"/>
      </rPr>
      <t>康孝</t>
    </r>
    <rPh sb="0" eb="2">
      <t>コクブ</t>
    </rPh>
    <rPh sb="3" eb="5">
      <t>ヤスタカ</t>
    </rPh>
    <phoneticPr fontId="1"/>
  </si>
  <si>
    <r>
      <rPr>
        <sz val="11"/>
        <rFont val="游ゴシック Medium"/>
        <family val="3"/>
        <charset val="128"/>
      </rPr>
      <t>カウンセリングの技法</t>
    </r>
    <rPh sb="8" eb="10">
      <t>ギホウ</t>
    </rPh>
    <phoneticPr fontId="1"/>
  </si>
  <si>
    <r>
      <t>Amazon|</t>
    </r>
    <r>
      <rPr>
        <sz val="11"/>
        <rFont val="游ゴシック Medium"/>
        <family val="3"/>
        <charset val="128"/>
      </rPr>
      <t>ブックオフ菊水ロジ店</t>
    </r>
    <rPh sb="12" eb="14">
      <t>キクスイ</t>
    </rPh>
    <rPh sb="16" eb="17">
      <t>テン</t>
    </rPh>
    <phoneticPr fontId="1"/>
  </si>
  <si>
    <r>
      <rPr>
        <sz val="11"/>
        <rFont val="游ゴシック Medium"/>
        <family val="3"/>
        <charset val="128"/>
      </rPr>
      <t>誰かにあげてしまって、ないので書い直し</t>
    </r>
    <rPh sb="0" eb="1">
      <t>ダレ</t>
    </rPh>
    <rPh sb="15" eb="16">
      <t>カ</t>
    </rPh>
    <rPh sb="17" eb="19">
      <t>ナオ</t>
    </rPh>
    <phoneticPr fontId="1"/>
  </si>
  <si>
    <r>
      <rPr>
        <strike/>
        <sz val="11"/>
        <rFont val="游ゴシック Medium"/>
        <family val="3"/>
        <charset val="128"/>
      </rPr>
      <t>國分</t>
    </r>
    <r>
      <rPr>
        <strike/>
        <sz val="11"/>
        <rFont val="Consolas"/>
        <family val="3"/>
      </rPr>
      <t xml:space="preserve"> </t>
    </r>
    <r>
      <rPr>
        <strike/>
        <sz val="11"/>
        <rFont val="游ゴシック Medium"/>
        <family val="3"/>
        <charset val="128"/>
      </rPr>
      <t>康孝</t>
    </r>
    <rPh sb="0" eb="2">
      <t>コクブ</t>
    </rPh>
    <rPh sb="3" eb="5">
      <t>ヤスタカ</t>
    </rPh>
    <phoneticPr fontId="1"/>
  </si>
  <si>
    <r>
      <rPr>
        <strike/>
        <sz val="11"/>
        <rFont val="游ゴシック Medium"/>
        <family val="3"/>
        <charset val="128"/>
      </rPr>
      <t>カウンセリングの理論</t>
    </r>
    <rPh sb="8" eb="10">
      <t>リロン</t>
    </rPh>
    <phoneticPr fontId="1"/>
  </si>
  <si>
    <r>
      <rPr>
        <strike/>
        <sz val="11"/>
        <rFont val="游ゴシック Medium"/>
        <family val="3"/>
        <charset val="128"/>
      </rPr>
      <t>誠信書房</t>
    </r>
    <rPh sb="0" eb="4">
      <t>セイシンショボウ</t>
    </rPh>
    <phoneticPr fontId="1"/>
  </si>
  <si>
    <r>
      <rPr>
        <strike/>
        <sz val="11"/>
        <rFont val="游ゴシック Medium"/>
        <family val="3"/>
        <charset val="128"/>
      </rPr>
      <t>誰かにあげてしまった</t>
    </r>
    <rPh sb="0" eb="1">
      <t>ダレ</t>
    </rPh>
    <phoneticPr fontId="1"/>
  </si>
  <si>
    <r>
      <rPr>
        <sz val="11"/>
        <rFont val="游ゴシック Medium"/>
        <family val="3"/>
        <charset val="128"/>
      </rPr>
      <t>ベイカル</t>
    </r>
    <r>
      <rPr>
        <sz val="11"/>
        <rFont val="Consolas"/>
        <family val="3"/>
      </rPr>
      <t>,D.A.</t>
    </r>
    <phoneticPr fontId="1"/>
  </si>
  <si>
    <r>
      <rPr>
        <sz val="11"/>
        <rFont val="游ゴシック Medium"/>
        <family val="3"/>
        <charset val="128"/>
      </rPr>
      <t>岡堂哲雄</t>
    </r>
    <rPh sb="0" eb="1">
      <t>オカ</t>
    </rPh>
    <rPh sb="1" eb="2">
      <t>ドウ</t>
    </rPh>
    <rPh sb="2" eb="4">
      <t>テツオ</t>
    </rPh>
    <phoneticPr fontId="1"/>
  </si>
  <si>
    <r>
      <rPr>
        <sz val="11"/>
        <rFont val="游ゴシック Medium"/>
        <family val="3"/>
        <charset val="128"/>
      </rPr>
      <t>病気と痛みの心理学</t>
    </r>
    <r>
      <rPr>
        <sz val="11"/>
        <rFont val="Consolas"/>
        <family val="3"/>
      </rPr>
      <t>/Psychology &amp; Medicine/Psychologocal Dimensions of Health &amp; Illness</t>
    </r>
    <rPh sb="0" eb="2">
      <t>ビョウキ</t>
    </rPh>
    <rPh sb="3" eb="4">
      <t>イタ</t>
    </rPh>
    <rPh sb="6" eb="9">
      <t>シンリガク</t>
    </rPh>
    <phoneticPr fontId="1"/>
  </si>
  <si>
    <r>
      <rPr>
        <sz val="11"/>
        <rFont val="游ゴシック Medium"/>
        <family val="3"/>
        <charset val="128"/>
      </rPr>
      <t>新曜社</t>
    </r>
    <rPh sb="0" eb="2">
      <t>シンヨウ</t>
    </rPh>
    <rPh sb="2" eb="3">
      <t>シャ</t>
    </rPh>
    <phoneticPr fontId="1"/>
  </si>
  <si>
    <r>
      <rPr>
        <sz val="11"/>
        <rFont val="游ゴシック Medium"/>
        <family val="3"/>
        <charset val="128"/>
      </rPr>
      <t>梅田</t>
    </r>
    <r>
      <rPr>
        <sz val="11"/>
        <rFont val="Consolas"/>
        <family val="3"/>
      </rPr>
      <t xml:space="preserve"> </t>
    </r>
    <r>
      <rPr>
        <sz val="11"/>
        <rFont val="游ゴシック Medium"/>
        <family val="3"/>
        <charset val="128"/>
      </rPr>
      <t>薫</t>
    </r>
    <rPh sb="0" eb="2">
      <t>ウメダ</t>
    </rPh>
    <rPh sb="3" eb="4">
      <t>カオル</t>
    </rPh>
    <phoneticPr fontId="1"/>
  </si>
  <si>
    <r>
      <rPr>
        <sz val="11"/>
        <rFont val="游ゴシック Medium"/>
        <family val="3"/>
        <charset val="128"/>
      </rPr>
      <t>精神強化療法</t>
    </r>
    <rPh sb="0" eb="2">
      <t>セイシン</t>
    </rPh>
    <rPh sb="2" eb="4">
      <t>キョウカ</t>
    </rPh>
    <rPh sb="4" eb="6">
      <t>リョウホウ</t>
    </rPh>
    <phoneticPr fontId="1"/>
  </si>
  <si>
    <r>
      <rPr>
        <sz val="11"/>
        <rFont val="游ゴシック Medium"/>
        <family val="3"/>
        <charset val="128"/>
      </rPr>
      <t>東京正生学院出版部</t>
    </r>
    <r>
      <rPr>
        <sz val="11"/>
        <rFont val="Consolas"/>
        <family val="3"/>
      </rPr>
      <t>/</t>
    </r>
    <r>
      <rPr>
        <sz val="11"/>
        <rFont val="游ゴシック Medium"/>
        <family val="3"/>
        <charset val="128"/>
      </rPr>
      <t>財団法人</t>
    </r>
    <rPh sb="0" eb="2">
      <t>トウキョウ</t>
    </rPh>
    <rPh sb="2" eb="4">
      <t>ショウセイ</t>
    </rPh>
    <rPh sb="4" eb="6">
      <t>ガクイン</t>
    </rPh>
    <rPh sb="6" eb="9">
      <t>シュッパンブ</t>
    </rPh>
    <rPh sb="10" eb="14">
      <t>ザイダンホウジン</t>
    </rPh>
    <phoneticPr fontId="1"/>
  </si>
  <si>
    <r>
      <rPr>
        <sz val="11"/>
        <rFont val="游ゴシック Medium"/>
        <family val="3"/>
        <charset val="128"/>
      </rPr>
      <t>会員頒布</t>
    </r>
    <r>
      <rPr>
        <sz val="11"/>
        <rFont val="Consolas"/>
        <family val="3"/>
      </rPr>
      <t>/</t>
    </r>
    <r>
      <rPr>
        <sz val="11"/>
        <rFont val="游ゴシック Medium"/>
        <family val="3"/>
        <charset val="128"/>
      </rPr>
      <t>非売品</t>
    </r>
    <rPh sb="0" eb="2">
      <t>カイイン</t>
    </rPh>
    <rPh sb="2" eb="4">
      <t>ハンプ</t>
    </rPh>
    <rPh sb="5" eb="8">
      <t>ヒバイヒン</t>
    </rPh>
    <phoneticPr fontId="1"/>
  </si>
  <si>
    <r>
      <rPr>
        <sz val="11"/>
        <rFont val="游ゴシック Medium"/>
        <family val="3"/>
        <charset val="128"/>
      </rPr>
      <t>橋本</t>
    </r>
    <r>
      <rPr>
        <sz val="11"/>
        <rFont val="Consolas"/>
        <family val="3"/>
      </rPr>
      <t xml:space="preserve"> </t>
    </r>
    <r>
      <rPr>
        <sz val="11"/>
        <rFont val="游ゴシック Medium"/>
        <family val="3"/>
        <charset val="128"/>
      </rPr>
      <t>徹馬</t>
    </r>
    <rPh sb="0" eb="2">
      <t>ハシモト</t>
    </rPh>
    <rPh sb="3" eb="5">
      <t>テツマ</t>
    </rPh>
    <phoneticPr fontId="1"/>
  </si>
  <si>
    <r>
      <rPr>
        <sz val="11"/>
        <rFont val="游ゴシック Medium"/>
        <family val="3"/>
        <charset val="128"/>
      </rPr>
      <t>万人繁栄の道</t>
    </r>
    <rPh sb="0" eb="2">
      <t>バンニン</t>
    </rPh>
    <rPh sb="2" eb="4">
      <t>ハンエイ</t>
    </rPh>
    <rPh sb="5" eb="6">
      <t>ミチ</t>
    </rPh>
    <phoneticPr fontId="1"/>
  </si>
  <si>
    <r>
      <rPr>
        <sz val="11"/>
        <rFont val="游ゴシック Medium"/>
        <family val="3"/>
        <charset val="128"/>
      </rPr>
      <t>紫雲荘</t>
    </r>
    <rPh sb="0" eb="3">
      <t>シウンソウ</t>
    </rPh>
    <phoneticPr fontId="1"/>
  </si>
  <si>
    <r>
      <rPr>
        <sz val="11"/>
        <rFont val="游ゴシック Medium"/>
        <family val="3"/>
        <charset val="128"/>
      </rPr>
      <t>よーこが誰かから貰ってしまう</t>
    </r>
    <rPh sb="4" eb="5">
      <t>ダレ</t>
    </rPh>
    <rPh sb="8" eb="9">
      <t>モラ</t>
    </rPh>
    <phoneticPr fontId="1"/>
  </si>
  <si>
    <r>
      <rPr>
        <sz val="11"/>
        <rFont val="游ゴシック Medium"/>
        <family val="3"/>
        <charset val="128"/>
      </rPr>
      <t>明石</t>
    </r>
    <r>
      <rPr>
        <sz val="11"/>
        <rFont val="Consolas"/>
        <family val="3"/>
      </rPr>
      <t xml:space="preserve"> </t>
    </r>
    <r>
      <rPr>
        <sz val="11"/>
        <rFont val="游ゴシック Medium"/>
        <family val="3"/>
        <charset val="128"/>
      </rPr>
      <t>陽一</t>
    </r>
    <rPh sb="0" eb="2">
      <t>アカシ</t>
    </rPh>
    <rPh sb="3" eb="5">
      <t>ヨウイチ</t>
    </rPh>
    <phoneticPr fontId="1"/>
  </si>
  <si>
    <r>
      <rPr>
        <sz val="11"/>
        <rFont val="游ゴシック Medium"/>
        <family val="3"/>
        <charset val="128"/>
      </rPr>
      <t>小食のすすめ</t>
    </r>
    <r>
      <rPr>
        <sz val="11"/>
        <rFont val="Consolas"/>
        <family val="3"/>
      </rPr>
      <t xml:space="preserve"> - </t>
    </r>
    <r>
      <rPr>
        <sz val="11"/>
        <rFont val="游ゴシック Medium"/>
        <family val="3"/>
        <charset val="128"/>
      </rPr>
      <t>健康の本質</t>
    </r>
    <r>
      <rPr>
        <sz val="11"/>
        <rFont val="Consolas"/>
        <family val="3"/>
      </rPr>
      <t xml:space="preserve"> -</t>
    </r>
    <rPh sb="0" eb="2">
      <t>ショウショク</t>
    </rPh>
    <rPh sb="9" eb="11">
      <t>ケンコウ</t>
    </rPh>
    <rPh sb="12" eb="14">
      <t>ホンシツ</t>
    </rPh>
    <phoneticPr fontId="1"/>
  </si>
  <si>
    <r>
      <rPr>
        <sz val="11"/>
        <rFont val="游ゴシック Medium"/>
        <family val="3"/>
        <charset val="128"/>
      </rPr>
      <t>和田秀樹</t>
    </r>
    <rPh sb="0" eb="2">
      <t>ワダ</t>
    </rPh>
    <rPh sb="2" eb="4">
      <t>ヒデキ</t>
    </rPh>
    <phoneticPr fontId="1"/>
  </si>
  <si>
    <r>
      <rPr>
        <sz val="11"/>
        <rFont val="游ゴシック Medium"/>
        <family val="3"/>
        <charset val="128"/>
      </rPr>
      <t>痛快</t>
    </r>
    <r>
      <rPr>
        <sz val="11"/>
        <rFont val="Consolas"/>
        <family val="3"/>
      </rPr>
      <t xml:space="preserve"> ! </t>
    </r>
    <r>
      <rPr>
        <sz val="11"/>
        <rFont val="游ゴシック Medium"/>
        <family val="3"/>
        <charset val="128"/>
      </rPr>
      <t>心理学</t>
    </r>
    <r>
      <rPr>
        <sz val="11"/>
        <rFont val="Consolas"/>
        <family val="3"/>
      </rPr>
      <t>/Global Standard Psychology</t>
    </r>
    <rPh sb="0" eb="2">
      <t>ツウカイ</t>
    </rPh>
    <rPh sb="5" eb="8">
      <t>シンリガク</t>
    </rPh>
    <phoneticPr fontId="1"/>
  </si>
  <si>
    <r>
      <rPr>
        <sz val="11"/>
        <rFont val="游ゴシック Medium"/>
        <family val="3"/>
        <charset val="128"/>
      </rPr>
      <t>集英社インターナショナル</t>
    </r>
    <r>
      <rPr>
        <sz val="11"/>
        <rFont val="Consolas"/>
        <family val="3"/>
      </rPr>
      <t>/</t>
    </r>
    <r>
      <rPr>
        <sz val="11"/>
        <rFont val="游ゴシック Medium"/>
        <family val="3"/>
        <charset val="128"/>
      </rPr>
      <t>集英社</t>
    </r>
    <rPh sb="0" eb="3">
      <t>シュウエイシャ</t>
    </rPh>
    <rPh sb="13" eb="16">
      <t>シュウエイシャ</t>
    </rPh>
    <phoneticPr fontId="1"/>
  </si>
  <si>
    <r>
      <rPr>
        <sz val="11"/>
        <rFont val="游ゴシック Medium"/>
        <family val="3"/>
        <charset val="128"/>
      </rPr>
      <t>沢木</t>
    </r>
    <r>
      <rPr>
        <sz val="11"/>
        <rFont val="Consolas"/>
        <family val="3"/>
      </rPr>
      <t xml:space="preserve"> </t>
    </r>
    <r>
      <rPr>
        <sz val="11"/>
        <rFont val="游ゴシック Medium"/>
        <family val="3"/>
        <charset val="128"/>
      </rPr>
      <t>昇</t>
    </r>
    <rPh sb="0" eb="2">
      <t>サワキ</t>
    </rPh>
    <rPh sb="3" eb="4">
      <t>ノボル</t>
    </rPh>
    <phoneticPr fontId="1"/>
  </si>
  <si>
    <r>
      <rPr>
        <sz val="11"/>
        <rFont val="游ゴシック Medium"/>
        <family val="3"/>
        <charset val="128"/>
      </rPr>
      <t>いつもカヤの外にいると思う人たち</t>
    </r>
    <r>
      <rPr>
        <sz val="11"/>
        <rFont val="Consolas"/>
        <family val="3"/>
      </rPr>
      <t>/Don't Take It Personality !</t>
    </r>
    <rPh sb="6" eb="7">
      <t>ソト</t>
    </rPh>
    <rPh sb="11" eb="12">
      <t>オモ</t>
    </rPh>
    <rPh sb="13" eb="14">
      <t>ヒト</t>
    </rPh>
    <phoneticPr fontId="1"/>
  </si>
  <si>
    <r>
      <rPr>
        <sz val="11"/>
        <rFont val="游ゴシック Medium"/>
        <family val="3"/>
        <charset val="128"/>
      </rPr>
      <t>扶桑社</t>
    </r>
    <rPh sb="0" eb="2">
      <t>フソウ</t>
    </rPh>
    <rPh sb="2" eb="3">
      <t>シャ</t>
    </rPh>
    <phoneticPr fontId="1"/>
  </si>
  <si>
    <r>
      <rPr>
        <strike/>
        <sz val="11"/>
        <rFont val="游ゴシック Medium"/>
        <family val="3"/>
        <charset val="128"/>
      </rPr>
      <t>森</t>
    </r>
    <r>
      <rPr>
        <strike/>
        <sz val="11"/>
        <rFont val="Consolas"/>
        <family val="3"/>
      </rPr>
      <t xml:space="preserve"> </t>
    </r>
    <r>
      <rPr>
        <strike/>
        <sz val="11"/>
        <rFont val="游ゴシック Medium"/>
        <family val="3"/>
        <charset val="128"/>
      </rPr>
      <t>英明</t>
    </r>
    <rPh sb="0" eb="1">
      <t>モリ</t>
    </rPh>
    <rPh sb="2" eb="4">
      <t>ヒデアキ</t>
    </rPh>
    <phoneticPr fontId="1"/>
  </si>
  <si>
    <r>
      <rPr>
        <strike/>
        <sz val="11"/>
        <rFont val="游ゴシック Medium"/>
        <family val="3"/>
        <charset val="128"/>
      </rPr>
      <t>訳</t>
    </r>
    <rPh sb="0" eb="1">
      <t>ヤク</t>
    </rPh>
    <phoneticPr fontId="1"/>
  </si>
  <si>
    <r>
      <rPr>
        <strike/>
        <sz val="11"/>
        <rFont val="游ゴシック Medium"/>
        <family val="3"/>
        <charset val="128"/>
      </rPr>
      <t>平気でうそをつく人たち</t>
    </r>
    <r>
      <rPr>
        <strike/>
        <sz val="11"/>
        <rFont val="Consolas"/>
        <family val="3"/>
      </rPr>
      <t>/</t>
    </r>
    <r>
      <rPr>
        <strike/>
        <sz val="11"/>
        <rFont val="游ゴシック Medium"/>
        <family val="3"/>
        <charset val="128"/>
      </rPr>
      <t>虚偽と邪悪の心理学</t>
    </r>
    <r>
      <rPr>
        <strike/>
        <sz val="11"/>
        <rFont val="Consolas"/>
        <family val="3"/>
      </rPr>
      <t>/</t>
    </r>
    <r>
      <rPr>
        <strike/>
        <sz val="11"/>
        <rFont val="游ゴシック Medium"/>
        <family val="3"/>
        <charset val="128"/>
      </rPr>
      <t>悪の科学</t>
    </r>
    <rPh sb="0" eb="2">
      <t>ヘイキ</t>
    </rPh>
    <rPh sb="8" eb="9">
      <t>ヒト</t>
    </rPh>
    <rPh sb="12" eb="14">
      <t>キョギ</t>
    </rPh>
    <rPh sb="15" eb="17">
      <t>ジャアク</t>
    </rPh>
    <rPh sb="18" eb="21">
      <t>シンリガク</t>
    </rPh>
    <rPh sb="22" eb="23">
      <t>アク</t>
    </rPh>
    <rPh sb="24" eb="26">
      <t>カガク</t>
    </rPh>
    <phoneticPr fontId="1"/>
  </si>
  <si>
    <r>
      <rPr>
        <strike/>
        <sz val="11"/>
        <rFont val="游ゴシック Medium"/>
        <family val="3"/>
        <charset val="128"/>
      </rPr>
      <t>草思社</t>
    </r>
    <rPh sb="0" eb="3">
      <t>ソウシシャ</t>
    </rPh>
    <phoneticPr fontId="1"/>
  </si>
  <si>
    <r>
      <rPr>
        <strike/>
        <sz val="11"/>
        <rFont val="游ゴシック Medium"/>
        <family val="3"/>
        <charset val="128"/>
      </rPr>
      <t>古本大學</t>
    </r>
    <rPh sb="0" eb="4">
      <t>フルホンダイガク</t>
    </rPh>
    <phoneticPr fontId="1"/>
  </si>
  <si>
    <r>
      <rPr>
        <strike/>
        <sz val="11"/>
        <rFont val="游ゴシック Medium"/>
        <family val="3"/>
        <charset val="128"/>
      </rPr>
      <t>非行臨床</t>
    </r>
    <rPh sb="0" eb="2">
      <t>ヒコウ</t>
    </rPh>
    <rPh sb="2" eb="4">
      <t>リンショウ</t>
    </rPh>
    <phoneticPr fontId="1"/>
  </si>
  <si>
    <r>
      <rPr>
        <strike/>
        <sz val="11"/>
        <rFont val="游ゴシック Medium"/>
        <family val="3"/>
        <charset val="128"/>
      </rPr>
      <t>心理学後輩に贈与</t>
    </r>
    <rPh sb="0" eb="3">
      <t>シンリガク</t>
    </rPh>
    <rPh sb="3" eb="5">
      <t>コウハイ</t>
    </rPh>
    <rPh sb="6" eb="8">
      <t>ゾウヨ</t>
    </rPh>
    <phoneticPr fontId="1"/>
  </si>
  <si>
    <r>
      <rPr>
        <sz val="11"/>
        <rFont val="游ゴシック Medium"/>
        <family val="3"/>
        <charset val="128"/>
      </rPr>
      <t>造事務所</t>
    </r>
    <rPh sb="1" eb="4">
      <t>ジムショ</t>
    </rPh>
    <phoneticPr fontId="1"/>
  </si>
  <si>
    <r>
      <rPr>
        <sz val="11"/>
        <rFont val="游ゴシック Medium"/>
        <family val="3"/>
        <charset val="128"/>
      </rPr>
      <t>雀部俊毅</t>
    </r>
    <phoneticPr fontId="1"/>
  </si>
  <si>
    <r>
      <rPr>
        <sz val="11"/>
        <rFont val="游ゴシック Medium"/>
        <family val="3"/>
        <charset val="128"/>
      </rPr>
      <t>文</t>
    </r>
    <rPh sb="0" eb="1">
      <t>ブン</t>
    </rPh>
    <phoneticPr fontId="1"/>
  </si>
  <si>
    <r>
      <rPr>
        <sz val="11"/>
        <rFont val="游ゴシック Medium"/>
        <family val="3"/>
        <charset val="128"/>
      </rPr>
      <t>図解･精神病</t>
    </r>
    <r>
      <rPr>
        <sz val="11"/>
        <rFont val="Consolas"/>
        <family val="3"/>
      </rPr>
      <t>Manual</t>
    </r>
    <rPh sb="0" eb="2">
      <t>ズカイ</t>
    </rPh>
    <rPh sb="3" eb="6">
      <t>セイシンビョウ</t>
    </rPh>
    <rPh sb="6" eb="12">
      <t>マニュアル</t>
    </rPh>
    <phoneticPr fontId="1"/>
  </si>
  <si>
    <r>
      <rPr>
        <sz val="11"/>
        <rFont val="游ゴシック Medium"/>
        <family val="3"/>
        <charset val="128"/>
      </rPr>
      <t>ルビンシテイン</t>
    </r>
    <r>
      <rPr>
        <sz val="11"/>
        <rFont val="Consolas"/>
        <family val="3"/>
      </rPr>
      <t>,</t>
    </r>
    <r>
      <rPr>
        <sz val="11"/>
        <rFont val="游ゴシック Medium"/>
        <family val="3"/>
        <charset val="128"/>
      </rPr>
      <t>エス・エリ</t>
    </r>
    <phoneticPr fontId="1"/>
  </si>
  <si>
    <r>
      <rPr>
        <sz val="11"/>
        <rFont val="游ゴシック Medium"/>
        <family val="3"/>
        <charset val="128"/>
      </rPr>
      <t>存在と意識</t>
    </r>
    <rPh sb="0" eb="2">
      <t>ソンザイ</t>
    </rPh>
    <rPh sb="3" eb="5">
      <t>イシキ</t>
    </rPh>
    <phoneticPr fontId="1"/>
  </si>
  <si>
    <r>
      <rPr>
        <sz val="11"/>
        <rFont val="游ゴシック Medium"/>
        <family val="3"/>
        <charset val="128"/>
      </rPr>
      <t>植島啓司</t>
    </r>
    <rPh sb="0" eb="2">
      <t>ウエシマ</t>
    </rPh>
    <rPh sb="2" eb="4">
      <t>ケイジ</t>
    </rPh>
    <phoneticPr fontId="1"/>
  </si>
  <si>
    <r>
      <rPr>
        <sz val="11"/>
        <rFont val="游ゴシック Medium"/>
        <family val="3"/>
        <charset val="128"/>
      </rPr>
      <t>分裂病者の</t>
    </r>
    <r>
      <rPr>
        <sz val="11"/>
        <rFont val="Consolas"/>
        <family val="3"/>
      </rPr>
      <t>Dance Party/Bal de Schizos</t>
    </r>
    <rPh sb="0" eb="3">
      <t>ブンレツビョウ</t>
    </rPh>
    <rPh sb="3" eb="4">
      <t>シャ</t>
    </rPh>
    <rPh sb="5" eb="16">
      <t>ダンス　パーティ</t>
    </rPh>
    <phoneticPr fontId="1"/>
  </si>
  <si>
    <r>
      <rPr>
        <sz val="11"/>
        <rFont val="游ゴシック Medium"/>
        <family val="3"/>
        <charset val="128"/>
      </rPr>
      <t>男が女になる病気</t>
    </r>
    <r>
      <rPr>
        <sz val="11"/>
        <rFont val="Consolas"/>
        <family val="3"/>
      </rPr>
      <t>/</t>
    </r>
    <r>
      <rPr>
        <sz val="11"/>
        <rFont val="游ゴシック Medium"/>
        <family val="3"/>
        <charset val="128"/>
      </rPr>
      <t>医学の人類学的構造についての三〇の断片</t>
    </r>
    <rPh sb="0" eb="1">
      <t>オトコ</t>
    </rPh>
    <rPh sb="2" eb="3">
      <t>オンナ</t>
    </rPh>
    <rPh sb="6" eb="8">
      <t>ビョウキ</t>
    </rPh>
    <rPh sb="9" eb="11">
      <t>イガク</t>
    </rPh>
    <rPh sb="12" eb="16">
      <t>ジンルイガクテキ</t>
    </rPh>
    <rPh sb="16" eb="18">
      <t>コウゾウ</t>
    </rPh>
    <rPh sb="23" eb="25">
      <t>サンジュウ</t>
    </rPh>
    <rPh sb="26" eb="28">
      <t>ダンペン</t>
    </rPh>
    <phoneticPr fontId="1"/>
  </si>
  <si>
    <r>
      <rPr>
        <sz val="11"/>
        <rFont val="游ゴシック Medium"/>
        <family val="3"/>
        <charset val="128"/>
      </rPr>
      <t>エピステーメー叢書</t>
    </r>
    <rPh sb="7" eb="9">
      <t>ソウショ</t>
    </rPh>
    <phoneticPr fontId="1"/>
  </si>
  <si>
    <r>
      <rPr>
        <sz val="11"/>
        <rFont val="游ゴシック Medium"/>
        <family val="3"/>
        <charset val="128"/>
      </rPr>
      <t>コミックカンカン</t>
    </r>
    <phoneticPr fontId="1"/>
  </si>
  <si>
    <r>
      <rPr>
        <sz val="11"/>
        <rFont val="游ゴシック Medium"/>
        <family val="3"/>
        <charset val="128"/>
      </rPr>
      <t>曽根麻矢子</t>
    </r>
    <rPh sb="0" eb="2">
      <t>ソネ</t>
    </rPh>
    <rPh sb="2" eb="5">
      <t>マヤコ</t>
    </rPh>
    <phoneticPr fontId="1"/>
  </si>
  <si>
    <r>
      <t>Soudain, Parisienne/</t>
    </r>
    <r>
      <rPr>
        <sz val="11"/>
        <rFont val="游ゴシック Medium"/>
        <family val="3"/>
        <charset val="128"/>
      </rPr>
      <t>いきなりパリジェンヌ</t>
    </r>
    <phoneticPr fontId="1"/>
  </si>
  <si>
    <r>
      <rPr>
        <sz val="11"/>
        <rFont val="游ゴシック Medium"/>
        <family val="3"/>
        <charset val="128"/>
      </rPr>
      <t>丸元淑生</t>
    </r>
    <rPh sb="0" eb="2">
      <t>マルモト</t>
    </rPh>
    <rPh sb="2" eb="4">
      <t>ヨシオ</t>
    </rPh>
    <phoneticPr fontId="1"/>
  </si>
  <si>
    <r>
      <t>Vitamin Bible/</t>
    </r>
    <r>
      <rPr>
        <sz val="11"/>
        <rFont val="游ゴシック Medium"/>
        <family val="3"/>
        <charset val="128"/>
      </rPr>
      <t>ビタミンバイブル</t>
    </r>
    <phoneticPr fontId="1"/>
  </si>
  <si>
    <r>
      <rPr>
        <sz val="11"/>
        <rFont val="游ゴシック Medium"/>
        <family val="3"/>
        <charset val="128"/>
      </rPr>
      <t>片倉もとこ</t>
    </r>
    <rPh sb="0" eb="2">
      <t>カタクラ</t>
    </rPh>
    <phoneticPr fontId="1"/>
  </si>
  <si>
    <r>
      <rPr>
        <sz val="11"/>
        <rFont val="游ゴシック Medium"/>
        <family val="3"/>
        <charset val="128"/>
      </rPr>
      <t>アラビア・ノート</t>
    </r>
    <r>
      <rPr>
        <sz val="11"/>
        <rFont val="Consolas"/>
        <family val="3"/>
      </rPr>
      <t xml:space="preserve"> </t>
    </r>
    <r>
      <rPr>
        <sz val="11"/>
        <rFont val="游ゴシック Medium"/>
        <family val="3"/>
        <charset val="128"/>
      </rPr>
      <t>アラブの原像を求めて</t>
    </r>
    <rPh sb="13" eb="15">
      <t>ゲンゾウ</t>
    </rPh>
    <rPh sb="16" eb="17">
      <t>モト</t>
    </rPh>
    <phoneticPr fontId="1"/>
  </si>
  <si>
    <r>
      <t>NHK</t>
    </r>
    <r>
      <rPr>
        <sz val="11"/>
        <rFont val="游ゴシック Medium"/>
        <family val="3"/>
        <charset val="128"/>
      </rPr>
      <t>ブックス</t>
    </r>
    <r>
      <rPr>
        <sz val="11"/>
        <rFont val="Consolas"/>
        <family val="3"/>
      </rPr>
      <t>/356</t>
    </r>
    <phoneticPr fontId="1"/>
  </si>
  <si>
    <r>
      <rPr>
        <sz val="11"/>
        <rFont val="游ゴシック Medium"/>
        <family val="3"/>
        <charset val="128"/>
      </rPr>
      <t>日本放送出版協会</t>
    </r>
    <rPh sb="0" eb="8">
      <t>ニホンホウソウシュッパンキョウカイ</t>
    </rPh>
    <phoneticPr fontId="1"/>
  </si>
  <si>
    <r>
      <rPr>
        <sz val="11"/>
        <rFont val="游ゴシック Medium"/>
        <family val="3"/>
        <charset val="128"/>
      </rPr>
      <t>千葉成夫</t>
    </r>
    <rPh sb="0" eb="2">
      <t>チバ</t>
    </rPh>
    <rPh sb="2" eb="4">
      <t>シゲオ</t>
    </rPh>
    <phoneticPr fontId="1"/>
  </si>
  <si>
    <r>
      <t>self portrait Man Ray/</t>
    </r>
    <r>
      <rPr>
        <sz val="11"/>
        <rFont val="游ゴシック Medium"/>
        <family val="3"/>
        <charset val="128"/>
      </rPr>
      <t>マン･レイ自伝</t>
    </r>
    <r>
      <rPr>
        <sz val="11"/>
        <rFont val="Consolas"/>
        <family val="3"/>
      </rPr>
      <t xml:space="preserve"> </t>
    </r>
    <r>
      <rPr>
        <sz val="11"/>
        <rFont val="游ゴシック Medium"/>
        <family val="3"/>
        <charset val="128"/>
      </rPr>
      <t>セルフ</t>
    </r>
    <r>
      <rPr>
        <sz val="11"/>
        <rFont val="Consolas"/>
        <family val="3"/>
      </rPr>
      <t xml:space="preserve"> </t>
    </r>
    <r>
      <rPr>
        <sz val="11"/>
        <rFont val="游ゴシック Medium"/>
        <family val="3"/>
        <charset val="128"/>
      </rPr>
      <t>ポートレイト</t>
    </r>
    <rPh sb="14" eb="21">
      <t>マン レイ</t>
    </rPh>
    <rPh sb="27" eb="29">
      <t>ジデン</t>
    </rPh>
    <phoneticPr fontId="1"/>
  </si>
  <si>
    <r>
      <rPr>
        <sz val="11"/>
        <rFont val="游ゴシック Medium"/>
        <family val="3"/>
        <charset val="128"/>
      </rPr>
      <t>芸術公論者</t>
    </r>
    <rPh sb="0" eb="2">
      <t>ゲイジュツ</t>
    </rPh>
    <rPh sb="2" eb="4">
      <t>コウロン</t>
    </rPh>
    <rPh sb="4" eb="5">
      <t>シャ</t>
    </rPh>
    <phoneticPr fontId="1"/>
  </si>
  <si>
    <r>
      <rPr>
        <sz val="11"/>
        <rFont val="游ゴシック Medium"/>
        <family val="3"/>
        <charset val="128"/>
      </rPr>
      <t>歴史･社会</t>
    </r>
    <rPh sb="0" eb="2">
      <t>レキシ</t>
    </rPh>
    <rPh sb="3" eb="5">
      <t>シャカイ</t>
    </rPh>
    <phoneticPr fontId="1"/>
  </si>
  <si>
    <r>
      <rPr>
        <sz val="11"/>
        <rFont val="游ゴシック Medium"/>
        <family val="3"/>
        <charset val="128"/>
      </rPr>
      <t>古橋信孝</t>
    </r>
    <rPh sb="0" eb="2">
      <t>フルハシ</t>
    </rPh>
    <rPh sb="2" eb="4">
      <t>ノブタカ</t>
    </rPh>
    <phoneticPr fontId="1"/>
  </si>
  <si>
    <r>
      <rPr>
        <sz val="11"/>
        <rFont val="游ゴシック Medium"/>
        <family val="3"/>
        <charset val="128"/>
      </rPr>
      <t>古代の恋愛生活</t>
    </r>
    <r>
      <rPr>
        <sz val="11"/>
        <rFont val="Consolas"/>
        <family val="3"/>
      </rPr>
      <t>/</t>
    </r>
    <r>
      <rPr>
        <sz val="11"/>
        <rFont val="游ゴシック Medium"/>
        <family val="3"/>
        <charset val="128"/>
      </rPr>
      <t>万葉集の恋歌を読む</t>
    </r>
    <rPh sb="0" eb="2">
      <t>コダイ</t>
    </rPh>
    <rPh sb="3" eb="5">
      <t>レンアイ</t>
    </rPh>
    <rPh sb="5" eb="7">
      <t>セイカツ</t>
    </rPh>
    <rPh sb="8" eb="11">
      <t>マンヨウシュウ</t>
    </rPh>
    <rPh sb="12" eb="14">
      <t>レンカ</t>
    </rPh>
    <rPh sb="15" eb="16">
      <t>ヨ</t>
    </rPh>
    <phoneticPr fontId="1"/>
  </si>
  <si>
    <r>
      <t>NHK</t>
    </r>
    <r>
      <rPr>
        <sz val="11"/>
        <rFont val="游ゴシック Medium"/>
        <family val="3"/>
        <charset val="128"/>
      </rPr>
      <t>ブックス</t>
    </r>
    <r>
      <rPr>
        <sz val="11"/>
        <rFont val="Consolas"/>
        <family val="3"/>
      </rPr>
      <t>/536</t>
    </r>
    <phoneticPr fontId="1"/>
  </si>
  <si>
    <r>
      <rPr>
        <sz val="11"/>
        <rFont val="游ゴシック Medium"/>
        <family val="3"/>
        <charset val="128"/>
      </rPr>
      <t>大類信</t>
    </r>
    <rPh sb="0" eb="2">
      <t>オオルイ</t>
    </rPh>
    <rPh sb="2" eb="3">
      <t>マコト</t>
    </rPh>
    <phoneticPr fontId="1"/>
  </si>
  <si>
    <r>
      <t>Sale2/No.30/Special Issue/</t>
    </r>
    <r>
      <rPr>
        <sz val="11"/>
        <rFont val="游ゴシック Medium"/>
        <family val="3"/>
        <charset val="128"/>
      </rPr>
      <t>奇妙的欲望</t>
    </r>
    <rPh sb="26" eb="28">
      <t>キミョウ</t>
    </rPh>
    <rPh sb="28" eb="29">
      <t>テキ</t>
    </rPh>
    <rPh sb="29" eb="31">
      <t>ヨクボウ</t>
    </rPh>
    <phoneticPr fontId="1"/>
  </si>
  <si>
    <r>
      <rPr>
        <sz val="11"/>
        <rFont val="游ゴシック Medium"/>
        <family val="3"/>
        <charset val="128"/>
      </rPr>
      <t>坪井書店</t>
    </r>
    <rPh sb="0" eb="2">
      <t>ツボイ</t>
    </rPh>
    <rPh sb="2" eb="4">
      <t>ショテン</t>
    </rPh>
    <phoneticPr fontId="1"/>
  </si>
  <si>
    <r>
      <rPr>
        <sz val="11"/>
        <rFont val="游ゴシック Medium"/>
        <family val="3"/>
        <charset val="128"/>
      </rPr>
      <t>川又一英</t>
    </r>
    <r>
      <rPr>
        <sz val="11"/>
        <rFont val="Consolas"/>
        <family val="3"/>
      </rPr>
      <t>+</t>
    </r>
    <r>
      <rPr>
        <sz val="11"/>
        <rFont val="游ゴシック Medium"/>
        <family val="3"/>
        <charset val="128"/>
      </rPr>
      <t>宇田川東樹</t>
    </r>
    <rPh sb="0" eb="2">
      <t>カワマタ</t>
    </rPh>
    <rPh sb="2" eb="4">
      <t>カズヒデ</t>
    </rPh>
    <rPh sb="5" eb="8">
      <t>ウダガワ</t>
    </rPh>
    <rPh sb="8" eb="10">
      <t>トウキ</t>
    </rPh>
    <phoneticPr fontId="1"/>
  </si>
  <si>
    <r>
      <rPr>
        <sz val="11"/>
        <rFont val="游ゴシック Medium"/>
        <family val="3"/>
        <charset val="128"/>
      </rPr>
      <t>貝原</t>
    </r>
    <r>
      <rPr>
        <sz val="11"/>
        <rFont val="Consolas"/>
        <family val="3"/>
      </rPr>
      <t xml:space="preserve"> </t>
    </r>
    <r>
      <rPr>
        <sz val="11"/>
        <rFont val="游ゴシック Medium"/>
        <family val="3"/>
        <charset val="128"/>
      </rPr>
      <t>浩</t>
    </r>
    <rPh sb="0" eb="2">
      <t>カイバラ</t>
    </rPh>
    <rPh sb="3" eb="4">
      <t>ヒロシ</t>
    </rPh>
    <phoneticPr fontId="1"/>
  </si>
  <si>
    <r>
      <rPr>
        <sz val="11"/>
        <rFont val="游ゴシック Medium"/>
        <family val="3"/>
        <charset val="128"/>
      </rPr>
      <t>変装の技術</t>
    </r>
    <rPh sb="0" eb="2">
      <t>ヘンソウ</t>
    </rPh>
    <rPh sb="3" eb="5">
      <t>ギジュツ</t>
    </rPh>
    <phoneticPr fontId="1"/>
  </si>
  <si>
    <r>
      <rPr>
        <sz val="11"/>
        <rFont val="游ゴシック Medium"/>
        <family val="3"/>
        <charset val="128"/>
      </rPr>
      <t>風濤社</t>
    </r>
    <rPh sb="0" eb="3">
      <t>フウトウシャ</t>
    </rPh>
    <phoneticPr fontId="1"/>
  </si>
  <si>
    <r>
      <rPr>
        <sz val="11"/>
        <rFont val="游ゴシック Medium"/>
        <family val="3"/>
        <charset val="128"/>
      </rPr>
      <t>大峽儷三</t>
    </r>
    <rPh sb="0" eb="2">
      <t>オオハザマ</t>
    </rPh>
    <rPh sb="2" eb="4">
      <t>レイゾウ</t>
    </rPh>
    <phoneticPr fontId="1"/>
  </si>
  <si>
    <r>
      <rPr>
        <sz val="11"/>
        <rFont val="游ゴシック Medium"/>
        <family val="3"/>
        <charset val="128"/>
      </rPr>
      <t>日本のしきたり</t>
    </r>
    <r>
      <rPr>
        <sz val="11"/>
        <rFont val="Consolas"/>
        <family val="3"/>
      </rPr>
      <t>/</t>
    </r>
    <r>
      <rPr>
        <sz val="11"/>
        <rFont val="游ゴシック Medium"/>
        <family val="3"/>
        <charset val="128"/>
      </rPr>
      <t>陰陽で読み解く</t>
    </r>
    <rPh sb="0" eb="2">
      <t>ニホン</t>
    </rPh>
    <rPh sb="8" eb="10">
      <t>インヨウ</t>
    </rPh>
    <rPh sb="11" eb="14">
      <t>ヨミト</t>
    </rPh>
    <phoneticPr fontId="1"/>
  </si>
  <si>
    <r>
      <t>PHP</t>
    </r>
    <r>
      <rPr>
        <sz val="11"/>
        <rFont val="游ゴシック Medium"/>
        <family val="3"/>
        <charset val="128"/>
      </rPr>
      <t>研究所</t>
    </r>
    <rPh sb="3" eb="6">
      <t>ケンキュウショ</t>
    </rPh>
    <phoneticPr fontId="1"/>
  </si>
  <si>
    <r>
      <rPr>
        <sz val="11"/>
        <rFont val="游ゴシック Medium"/>
        <family val="3"/>
        <charset val="128"/>
      </rPr>
      <t>佐藤</t>
    </r>
    <r>
      <rPr>
        <sz val="11"/>
        <rFont val="Consolas"/>
        <family val="3"/>
      </rPr>
      <t xml:space="preserve"> </t>
    </r>
    <r>
      <rPr>
        <sz val="11"/>
        <rFont val="游ゴシック Medium"/>
        <family val="3"/>
        <charset val="128"/>
      </rPr>
      <t>嘉昭</t>
    </r>
    <rPh sb="0" eb="2">
      <t>サトウ</t>
    </rPh>
    <rPh sb="3" eb="5">
      <t>ヨシアキ</t>
    </rPh>
    <phoneticPr fontId="1"/>
  </si>
  <si>
    <r>
      <t>Postwar, 60's, 70's and Recent Years of FASHION/</t>
    </r>
    <r>
      <rPr>
        <sz val="11"/>
        <rFont val="游ゴシック Medium"/>
        <family val="3"/>
        <charset val="128"/>
      </rPr>
      <t>若者文化史</t>
    </r>
    <rPh sb="48" eb="52">
      <t>ワカモノブンカ</t>
    </rPh>
    <rPh sb="52" eb="53">
      <t>シ</t>
    </rPh>
    <phoneticPr fontId="1"/>
  </si>
  <si>
    <r>
      <rPr>
        <sz val="11"/>
        <rFont val="游ゴシック Medium"/>
        <family val="3"/>
        <charset val="128"/>
      </rPr>
      <t>源流社</t>
    </r>
    <rPh sb="0" eb="2">
      <t>ゲンリュウ</t>
    </rPh>
    <rPh sb="2" eb="3">
      <t>シャ</t>
    </rPh>
    <phoneticPr fontId="1"/>
  </si>
  <si>
    <r>
      <rPr>
        <sz val="11"/>
        <rFont val="游ゴシック Medium"/>
        <family val="3"/>
        <charset val="128"/>
      </rPr>
      <t>どっかの古本屋</t>
    </r>
    <rPh sb="4" eb="7">
      <t>フルホンヤ</t>
    </rPh>
    <phoneticPr fontId="1"/>
  </si>
  <si>
    <r>
      <rPr>
        <sz val="11"/>
        <rFont val="游ゴシック Medium"/>
        <family val="3"/>
        <charset val="128"/>
      </rPr>
      <t>安食に置き去りにされていたのをサルベージ</t>
    </r>
    <rPh sb="0" eb="2">
      <t>アジキ</t>
    </rPh>
    <rPh sb="3" eb="4">
      <t>オ</t>
    </rPh>
    <rPh sb="5" eb="6">
      <t>ザ</t>
    </rPh>
    <phoneticPr fontId="1"/>
  </si>
  <si>
    <r>
      <rPr>
        <sz val="11"/>
        <rFont val="游ゴシック Medium"/>
        <family val="3"/>
        <charset val="128"/>
      </rPr>
      <t>岩本憲児</t>
    </r>
    <r>
      <rPr>
        <sz val="11"/>
        <rFont val="Consolas"/>
        <family val="3"/>
      </rPr>
      <t>+</t>
    </r>
    <r>
      <rPr>
        <sz val="11"/>
        <rFont val="游ゴシック Medium"/>
        <family val="3"/>
        <charset val="128"/>
      </rPr>
      <t>内山一樹</t>
    </r>
    <r>
      <rPr>
        <sz val="11"/>
        <rFont val="Consolas"/>
        <family val="3"/>
      </rPr>
      <t>+</t>
    </r>
    <r>
      <rPr>
        <sz val="11"/>
        <rFont val="游ゴシック Medium"/>
        <family val="3"/>
        <charset val="128"/>
      </rPr>
      <t>杉山昭夫</t>
    </r>
    <r>
      <rPr>
        <sz val="11"/>
        <rFont val="Consolas"/>
        <family val="3"/>
      </rPr>
      <t>+</t>
    </r>
    <r>
      <rPr>
        <sz val="11"/>
        <rFont val="游ゴシック Medium"/>
        <family val="3"/>
        <charset val="128"/>
      </rPr>
      <t>宮本高晴</t>
    </r>
    <rPh sb="0" eb="2">
      <t>イワモト</t>
    </rPh>
    <rPh sb="2" eb="4">
      <t>ケンジ</t>
    </rPh>
    <rPh sb="5" eb="7">
      <t>ウチヤマ</t>
    </rPh>
    <rPh sb="7" eb="9">
      <t>カズキ</t>
    </rPh>
    <rPh sb="10" eb="12">
      <t>スギヤマ</t>
    </rPh>
    <rPh sb="12" eb="14">
      <t>アキオ</t>
    </rPh>
    <rPh sb="15" eb="17">
      <t>ミヤモト</t>
    </rPh>
    <rPh sb="17" eb="19">
      <t>タカハル</t>
    </rPh>
    <phoneticPr fontId="1"/>
  </si>
  <si>
    <r>
      <rPr>
        <sz val="11"/>
        <rFont val="游ゴシック Medium"/>
        <family val="3"/>
        <charset val="128"/>
      </rPr>
      <t>映画の教科書</t>
    </r>
    <r>
      <rPr>
        <sz val="11"/>
        <rFont val="Consolas"/>
        <family val="3"/>
      </rPr>
      <t>/How to Read a Film/</t>
    </r>
    <r>
      <rPr>
        <sz val="11"/>
        <rFont val="游ゴシック Medium"/>
        <family val="3"/>
        <charset val="128"/>
      </rPr>
      <t>どのように映画を読むか</t>
    </r>
    <rPh sb="0" eb="2">
      <t>エイガ</t>
    </rPh>
    <rPh sb="3" eb="6">
      <t>キョウカショ</t>
    </rPh>
    <rPh sb="31" eb="33">
      <t>エイガ</t>
    </rPh>
    <rPh sb="34" eb="35">
      <t>ヨ</t>
    </rPh>
    <phoneticPr fontId="1"/>
  </si>
  <si>
    <r>
      <rPr>
        <sz val="11"/>
        <rFont val="游ゴシック Medium"/>
        <family val="3"/>
        <charset val="128"/>
      </rPr>
      <t>フィルム･アート社</t>
    </r>
    <rPh sb="8" eb="9">
      <t>シャ</t>
    </rPh>
    <phoneticPr fontId="1"/>
  </si>
  <si>
    <r>
      <rPr>
        <sz val="11"/>
        <rFont val="游ゴシック Medium"/>
        <family val="3"/>
        <charset val="128"/>
      </rPr>
      <t>丸の内線池袋駅構内</t>
    </r>
    <rPh sb="0" eb="1">
      <t>マル</t>
    </rPh>
    <rPh sb="2" eb="4">
      <t>ウチセン</t>
    </rPh>
    <rPh sb="4" eb="7">
      <t>イケブクロエキ</t>
    </rPh>
    <rPh sb="7" eb="9">
      <t>コウナイ</t>
    </rPh>
    <phoneticPr fontId="1"/>
  </si>
  <si>
    <r>
      <rPr>
        <strike/>
        <sz val="11"/>
        <rFont val="游ゴシック Medium"/>
        <family val="3"/>
        <charset val="128"/>
      </rPr>
      <t>準新書</t>
    </r>
    <rPh sb="0" eb="1">
      <t>ジュン</t>
    </rPh>
    <rPh sb="1" eb="3">
      <t>シンショ</t>
    </rPh>
    <phoneticPr fontId="1"/>
  </si>
  <si>
    <r>
      <t>subculture/</t>
    </r>
    <r>
      <rPr>
        <strike/>
        <sz val="11"/>
        <rFont val="游ゴシック Medium"/>
        <family val="3"/>
        <charset val="128"/>
      </rPr>
      <t>歴史･社会</t>
    </r>
    <rPh sb="11" eb="13">
      <t>レキシ</t>
    </rPh>
    <rPh sb="14" eb="16">
      <t>シャカイ</t>
    </rPh>
    <phoneticPr fontId="1"/>
  </si>
  <si>
    <r>
      <rPr>
        <strike/>
        <sz val="11"/>
        <rFont val="游ゴシック Medium"/>
        <family val="3"/>
        <charset val="128"/>
      </rPr>
      <t>伊藤輝夫</t>
    </r>
    <rPh sb="0" eb="2">
      <t>イトウ</t>
    </rPh>
    <rPh sb="2" eb="4">
      <t>テルオ</t>
    </rPh>
    <phoneticPr fontId="1"/>
  </si>
  <si>
    <r>
      <rPr>
        <strike/>
        <sz val="11"/>
        <rFont val="游ゴシック Medium"/>
        <family val="3"/>
        <charset val="128"/>
      </rPr>
      <t>お笑い北朝鮮─金日成･金正日親子</t>
    </r>
    <r>
      <rPr>
        <strike/>
        <sz val="11"/>
        <rFont val="Consolas"/>
        <family val="3"/>
      </rPr>
      <t xml:space="preserve"> </t>
    </r>
    <r>
      <rPr>
        <strike/>
        <sz val="11"/>
        <rFont val="游ゴシック Medium"/>
        <family val="3"/>
        <charset val="128"/>
      </rPr>
      <t>長期政権の解明</t>
    </r>
    <rPh sb="1" eb="2">
      <t>ワラ</t>
    </rPh>
    <rPh sb="3" eb="6">
      <t>キタチョウセン</t>
    </rPh>
    <rPh sb="7" eb="10">
      <t>キムイルソン</t>
    </rPh>
    <rPh sb="11" eb="14">
      <t>キムジョンイル</t>
    </rPh>
    <rPh sb="14" eb="16">
      <t>オヤコ</t>
    </rPh>
    <rPh sb="17" eb="19">
      <t>チョウキ</t>
    </rPh>
    <rPh sb="19" eb="21">
      <t>セイケン</t>
    </rPh>
    <rPh sb="22" eb="24">
      <t>カイメイ</t>
    </rPh>
    <phoneticPr fontId="1"/>
  </si>
  <si>
    <r>
      <rPr>
        <strike/>
        <sz val="11"/>
        <rFont val="游ゴシック Medium"/>
        <family val="3"/>
        <charset val="128"/>
      </rPr>
      <t>コスモの本</t>
    </r>
    <rPh sb="4" eb="5">
      <t>ホン</t>
    </rPh>
    <phoneticPr fontId="1"/>
  </si>
  <si>
    <r>
      <rPr>
        <strike/>
        <sz val="11"/>
        <rFont val="游ゴシック Medium"/>
        <family val="3"/>
        <charset val="128"/>
      </rPr>
      <t>有楽町駅構内</t>
    </r>
    <rPh sb="0" eb="3">
      <t>ユウラクチョウ</t>
    </rPh>
    <rPh sb="3" eb="4">
      <t>エキ</t>
    </rPh>
    <rPh sb="4" eb="6">
      <t>コウナイ</t>
    </rPh>
    <phoneticPr fontId="1"/>
  </si>
  <si>
    <r>
      <rPr>
        <strike/>
        <sz val="11"/>
        <rFont val="游ゴシック Medium"/>
        <family val="3"/>
        <charset val="128"/>
      </rPr>
      <t>テリー伊藤</t>
    </r>
    <rPh sb="3" eb="5">
      <t>イトウ</t>
    </rPh>
    <phoneticPr fontId="1"/>
  </si>
  <si>
    <r>
      <rPr>
        <strike/>
        <sz val="11"/>
        <rFont val="游ゴシック Medium"/>
        <family val="3"/>
        <charset val="128"/>
      </rPr>
      <t>お笑い北朝鮮─私が愛した金正日</t>
    </r>
    <rPh sb="1" eb="2">
      <t>ワラ</t>
    </rPh>
    <rPh sb="3" eb="6">
      <t>キタチョウセン</t>
    </rPh>
    <rPh sb="7" eb="8">
      <t>ワタシ</t>
    </rPh>
    <rPh sb="9" eb="10">
      <t>アイ</t>
    </rPh>
    <rPh sb="12" eb="15">
      <t>キムジョンイル</t>
    </rPh>
    <phoneticPr fontId="1"/>
  </si>
  <si>
    <r>
      <rPr>
        <strike/>
        <sz val="11"/>
        <rFont val="游ゴシック Medium"/>
        <family val="3"/>
        <charset val="128"/>
      </rPr>
      <t>宝島社</t>
    </r>
    <rPh sb="0" eb="3">
      <t>タカラジマシャ</t>
    </rPh>
    <phoneticPr fontId="1"/>
  </si>
  <si>
    <r>
      <t>Amateur</t>
    </r>
    <r>
      <rPr>
        <sz val="11"/>
        <rFont val="游ゴシック Medium"/>
        <family val="3"/>
        <charset val="128"/>
      </rPr>
      <t>心理学入門（巻末</t>
    </r>
    <r>
      <rPr>
        <sz val="11"/>
        <rFont val="Consolas"/>
        <family val="3"/>
      </rPr>
      <t>Test</t>
    </r>
    <r>
      <rPr>
        <sz val="11"/>
        <rFont val="游ゴシック Medium"/>
        <family val="3"/>
        <charset val="128"/>
      </rPr>
      <t>付）</t>
    </r>
    <rPh sb="0" eb="7">
      <t>アマチュア</t>
    </rPh>
    <rPh sb="7" eb="10">
      <t>シンリガク</t>
    </rPh>
    <rPh sb="10" eb="12">
      <t>ニュウモン</t>
    </rPh>
    <rPh sb="13" eb="15">
      <t>カンマツ</t>
    </rPh>
    <rPh sb="15" eb="19">
      <t>テスト</t>
    </rPh>
    <rPh sb="19" eb="20">
      <t>ツキ</t>
    </rPh>
    <phoneticPr fontId="1"/>
  </si>
  <si>
    <r>
      <rPr>
        <sz val="11"/>
        <rFont val="游ゴシック Medium"/>
        <family val="3"/>
        <charset val="128"/>
      </rPr>
      <t>篠崎書林</t>
    </r>
    <rPh sb="0" eb="2">
      <t>シノザキ</t>
    </rPh>
    <rPh sb="2" eb="3">
      <t>ショ</t>
    </rPh>
    <rPh sb="3" eb="4">
      <t>リン</t>
    </rPh>
    <phoneticPr fontId="1"/>
  </si>
  <si>
    <r>
      <rPr>
        <sz val="11"/>
        <rFont val="游ゴシック Medium"/>
        <family val="3"/>
        <charset val="128"/>
      </rPr>
      <t>ルポ</t>
    </r>
    <phoneticPr fontId="1"/>
  </si>
  <si>
    <r>
      <rPr>
        <u/>
        <sz val="11"/>
        <color indexed="12"/>
        <rFont val="游ゴシック Medium"/>
        <family val="3"/>
        <charset val="128"/>
      </rPr>
      <t>大泉実成</t>
    </r>
    <rPh sb="0" eb="2">
      <t>オオイズミ</t>
    </rPh>
    <rPh sb="2" eb="4">
      <t>ミツナリ</t>
    </rPh>
    <phoneticPr fontId="1"/>
  </si>
  <si>
    <r>
      <rPr>
        <u/>
        <sz val="11"/>
        <color indexed="12"/>
        <rFont val="游ゴシック Medium"/>
        <family val="3"/>
        <charset val="128"/>
      </rPr>
      <t>説得─エホバの証人と輸血拒否事件</t>
    </r>
    <rPh sb="0" eb="2">
      <t>セットク</t>
    </rPh>
    <rPh sb="7" eb="9">
      <t>ショウニン</t>
    </rPh>
    <rPh sb="10" eb="12">
      <t>ユケツ</t>
    </rPh>
    <rPh sb="12" eb="14">
      <t>キョヒ</t>
    </rPh>
    <rPh sb="14" eb="16">
      <t>ジケン</t>
    </rPh>
    <phoneticPr fontId="1"/>
  </si>
  <si>
    <r>
      <rPr>
        <sz val="11"/>
        <rFont val="游ゴシック Medium"/>
        <family val="3"/>
        <charset val="128"/>
      </rPr>
      <t>現代書館</t>
    </r>
    <rPh sb="0" eb="2">
      <t>ゲンダイ</t>
    </rPh>
    <rPh sb="2" eb="4">
      <t>ショカン</t>
    </rPh>
    <phoneticPr fontId="1"/>
  </si>
  <si>
    <r>
      <rPr>
        <u/>
        <sz val="11"/>
        <color indexed="12"/>
        <rFont val="游ゴシック Medium"/>
        <family val="3"/>
        <charset val="128"/>
      </rPr>
      <t>講談社ノンフィクション大賞受賞</t>
    </r>
    <r>
      <rPr>
        <u/>
        <sz val="11"/>
        <color indexed="12"/>
        <rFont val="Consolas"/>
        <family val="3"/>
      </rPr>
      <t>/</t>
    </r>
    <r>
      <rPr>
        <u/>
        <sz val="11"/>
        <color indexed="12"/>
        <rFont val="游ゴシック Medium"/>
        <family val="3"/>
        <charset val="128"/>
      </rPr>
      <t>講談社文庫もあり</t>
    </r>
    <rPh sb="0" eb="3">
      <t>コウダンシャ</t>
    </rPh>
    <rPh sb="11" eb="13">
      <t>タイショウ</t>
    </rPh>
    <rPh sb="13" eb="15">
      <t>ジュショウ</t>
    </rPh>
    <rPh sb="16" eb="21">
      <t>コウダンシャブンコ</t>
    </rPh>
    <phoneticPr fontId="1"/>
  </si>
  <si>
    <r>
      <rPr>
        <u/>
        <sz val="11"/>
        <color indexed="12"/>
        <rFont val="游ゴシック Medium"/>
        <family val="3"/>
        <charset val="128"/>
      </rPr>
      <t>消えたマンガ家</t>
    </r>
    <rPh sb="0" eb="1">
      <t>キ</t>
    </rPh>
    <rPh sb="6" eb="7">
      <t>カ</t>
    </rPh>
    <phoneticPr fontId="1"/>
  </si>
  <si>
    <r>
      <rPr>
        <sz val="11"/>
        <rFont val="游ゴシック Medium"/>
        <family val="3"/>
        <charset val="128"/>
      </rPr>
      <t>太田出版</t>
    </r>
    <rPh sb="0" eb="4">
      <t>オオタシュッパン</t>
    </rPh>
    <phoneticPr fontId="1"/>
  </si>
  <si>
    <r>
      <rPr>
        <u/>
        <sz val="11"/>
        <color indexed="12"/>
        <rFont val="游ゴシック Medium"/>
        <family val="3"/>
        <charset val="128"/>
      </rPr>
      <t>麻原彰晃を信じる人びと</t>
    </r>
    <rPh sb="0" eb="2">
      <t>アサハラ</t>
    </rPh>
    <rPh sb="2" eb="4">
      <t>ショウコウ</t>
    </rPh>
    <rPh sb="5" eb="6">
      <t>シン</t>
    </rPh>
    <rPh sb="8" eb="9">
      <t>ヒト</t>
    </rPh>
    <phoneticPr fontId="1"/>
  </si>
  <si>
    <r>
      <rPr>
        <sz val="11"/>
        <rFont val="游ゴシック Medium"/>
        <family val="3"/>
        <charset val="128"/>
      </rPr>
      <t>祥泉社</t>
    </r>
    <rPh sb="0" eb="3">
      <t>ショウセンシャ</t>
    </rPh>
    <phoneticPr fontId="1"/>
  </si>
  <si>
    <r>
      <rPr>
        <sz val="11"/>
        <rFont val="游ゴシック Medium"/>
        <family val="3"/>
        <charset val="128"/>
      </rPr>
      <t>穐近</t>
    </r>
    <r>
      <rPr>
        <sz val="11"/>
        <rFont val="Consolas"/>
        <family val="3"/>
      </rPr>
      <t xml:space="preserve"> </t>
    </r>
    <r>
      <rPr>
        <sz val="11"/>
        <rFont val="游ゴシック Medium"/>
        <family val="3"/>
        <charset val="128"/>
      </rPr>
      <t>祐</t>
    </r>
    <rPh sb="0" eb="1">
      <t>アキ</t>
    </rPh>
    <rPh sb="1" eb="2">
      <t>チカ</t>
    </rPh>
    <rPh sb="3" eb="4">
      <t>ユタカ</t>
    </rPh>
    <phoneticPr fontId="1"/>
  </si>
  <si>
    <r>
      <rPr>
        <sz val="11"/>
        <rFont val="游ゴシック Medium"/>
        <family val="3"/>
        <charset val="128"/>
      </rPr>
      <t>土方のおやじ</t>
    </r>
    <rPh sb="0" eb="2">
      <t>ドカタ</t>
    </rPh>
    <phoneticPr fontId="1"/>
  </si>
  <si>
    <r>
      <rPr>
        <sz val="11"/>
        <rFont val="游ゴシック Medium"/>
        <family val="3"/>
        <charset val="128"/>
      </rPr>
      <t>イエス福音教団出版部</t>
    </r>
    <r>
      <rPr>
        <sz val="11"/>
        <rFont val="Consolas"/>
        <family val="3"/>
      </rPr>
      <t>:</t>
    </r>
    <r>
      <rPr>
        <sz val="11"/>
        <rFont val="游ゴシック Medium"/>
        <family val="3"/>
        <charset val="128"/>
      </rPr>
      <t>発行</t>
    </r>
    <r>
      <rPr>
        <sz val="11"/>
        <rFont val="Consolas"/>
        <family val="3"/>
      </rPr>
      <t>/</t>
    </r>
    <r>
      <rPr>
        <sz val="11"/>
        <rFont val="游ゴシック Medium"/>
        <family val="3"/>
        <charset val="128"/>
      </rPr>
      <t>いのちのことば社卸部</t>
    </r>
    <r>
      <rPr>
        <sz val="11"/>
        <rFont val="Consolas"/>
        <family val="3"/>
      </rPr>
      <t>:</t>
    </r>
    <r>
      <rPr>
        <sz val="11"/>
        <rFont val="游ゴシック Medium"/>
        <family val="3"/>
        <charset val="128"/>
      </rPr>
      <t>発売</t>
    </r>
    <rPh sb="3" eb="5">
      <t>フクイン</t>
    </rPh>
    <rPh sb="5" eb="7">
      <t>キョウダン</t>
    </rPh>
    <rPh sb="7" eb="10">
      <t>シュッパンブ</t>
    </rPh>
    <rPh sb="11" eb="13">
      <t>ハッコウ</t>
    </rPh>
    <rPh sb="21" eb="22">
      <t>シャ</t>
    </rPh>
    <rPh sb="22" eb="23">
      <t>オロシ</t>
    </rPh>
    <rPh sb="23" eb="24">
      <t>ブ</t>
    </rPh>
    <rPh sb="25" eb="27">
      <t>ハツバイ</t>
    </rPh>
    <phoneticPr fontId="1"/>
  </si>
  <si>
    <r>
      <rPr>
        <sz val="11"/>
        <rFont val="游ゴシック Medium"/>
        <family val="3"/>
        <charset val="128"/>
      </rPr>
      <t>島田裕巳</t>
    </r>
    <rPh sb="0" eb="2">
      <t>シマダ</t>
    </rPh>
    <rPh sb="2" eb="4">
      <t>ヒロミ</t>
    </rPh>
    <phoneticPr fontId="1"/>
  </si>
  <si>
    <r>
      <rPr>
        <sz val="11"/>
        <rFont val="游ゴシック Medium"/>
        <family val="3"/>
        <charset val="128"/>
      </rPr>
      <t>いま宗教に何が起こっているのか</t>
    </r>
    <rPh sb="2" eb="4">
      <t>シュウキョウ</t>
    </rPh>
    <rPh sb="5" eb="6">
      <t>ナニ</t>
    </rPh>
    <rPh sb="7" eb="8">
      <t>オ</t>
    </rPh>
    <phoneticPr fontId="1"/>
  </si>
  <si>
    <r>
      <rPr>
        <sz val="11"/>
        <rFont val="游ゴシック Medium"/>
        <family val="3"/>
        <charset val="128"/>
      </rPr>
      <t>水品春樹</t>
    </r>
    <rPh sb="0" eb="2">
      <t>ミズシナ</t>
    </rPh>
    <rPh sb="2" eb="4">
      <t>ハルキ</t>
    </rPh>
    <phoneticPr fontId="1"/>
  </si>
  <si>
    <r>
      <rPr>
        <sz val="11"/>
        <rFont val="游ゴシック Medium"/>
        <family val="3"/>
        <charset val="128"/>
      </rPr>
      <t>演技求真</t>
    </r>
    <rPh sb="0" eb="2">
      <t>エンギ</t>
    </rPh>
    <phoneticPr fontId="1"/>
  </si>
  <si>
    <r>
      <rPr>
        <sz val="11"/>
        <rFont val="游ゴシック Medium"/>
        <family val="3"/>
        <charset val="128"/>
      </rPr>
      <t>日本珍道具学会</t>
    </r>
    <rPh sb="0" eb="2">
      <t>ニホン</t>
    </rPh>
    <rPh sb="2" eb="3">
      <t>チン</t>
    </rPh>
    <rPh sb="3" eb="5">
      <t>ドウグ</t>
    </rPh>
    <rPh sb="5" eb="7">
      <t>ガッカイ</t>
    </rPh>
    <phoneticPr fontId="1"/>
  </si>
  <si>
    <r>
      <rPr>
        <sz val="11"/>
        <rFont val="游ゴシック Medium"/>
        <family val="3"/>
        <charset val="128"/>
      </rPr>
      <t>仰天</t>
    </r>
    <r>
      <rPr>
        <sz val="11"/>
        <rFont val="Consolas"/>
        <family val="3"/>
      </rPr>
      <t xml:space="preserve"> </t>
    </r>
    <r>
      <rPr>
        <sz val="11"/>
        <rFont val="游ゴシック Medium"/>
        <family val="3"/>
        <charset val="128"/>
      </rPr>
      <t>珍道具事典</t>
    </r>
    <r>
      <rPr>
        <sz val="11"/>
        <rFont val="Consolas"/>
        <family val="3"/>
      </rPr>
      <t>/</t>
    </r>
    <r>
      <rPr>
        <sz val="11"/>
        <rFont val="游ゴシック Medium"/>
        <family val="3"/>
        <charset val="128"/>
      </rPr>
      <t>ほとんど実用にならない暮しの道具</t>
    </r>
    <rPh sb="0" eb="2">
      <t>ギョウテン</t>
    </rPh>
    <rPh sb="3" eb="6">
      <t>チンドウグ</t>
    </rPh>
    <rPh sb="6" eb="8">
      <t>ジテン</t>
    </rPh>
    <rPh sb="13" eb="15">
      <t>ジツヨウ</t>
    </rPh>
    <rPh sb="20" eb="21">
      <t>クラ</t>
    </rPh>
    <rPh sb="23" eb="25">
      <t>ドウグ</t>
    </rPh>
    <phoneticPr fontId="1"/>
  </si>
  <si>
    <r>
      <rPr>
        <sz val="11"/>
        <rFont val="游ゴシック Medium"/>
        <family val="3"/>
        <charset val="128"/>
      </rPr>
      <t>カタログハウス</t>
    </r>
    <phoneticPr fontId="1"/>
  </si>
  <si>
    <r>
      <t xml:space="preserve">VOW </t>
    </r>
    <r>
      <rPr>
        <sz val="11"/>
        <rFont val="游ゴシック Medium"/>
        <family val="3"/>
        <charset val="128"/>
      </rPr>
      <t>にっぽん温泉</t>
    </r>
    <rPh sb="0" eb="3">
      <t>バウ</t>
    </rPh>
    <rPh sb="8" eb="10">
      <t>オンセン</t>
    </rPh>
    <phoneticPr fontId="1"/>
  </si>
  <si>
    <r>
      <rPr>
        <strike/>
        <sz val="11"/>
        <rFont val="游ゴシック Medium"/>
        <family val="3"/>
        <charset val="128"/>
      </rPr>
      <t>もうない</t>
    </r>
    <phoneticPr fontId="1"/>
  </si>
  <si>
    <r>
      <rPr>
        <sz val="11"/>
        <rFont val="游ゴシック Medium"/>
        <family val="3"/>
        <charset val="128"/>
      </rPr>
      <t>三善理沙子</t>
    </r>
    <rPh sb="0" eb="2">
      <t>ミヨシ</t>
    </rPh>
    <rPh sb="2" eb="5">
      <t>リサコ</t>
    </rPh>
    <phoneticPr fontId="1"/>
  </si>
  <si>
    <r>
      <rPr>
        <sz val="11"/>
        <rFont val="游ゴシック Medium"/>
        <family val="3"/>
        <charset val="128"/>
      </rPr>
      <t>中央線の呪い</t>
    </r>
    <rPh sb="0" eb="3">
      <t>チュウオウセン</t>
    </rPh>
    <rPh sb="4" eb="5">
      <t>ノロ</t>
    </rPh>
    <phoneticPr fontId="1"/>
  </si>
  <si>
    <r>
      <rPr>
        <sz val="11"/>
        <rFont val="游ゴシック Medium"/>
        <family val="3"/>
        <charset val="128"/>
      </rPr>
      <t>エンスー文庫</t>
    </r>
    <rPh sb="4" eb="6">
      <t>ブンコ</t>
    </rPh>
    <phoneticPr fontId="1"/>
  </si>
  <si>
    <r>
      <rPr>
        <sz val="11"/>
        <rFont val="游ゴシック Medium"/>
        <family val="3"/>
        <charset val="128"/>
      </rPr>
      <t>二玄社</t>
    </r>
    <phoneticPr fontId="1"/>
  </si>
  <si>
    <r>
      <rPr>
        <sz val="11"/>
        <rFont val="游ゴシック Medium"/>
        <family val="3"/>
        <charset val="128"/>
      </rPr>
      <t>嵐山光三郎</t>
    </r>
    <rPh sb="0" eb="2">
      <t>アラシヤマ</t>
    </rPh>
    <rPh sb="2" eb="5">
      <t>コウザブロウ</t>
    </rPh>
    <phoneticPr fontId="1"/>
  </si>
  <si>
    <r>
      <rPr>
        <sz val="11"/>
        <rFont val="游ゴシック Medium"/>
        <family val="3"/>
        <charset val="128"/>
      </rPr>
      <t>人妻魂</t>
    </r>
    <rPh sb="0" eb="2">
      <t>ヒトヅマ</t>
    </rPh>
    <rPh sb="2" eb="3">
      <t>ダマシイ</t>
    </rPh>
    <phoneticPr fontId="1"/>
  </si>
  <si>
    <r>
      <rPr>
        <sz val="11"/>
        <rFont val="游ゴシック Medium"/>
        <family val="3"/>
        <charset val="128"/>
      </rPr>
      <t>内藤</t>
    </r>
    <r>
      <rPr>
        <sz val="11"/>
        <rFont val="Consolas"/>
        <family val="3"/>
      </rPr>
      <t xml:space="preserve"> </t>
    </r>
    <r>
      <rPr>
        <sz val="11"/>
        <rFont val="游ゴシック Medium"/>
        <family val="3"/>
        <charset val="128"/>
      </rPr>
      <t>陳</t>
    </r>
    <rPh sb="0" eb="2">
      <t>ナイトウ</t>
    </rPh>
    <rPh sb="3" eb="4">
      <t>チン</t>
    </rPh>
    <phoneticPr fontId="1"/>
  </si>
  <si>
    <r>
      <rPr>
        <sz val="11"/>
        <rFont val="游ゴシック Medium"/>
        <family val="3"/>
        <charset val="128"/>
      </rPr>
      <t>読まずに死ねるか</t>
    </r>
    <r>
      <rPr>
        <sz val="11"/>
        <rFont val="Consolas"/>
        <family val="3"/>
      </rPr>
      <t>!/</t>
    </r>
    <r>
      <rPr>
        <sz val="11"/>
        <rFont val="游ゴシック Medium"/>
        <family val="3"/>
        <charset val="128"/>
      </rPr>
      <t>冒険小説･面白本のおススメ･ガイド･エッセイ</t>
    </r>
    <rPh sb="0" eb="1">
      <t>ヨ</t>
    </rPh>
    <rPh sb="4" eb="5">
      <t>シ</t>
    </rPh>
    <rPh sb="10" eb="14">
      <t>ボウケンショウセツ</t>
    </rPh>
    <rPh sb="15" eb="16">
      <t>オモ</t>
    </rPh>
    <rPh sb="16" eb="17">
      <t>シロ</t>
    </rPh>
    <rPh sb="17" eb="18">
      <t>ボン</t>
    </rPh>
    <phoneticPr fontId="1"/>
  </si>
  <si>
    <r>
      <rPr>
        <sz val="11"/>
        <rFont val="游ゴシック Medium"/>
        <family val="3"/>
        <charset val="128"/>
      </rPr>
      <t>集英社</t>
    </r>
    <rPh sb="0" eb="3">
      <t>シュウエイシャ</t>
    </rPh>
    <phoneticPr fontId="1"/>
  </si>
  <si>
    <r>
      <rPr>
        <sz val="11"/>
        <rFont val="游ゴシック Medium"/>
        <family val="3"/>
        <charset val="128"/>
      </rPr>
      <t>渡辺和博とタラコ</t>
    </r>
    <r>
      <rPr>
        <sz val="11"/>
        <rFont val="Consolas"/>
        <family val="3"/>
      </rPr>
      <t>Production</t>
    </r>
    <r>
      <rPr>
        <sz val="11"/>
        <rFont val="游ゴシック Medium"/>
        <family val="3"/>
        <charset val="128"/>
      </rPr>
      <t>（神足裕司）</t>
    </r>
    <rPh sb="0" eb="2">
      <t>ワタナベ</t>
    </rPh>
    <rPh sb="2" eb="4">
      <t>カズヒロ</t>
    </rPh>
    <rPh sb="8" eb="18">
      <t>プロダクション</t>
    </rPh>
    <rPh sb="19" eb="21">
      <t>コウタリ</t>
    </rPh>
    <phoneticPr fontId="1"/>
  </si>
  <si>
    <r>
      <rPr>
        <sz val="11"/>
        <rFont val="游ゴシック Medium"/>
        <family val="3"/>
        <charset val="128"/>
      </rPr>
      <t>金魂巻</t>
    </r>
    <rPh sb="0" eb="3">
      <t>キンコンカン</t>
    </rPh>
    <phoneticPr fontId="1"/>
  </si>
  <si>
    <r>
      <rPr>
        <sz val="11"/>
        <rFont val="游ゴシック Medium"/>
        <family val="3"/>
        <charset val="128"/>
      </rPr>
      <t>主婦の友社</t>
    </r>
    <rPh sb="0" eb="2">
      <t>シュフ</t>
    </rPh>
    <rPh sb="3" eb="5">
      <t>トモシャ</t>
    </rPh>
    <phoneticPr fontId="1"/>
  </si>
  <si>
    <r>
      <rPr>
        <strike/>
        <sz val="11"/>
        <rFont val="游ゴシック Medium"/>
        <family val="3"/>
        <charset val="128"/>
      </rPr>
      <t>赤瀬川原平</t>
    </r>
    <rPh sb="0" eb="5">
      <t>アカセガワゲンペイ</t>
    </rPh>
    <phoneticPr fontId="1"/>
  </si>
  <si>
    <r>
      <rPr>
        <strike/>
        <sz val="11"/>
        <rFont val="游ゴシック Medium"/>
        <family val="3"/>
        <charset val="128"/>
      </rPr>
      <t>新解さんの謎</t>
    </r>
    <rPh sb="0" eb="2">
      <t>シンカイ</t>
    </rPh>
    <rPh sb="5" eb="6">
      <t>ナゾ</t>
    </rPh>
    <phoneticPr fontId="1"/>
  </si>
  <si>
    <r>
      <rPr>
        <strike/>
        <sz val="11"/>
        <rFont val="游ゴシック Medium"/>
        <family val="3"/>
        <charset val="128"/>
      </rPr>
      <t>文藝春秋</t>
    </r>
    <rPh sb="0" eb="4">
      <t>ブンゲイシュンジュウ</t>
    </rPh>
    <phoneticPr fontId="1"/>
  </si>
  <si>
    <r>
      <rPr>
        <sz val="11"/>
        <rFont val="游ゴシック Medium"/>
        <family val="3"/>
        <charset val="128"/>
      </rPr>
      <t>青木雄二</t>
    </r>
    <rPh sb="0" eb="2">
      <t>アオキ</t>
    </rPh>
    <rPh sb="2" eb="4">
      <t>ユウジ</t>
    </rPh>
    <phoneticPr fontId="1"/>
  </si>
  <si>
    <r>
      <rPr>
        <sz val="11"/>
        <rFont val="游ゴシック Medium"/>
        <family val="3"/>
        <charset val="128"/>
      </rPr>
      <t>ナニワ金融道</t>
    </r>
    <r>
      <rPr>
        <sz val="11"/>
        <rFont val="Consolas"/>
        <family val="3"/>
      </rPr>
      <t xml:space="preserve"> </t>
    </r>
    <r>
      <rPr>
        <sz val="11"/>
        <rFont val="游ゴシック Medium"/>
        <family val="3"/>
        <charset val="128"/>
      </rPr>
      <t>カネと非情の法律講座</t>
    </r>
    <rPh sb="3" eb="5">
      <t>キンユウ</t>
    </rPh>
    <rPh sb="5" eb="6">
      <t>ドウ</t>
    </rPh>
    <rPh sb="10" eb="12">
      <t>ヒジョウ</t>
    </rPh>
    <rPh sb="13" eb="15">
      <t>ホウリツ</t>
    </rPh>
    <rPh sb="15" eb="17">
      <t>コウザ</t>
    </rPh>
    <phoneticPr fontId="1"/>
  </si>
  <si>
    <r>
      <rPr>
        <sz val="11"/>
        <rFont val="游ゴシック Medium"/>
        <family val="3"/>
        <charset val="128"/>
      </rPr>
      <t>ナニワ金融道</t>
    </r>
    <r>
      <rPr>
        <sz val="11"/>
        <rFont val="Consolas"/>
        <family val="3"/>
      </rPr>
      <t xml:space="preserve"> </t>
    </r>
    <r>
      <rPr>
        <sz val="11"/>
        <rFont val="游ゴシック Medium"/>
        <family val="3"/>
        <charset val="128"/>
      </rPr>
      <t>カネと非情の</t>
    </r>
    <r>
      <rPr>
        <sz val="11"/>
        <rFont val="Consolas"/>
        <family val="3"/>
      </rPr>
      <t>Survival</t>
    </r>
    <r>
      <rPr>
        <sz val="11"/>
        <rFont val="游ゴシック Medium"/>
        <family val="3"/>
        <charset val="128"/>
      </rPr>
      <t>講座</t>
    </r>
    <rPh sb="3" eb="5">
      <t>キンユウ</t>
    </rPh>
    <rPh sb="5" eb="6">
      <t>ドウ</t>
    </rPh>
    <rPh sb="10" eb="12">
      <t>ヒジョウ</t>
    </rPh>
    <rPh sb="13" eb="21">
      <t>サバイバル</t>
    </rPh>
    <rPh sb="21" eb="23">
      <t>コウザ</t>
    </rPh>
    <phoneticPr fontId="1"/>
  </si>
  <si>
    <r>
      <rPr>
        <sz val="11"/>
        <rFont val="游ゴシック Medium"/>
        <family val="3"/>
        <charset val="128"/>
      </rPr>
      <t>磯田光一</t>
    </r>
    <rPh sb="0" eb="2">
      <t>イソタ</t>
    </rPh>
    <rPh sb="2" eb="4">
      <t>コウイチ</t>
    </rPh>
    <phoneticPr fontId="1"/>
  </si>
  <si>
    <r>
      <rPr>
        <sz val="11"/>
        <rFont val="游ゴシック Medium"/>
        <family val="3"/>
        <charset val="128"/>
      </rPr>
      <t>左翼がサヨクになるとき</t>
    </r>
    <rPh sb="0" eb="2">
      <t>サヨク</t>
    </rPh>
    <phoneticPr fontId="1"/>
  </si>
  <si>
    <r>
      <rPr>
        <sz val="11"/>
        <rFont val="游ゴシック Medium"/>
        <family val="3"/>
        <charset val="128"/>
      </rPr>
      <t>広瀬</t>
    </r>
    <r>
      <rPr>
        <sz val="11"/>
        <rFont val="Consolas"/>
        <family val="3"/>
      </rPr>
      <t xml:space="preserve"> </t>
    </r>
    <r>
      <rPr>
        <sz val="11"/>
        <rFont val="游ゴシック Medium"/>
        <family val="3"/>
        <charset val="128"/>
      </rPr>
      <t>隆</t>
    </r>
    <rPh sb="0" eb="2">
      <t>ヒロセ</t>
    </rPh>
    <rPh sb="3" eb="4">
      <t>タカシ</t>
    </rPh>
    <phoneticPr fontId="1"/>
  </si>
  <si>
    <r>
      <rPr>
        <sz val="11"/>
        <rFont val="游ゴシック Medium"/>
        <family val="3"/>
        <charset val="128"/>
      </rPr>
      <t>危険な話</t>
    </r>
    <r>
      <rPr>
        <sz val="11"/>
        <rFont val="Consolas"/>
        <family val="3"/>
      </rPr>
      <t xml:space="preserve"> Chernobyl</t>
    </r>
    <r>
      <rPr>
        <sz val="11"/>
        <rFont val="游ゴシック Medium"/>
        <family val="3"/>
        <charset val="128"/>
      </rPr>
      <t>と日本の運命</t>
    </r>
    <rPh sb="0" eb="2">
      <t>キケン</t>
    </rPh>
    <rPh sb="3" eb="4">
      <t>ハナシ</t>
    </rPh>
    <rPh sb="5" eb="14">
      <t>チェルノブイリ</t>
    </rPh>
    <rPh sb="15" eb="17">
      <t>ニホン</t>
    </rPh>
    <rPh sb="18" eb="20">
      <t>ウンメイ</t>
    </rPh>
    <phoneticPr fontId="1"/>
  </si>
  <si>
    <r>
      <rPr>
        <sz val="11"/>
        <rFont val="游ゴシック Medium"/>
        <family val="3"/>
        <charset val="128"/>
      </rPr>
      <t>八月書館</t>
    </r>
    <rPh sb="0" eb="2">
      <t>ハチガツ</t>
    </rPh>
    <rPh sb="2" eb="4">
      <t>ショカン</t>
    </rPh>
    <phoneticPr fontId="1"/>
  </si>
  <si>
    <r>
      <rPr>
        <sz val="11"/>
        <rFont val="游ゴシック Medium"/>
        <family val="3"/>
        <charset val="128"/>
      </rPr>
      <t>入来</t>
    </r>
    <r>
      <rPr>
        <sz val="11"/>
        <rFont val="Consolas"/>
        <family val="3"/>
      </rPr>
      <t xml:space="preserve"> </t>
    </r>
    <r>
      <rPr>
        <sz val="11"/>
        <rFont val="游ゴシック Medium"/>
        <family val="3"/>
        <charset val="128"/>
      </rPr>
      <t>典</t>
    </r>
    <rPh sb="0" eb="2">
      <t>イリキ</t>
    </rPh>
    <rPh sb="3" eb="4">
      <t>ツカサ</t>
    </rPh>
    <phoneticPr fontId="1"/>
  </si>
  <si>
    <r>
      <rPr>
        <sz val="11"/>
        <rFont val="游ゴシック Medium"/>
        <family val="3"/>
        <charset val="128"/>
      </rPr>
      <t>赤ちゃんの歴史</t>
    </r>
    <rPh sb="0" eb="1">
      <t>アカ</t>
    </rPh>
    <rPh sb="5" eb="7">
      <t>レキシ</t>
    </rPh>
    <phoneticPr fontId="1"/>
  </si>
  <si>
    <r>
      <rPr>
        <sz val="11"/>
        <rFont val="游ゴシック Medium"/>
        <family val="3"/>
        <charset val="128"/>
      </rPr>
      <t>文化史としての出産と子育て</t>
    </r>
    <rPh sb="0" eb="3">
      <t>ブンカシ</t>
    </rPh>
    <rPh sb="7" eb="9">
      <t>シュッサン</t>
    </rPh>
    <rPh sb="10" eb="12">
      <t>コソダ</t>
    </rPh>
    <phoneticPr fontId="1"/>
  </si>
  <si>
    <r>
      <rPr>
        <sz val="11"/>
        <rFont val="游ゴシック Medium"/>
        <family val="3"/>
        <charset val="128"/>
      </rPr>
      <t>鳥影社</t>
    </r>
    <rPh sb="0" eb="3">
      <t>チョウエイシャ</t>
    </rPh>
    <phoneticPr fontId="1"/>
  </si>
  <si>
    <r>
      <rPr>
        <sz val="11"/>
        <rFont val="游ゴシック Medium"/>
        <family val="3"/>
        <charset val="128"/>
      </rPr>
      <t>弓場</t>
    </r>
    <r>
      <rPr>
        <sz val="11"/>
        <rFont val="Consolas"/>
        <family val="3"/>
      </rPr>
      <t xml:space="preserve"> </t>
    </r>
    <r>
      <rPr>
        <sz val="11"/>
        <rFont val="游ゴシック Medium"/>
        <family val="3"/>
        <charset val="128"/>
      </rPr>
      <t>隆</t>
    </r>
    <rPh sb="0" eb="2">
      <t>ユミバ</t>
    </rPh>
    <rPh sb="3" eb="4">
      <t>タカシ</t>
    </rPh>
    <phoneticPr fontId="1"/>
  </si>
  <si>
    <r>
      <rPr>
        <sz val="11"/>
        <rFont val="游ゴシック Medium"/>
        <family val="3"/>
        <charset val="128"/>
      </rPr>
      <t>それでも医者にお産をまかせますか？</t>
    </r>
    <rPh sb="4" eb="6">
      <t>イシャ</t>
    </rPh>
    <rPh sb="8" eb="9">
      <t>サン</t>
    </rPh>
    <phoneticPr fontId="1"/>
  </si>
  <si>
    <r>
      <rPr>
        <strike/>
        <sz val="11"/>
        <rFont val="游ゴシック Medium"/>
        <family val="3"/>
        <charset val="128"/>
      </rPr>
      <t>実用書</t>
    </r>
    <rPh sb="0" eb="3">
      <t>ジツヨウショ</t>
    </rPh>
    <phoneticPr fontId="1"/>
  </si>
  <si>
    <r>
      <rPr>
        <strike/>
        <sz val="11"/>
        <rFont val="游ゴシック Medium"/>
        <family val="3"/>
        <charset val="128"/>
      </rPr>
      <t>子どもを叱る前に読む本</t>
    </r>
    <rPh sb="0" eb="1">
      <t>コ</t>
    </rPh>
    <rPh sb="4" eb="5">
      <t>シカ</t>
    </rPh>
    <rPh sb="6" eb="7">
      <t>マエ</t>
    </rPh>
    <rPh sb="8" eb="9">
      <t>ヨ</t>
    </rPh>
    <rPh sb="10" eb="11">
      <t>ホン</t>
    </rPh>
    <phoneticPr fontId="1"/>
  </si>
  <si>
    <r>
      <rPr>
        <strike/>
        <sz val="11"/>
        <rFont val="游ゴシック Medium"/>
        <family val="3"/>
        <charset val="128"/>
      </rPr>
      <t>神山姫余に贈与</t>
    </r>
    <rPh sb="0" eb="2">
      <t>カミヤマ</t>
    </rPh>
    <rPh sb="2" eb="4">
      <t>ヒメヨ</t>
    </rPh>
    <rPh sb="5" eb="7">
      <t>ゾウヨ</t>
    </rPh>
    <phoneticPr fontId="1"/>
  </si>
  <si>
    <r>
      <rPr>
        <sz val="11"/>
        <rFont val="游ゴシック Medium"/>
        <family val="3"/>
        <charset val="128"/>
      </rPr>
      <t>女性の医学</t>
    </r>
    <rPh sb="0" eb="2">
      <t>ジョセイ</t>
    </rPh>
    <rPh sb="3" eb="5">
      <t>イガク</t>
    </rPh>
    <phoneticPr fontId="1"/>
  </si>
  <si>
    <r>
      <rPr>
        <sz val="11"/>
        <rFont val="游ゴシック Medium"/>
        <family val="3"/>
        <charset val="128"/>
      </rPr>
      <t>中村理英子</t>
    </r>
    <rPh sb="0" eb="2">
      <t>ナカムラ</t>
    </rPh>
    <rPh sb="2" eb="5">
      <t>リエコ</t>
    </rPh>
    <phoneticPr fontId="1"/>
  </si>
  <si>
    <r>
      <rPr>
        <sz val="11"/>
        <rFont val="游ゴシック Medium"/>
        <family val="3"/>
        <charset val="128"/>
      </rPr>
      <t>監修</t>
    </r>
    <r>
      <rPr>
        <sz val="11"/>
        <rFont val="Consolas"/>
        <family val="3"/>
      </rPr>
      <t>:</t>
    </r>
    <r>
      <rPr>
        <sz val="11"/>
        <rFont val="游ゴシック Medium"/>
        <family val="3"/>
        <charset val="128"/>
      </rPr>
      <t>中村クリニック院長</t>
    </r>
    <rPh sb="0" eb="2">
      <t>カンシュウ</t>
    </rPh>
    <rPh sb="3" eb="5">
      <t>ナカムラ</t>
    </rPh>
    <rPh sb="10" eb="12">
      <t>インチョウ</t>
    </rPh>
    <phoneticPr fontId="1"/>
  </si>
  <si>
    <r>
      <rPr>
        <sz val="11"/>
        <rFont val="游ゴシック Medium"/>
        <family val="3"/>
        <charset val="128"/>
      </rPr>
      <t>よくわかる</t>
    </r>
    <r>
      <rPr>
        <sz val="11"/>
        <rFont val="Consolas"/>
        <family val="3"/>
      </rPr>
      <t xml:space="preserve"> </t>
    </r>
    <r>
      <rPr>
        <sz val="11"/>
        <rFont val="游ゴシック Medium"/>
        <family val="3"/>
        <charset val="128"/>
      </rPr>
      <t>女性の医学</t>
    </r>
    <rPh sb="6" eb="8">
      <t>ジョセイ</t>
    </rPh>
    <rPh sb="9" eb="11">
      <t>イガク</t>
    </rPh>
    <phoneticPr fontId="1"/>
  </si>
  <si>
    <r>
      <t>for your health, beauty and joyful life/</t>
    </r>
    <r>
      <rPr>
        <sz val="11"/>
        <rFont val="游ゴシック Medium"/>
        <family val="3"/>
        <charset val="128"/>
      </rPr>
      <t>気になる症状に</t>
    </r>
    <r>
      <rPr>
        <sz val="11"/>
        <rFont val="Consolas"/>
        <family val="3"/>
      </rPr>
      <t>/</t>
    </r>
    <r>
      <rPr>
        <sz val="11"/>
        <rFont val="游ゴシック Medium"/>
        <family val="3"/>
        <charset val="128"/>
      </rPr>
      <t>ヨガ・ツボ</t>
    </r>
    <r>
      <rPr>
        <sz val="11"/>
        <rFont val="Consolas"/>
        <family val="3"/>
      </rPr>
      <t>/</t>
    </r>
    <r>
      <rPr>
        <sz val="11"/>
        <rFont val="游ゴシック Medium"/>
        <family val="3"/>
        <charset val="128"/>
      </rPr>
      <t>入浴・食事</t>
    </r>
    <r>
      <rPr>
        <sz val="11"/>
        <rFont val="Consolas"/>
        <family val="3"/>
      </rPr>
      <t xml:space="preserve"> </t>
    </r>
    <r>
      <rPr>
        <sz val="11"/>
        <rFont val="游ゴシック Medium"/>
        <family val="3"/>
        <charset val="128"/>
      </rPr>
      <t>など</t>
    </r>
    <r>
      <rPr>
        <sz val="11"/>
        <rFont val="Consolas"/>
        <family val="3"/>
      </rPr>
      <t>/</t>
    </r>
    <r>
      <rPr>
        <sz val="11"/>
        <rFont val="游ゴシック Medium"/>
        <family val="3"/>
        <charset val="128"/>
      </rPr>
      <t>かんたんケア方法</t>
    </r>
    <r>
      <rPr>
        <sz val="11"/>
        <rFont val="Consolas"/>
        <family val="3"/>
      </rPr>
      <t>/</t>
    </r>
    <r>
      <rPr>
        <sz val="11"/>
        <rFont val="游ゴシック Medium"/>
        <family val="3"/>
        <charset val="128"/>
      </rPr>
      <t>つき</t>
    </r>
    <rPh sb="40" eb="41">
      <t>キ</t>
    </rPh>
    <rPh sb="44" eb="46">
      <t>ショウジョウ</t>
    </rPh>
    <rPh sb="54" eb="56">
      <t>ニュウヨク</t>
    </rPh>
    <rPh sb="57" eb="59">
      <t>ショクジ</t>
    </rPh>
    <rPh sb="69" eb="71">
      <t>ホウホウ</t>
    </rPh>
    <phoneticPr fontId="1"/>
  </si>
  <si>
    <r>
      <rPr>
        <sz val="11"/>
        <rFont val="游ゴシック Medium"/>
        <family val="3"/>
        <charset val="128"/>
      </rPr>
      <t>西東社</t>
    </r>
    <rPh sb="0" eb="2">
      <t>サイトウ</t>
    </rPh>
    <rPh sb="2" eb="3">
      <t>シャ</t>
    </rPh>
    <phoneticPr fontId="1"/>
  </si>
  <si>
    <r>
      <rPr>
        <sz val="11"/>
        <rFont val="游ゴシック Medium"/>
        <family val="3"/>
        <charset val="128"/>
      </rPr>
      <t>旭屋書店</t>
    </r>
    <rPh sb="0" eb="4">
      <t>アサヒヤショテン</t>
    </rPh>
    <phoneticPr fontId="1"/>
  </si>
  <si>
    <r>
      <rPr>
        <sz val="11"/>
        <rFont val="游ゴシック Medium"/>
        <family val="3"/>
        <charset val="128"/>
      </rPr>
      <t>心筋梗塞</t>
    </r>
    <rPh sb="0" eb="2">
      <t>シンキン</t>
    </rPh>
    <rPh sb="2" eb="4">
      <t>コウソク</t>
    </rPh>
    <phoneticPr fontId="1"/>
  </si>
  <si>
    <r>
      <rPr>
        <sz val="11"/>
        <rFont val="游ゴシック Medium"/>
        <family val="3"/>
        <charset val="128"/>
      </rPr>
      <t>成人病</t>
    </r>
    <r>
      <rPr>
        <sz val="11"/>
        <rFont val="Consolas"/>
        <family val="3"/>
      </rPr>
      <t>(</t>
    </r>
    <r>
      <rPr>
        <sz val="11"/>
        <rFont val="游ゴシック Medium"/>
        <family val="3"/>
        <charset val="128"/>
      </rPr>
      <t>生活習慣病</t>
    </r>
    <r>
      <rPr>
        <sz val="11"/>
        <rFont val="Consolas"/>
        <family val="3"/>
      </rPr>
      <t>)</t>
    </r>
    <r>
      <rPr>
        <sz val="11"/>
        <rFont val="游ゴシック Medium"/>
        <family val="3"/>
        <charset val="128"/>
      </rPr>
      <t>ガイド</t>
    </r>
    <rPh sb="0" eb="3">
      <t>セイジンビョウ</t>
    </rPh>
    <rPh sb="4" eb="6">
      <t>セイカツ</t>
    </rPh>
    <rPh sb="6" eb="8">
      <t>シュウカン</t>
    </rPh>
    <rPh sb="8" eb="9">
      <t>ビョウ</t>
    </rPh>
    <phoneticPr fontId="1"/>
  </si>
  <si>
    <r>
      <rPr>
        <sz val="11"/>
        <rFont val="游ゴシック Medium"/>
        <family val="3"/>
        <charset val="128"/>
      </rPr>
      <t>三井生命厚生事業団</t>
    </r>
    <r>
      <rPr>
        <sz val="11"/>
        <rFont val="Consolas"/>
        <family val="3"/>
      </rPr>
      <t>/</t>
    </r>
    <r>
      <rPr>
        <sz val="11"/>
        <rFont val="游ゴシック Medium"/>
        <family val="3"/>
        <charset val="128"/>
      </rPr>
      <t>財団法人</t>
    </r>
    <r>
      <rPr>
        <sz val="11"/>
        <rFont val="Consolas"/>
        <family val="3"/>
      </rPr>
      <t>,</t>
    </r>
    <r>
      <rPr>
        <sz val="11"/>
        <rFont val="游ゴシック Medium"/>
        <family val="3"/>
        <charset val="128"/>
      </rPr>
      <t>毎日新聞社</t>
    </r>
    <r>
      <rPr>
        <sz val="11"/>
        <rFont val="Consolas"/>
        <family val="3"/>
      </rPr>
      <t>:</t>
    </r>
    <r>
      <rPr>
        <sz val="11"/>
        <rFont val="游ゴシック Medium"/>
        <family val="3"/>
        <charset val="128"/>
      </rPr>
      <t>協力</t>
    </r>
    <rPh sb="0" eb="2">
      <t>ミツイ</t>
    </rPh>
    <rPh sb="2" eb="4">
      <t>セイメイ</t>
    </rPh>
    <rPh sb="4" eb="6">
      <t>コウセイ</t>
    </rPh>
    <rPh sb="6" eb="9">
      <t>ジギョウダン</t>
    </rPh>
    <rPh sb="10" eb="14">
      <t>ザイダンホウジン</t>
    </rPh>
    <rPh sb="15" eb="17">
      <t>マイニチ</t>
    </rPh>
    <rPh sb="17" eb="20">
      <t>シンブンシャ</t>
    </rPh>
    <rPh sb="21" eb="23">
      <t>キョウリョク</t>
    </rPh>
    <phoneticPr fontId="1"/>
  </si>
  <si>
    <r>
      <rPr>
        <sz val="11"/>
        <rFont val="游ゴシック Medium"/>
        <family val="3"/>
        <charset val="128"/>
      </rPr>
      <t>薬局</t>
    </r>
    <rPh sb="0" eb="2">
      <t>ヤッキョク</t>
    </rPh>
    <phoneticPr fontId="1"/>
  </si>
  <si>
    <r>
      <rPr>
        <sz val="11"/>
        <rFont val="游ゴシック Medium"/>
        <family val="3"/>
        <charset val="128"/>
      </rPr>
      <t>脳卒中</t>
    </r>
    <rPh sb="0" eb="3">
      <t>ノウソッチュウ</t>
    </rPh>
    <phoneticPr fontId="1"/>
  </si>
  <si>
    <r>
      <rPr>
        <sz val="11"/>
        <rFont val="游ゴシック Medium"/>
        <family val="3"/>
        <charset val="128"/>
      </rPr>
      <t>関節炎</t>
    </r>
    <rPh sb="0" eb="3">
      <t>カンセツエン</t>
    </rPh>
    <phoneticPr fontId="1"/>
  </si>
  <si>
    <r>
      <rPr>
        <sz val="11"/>
        <rFont val="游ゴシック Medium"/>
        <family val="3"/>
        <charset val="128"/>
      </rPr>
      <t>子宮がん</t>
    </r>
    <rPh sb="0" eb="2">
      <t>シキュウ</t>
    </rPh>
    <phoneticPr fontId="1"/>
  </si>
  <si>
    <r>
      <rPr>
        <sz val="11"/>
        <rFont val="游ゴシック Medium"/>
        <family val="3"/>
        <charset val="128"/>
      </rPr>
      <t>大腸の癌</t>
    </r>
    <rPh sb="0" eb="2">
      <t>ダイチョウ</t>
    </rPh>
    <rPh sb="3" eb="4">
      <t>ガン</t>
    </rPh>
    <phoneticPr fontId="1"/>
  </si>
  <si>
    <r>
      <rPr>
        <sz val="11"/>
        <rFont val="游ゴシック Medium"/>
        <family val="3"/>
        <charset val="128"/>
      </rPr>
      <t>甲状腺の病気</t>
    </r>
    <rPh sb="0" eb="3">
      <t>コウジョウセン</t>
    </rPh>
    <rPh sb="4" eb="6">
      <t>ビョウキ</t>
    </rPh>
    <phoneticPr fontId="1"/>
  </si>
  <si>
    <r>
      <rPr>
        <sz val="11"/>
        <rFont val="游ゴシック Medium"/>
        <family val="3"/>
        <charset val="128"/>
      </rPr>
      <t>更年期障害</t>
    </r>
    <rPh sb="0" eb="3">
      <t>コウネンキ</t>
    </rPh>
    <rPh sb="3" eb="5">
      <t>ショウガイ</t>
    </rPh>
    <phoneticPr fontId="1"/>
  </si>
  <si>
    <r>
      <rPr>
        <sz val="11"/>
        <rFont val="游ゴシック Medium"/>
        <family val="3"/>
        <charset val="128"/>
      </rPr>
      <t>白血病</t>
    </r>
    <rPh sb="0" eb="3">
      <t>ハッケツビョウ</t>
    </rPh>
    <phoneticPr fontId="1"/>
  </si>
  <si>
    <r>
      <rPr>
        <sz val="11"/>
        <rFont val="游ゴシック Medium"/>
        <family val="3"/>
        <charset val="128"/>
      </rPr>
      <t>痔疾</t>
    </r>
    <rPh sb="0" eb="2">
      <t>ヂシツ</t>
    </rPh>
    <phoneticPr fontId="1"/>
  </si>
  <si>
    <r>
      <rPr>
        <sz val="11"/>
        <rFont val="游ゴシック Medium"/>
        <family val="3"/>
        <charset val="128"/>
      </rPr>
      <t>貧血</t>
    </r>
    <rPh sb="0" eb="2">
      <t>ヒンケツ</t>
    </rPh>
    <phoneticPr fontId="1"/>
  </si>
  <si>
    <r>
      <rPr>
        <sz val="11"/>
        <rFont val="游ゴシック Medium"/>
        <family val="3"/>
        <charset val="128"/>
      </rPr>
      <t>高年者の精神障害</t>
    </r>
    <rPh sb="0" eb="3">
      <t>コウネンシャ</t>
    </rPh>
    <rPh sb="4" eb="6">
      <t>セイシン</t>
    </rPh>
    <rPh sb="6" eb="8">
      <t>ショウガイ</t>
    </rPh>
    <phoneticPr fontId="1"/>
  </si>
  <si>
    <r>
      <rPr>
        <sz val="11"/>
        <rFont val="游ゴシック Medium"/>
        <family val="3"/>
        <charset val="128"/>
      </rPr>
      <t>心臓弁膜症</t>
    </r>
    <rPh sb="0" eb="2">
      <t>シンゾウ</t>
    </rPh>
    <rPh sb="2" eb="5">
      <t>ベンマクショウ</t>
    </rPh>
    <phoneticPr fontId="1"/>
  </si>
  <si>
    <r>
      <rPr>
        <sz val="11"/>
        <rFont val="游ゴシック Medium"/>
        <family val="3"/>
        <charset val="128"/>
      </rPr>
      <t>心不全</t>
    </r>
    <rPh sb="0" eb="3">
      <t>シンフゼン</t>
    </rPh>
    <phoneticPr fontId="1"/>
  </si>
  <si>
    <r>
      <rPr>
        <sz val="11"/>
        <rFont val="游ゴシック Medium"/>
        <family val="3"/>
        <charset val="128"/>
      </rPr>
      <t>不整脈</t>
    </r>
    <rPh sb="0" eb="3">
      <t>フセイミャク</t>
    </rPh>
    <phoneticPr fontId="1"/>
  </si>
  <si>
    <r>
      <rPr>
        <sz val="11"/>
        <rFont val="游ゴシック Medium"/>
        <family val="3"/>
        <charset val="128"/>
      </rPr>
      <t>不眠症と睡眠薬</t>
    </r>
    <rPh sb="0" eb="3">
      <t>フミンショウ</t>
    </rPh>
    <rPh sb="4" eb="7">
      <t>スイミンヤク</t>
    </rPh>
    <phoneticPr fontId="1"/>
  </si>
  <si>
    <r>
      <rPr>
        <sz val="11"/>
        <rFont val="游ゴシック Medium"/>
        <family val="3"/>
        <charset val="128"/>
      </rPr>
      <t>狭心症</t>
    </r>
    <rPh sb="0" eb="3">
      <t>キョウシンショウ</t>
    </rPh>
    <phoneticPr fontId="1"/>
  </si>
  <si>
    <r>
      <rPr>
        <sz val="11"/>
        <rFont val="游ゴシック Medium"/>
        <family val="3"/>
        <charset val="128"/>
      </rPr>
      <t>子宮筋腫</t>
    </r>
    <rPh sb="0" eb="2">
      <t>シキュウ</t>
    </rPh>
    <rPh sb="2" eb="4">
      <t>キンシュ</t>
    </rPh>
    <phoneticPr fontId="1"/>
  </si>
  <si>
    <r>
      <rPr>
        <sz val="11"/>
        <rFont val="游ゴシック Medium"/>
        <family val="3"/>
        <charset val="128"/>
      </rPr>
      <t>老人性難聴</t>
    </r>
    <rPh sb="0" eb="3">
      <t>ロウジンセイ</t>
    </rPh>
    <rPh sb="3" eb="5">
      <t>ナンチョウ</t>
    </rPh>
    <phoneticPr fontId="1"/>
  </si>
  <si>
    <r>
      <rPr>
        <sz val="11"/>
        <rFont val="游ゴシック Medium"/>
        <family val="3"/>
        <charset val="128"/>
      </rPr>
      <t>便秘とその対策</t>
    </r>
    <rPh sb="0" eb="2">
      <t>ベンピ</t>
    </rPh>
    <rPh sb="5" eb="7">
      <t>タイサク</t>
    </rPh>
    <phoneticPr fontId="1"/>
  </si>
  <si>
    <r>
      <rPr>
        <sz val="11"/>
        <rFont val="游ゴシック Medium"/>
        <family val="3"/>
        <charset val="128"/>
      </rPr>
      <t>脳腫瘍</t>
    </r>
    <rPh sb="0" eb="3">
      <t>ノウシュヨウ</t>
    </rPh>
    <phoneticPr fontId="1"/>
  </si>
  <si>
    <r>
      <rPr>
        <sz val="11"/>
        <rFont val="游ゴシック Medium"/>
        <family val="3"/>
        <charset val="128"/>
      </rPr>
      <t>吐血と下血</t>
    </r>
    <rPh sb="0" eb="2">
      <t>トケツ</t>
    </rPh>
    <rPh sb="3" eb="5">
      <t>ゲケツ</t>
    </rPh>
    <phoneticPr fontId="1"/>
  </si>
  <si>
    <r>
      <rPr>
        <sz val="11"/>
        <rFont val="游ゴシック Medium"/>
        <family val="3"/>
        <charset val="128"/>
      </rPr>
      <t>大動脈瘤とその破裂</t>
    </r>
    <rPh sb="0" eb="4">
      <t>ダイドウミャクリュウ</t>
    </rPh>
    <rPh sb="7" eb="9">
      <t>ハレツ</t>
    </rPh>
    <phoneticPr fontId="1"/>
  </si>
  <si>
    <r>
      <rPr>
        <sz val="11"/>
        <rFont val="游ゴシック Medium"/>
        <family val="3"/>
        <charset val="128"/>
      </rPr>
      <t>めまい</t>
    </r>
    <phoneticPr fontId="1"/>
  </si>
  <si>
    <r>
      <rPr>
        <sz val="11"/>
        <rFont val="游ゴシック Medium"/>
        <family val="3"/>
        <charset val="128"/>
      </rPr>
      <t>五十肩と頸肩腕症候群</t>
    </r>
    <rPh sb="0" eb="3">
      <t>ゴジュウカタ</t>
    </rPh>
    <rPh sb="4" eb="7">
      <t>ケイケンワン</t>
    </rPh>
    <rPh sb="7" eb="10">
      <t>ショウコウグン</t>
    </rPh>
    <phoneticPr fontId="1"/>
  </si>
  <si>
    <r>
      <rPr>
        <sz val="11"/>
        <rFont val="游ゴシック Medium"/>
        <family val="3"/>
        <charset val="128"/>
      </rPr>
      <t>アレルギー性鼻炎</t>
    </r>
    <rPh sb="5" eb="6">
      <t>セイ</t>
    </rPh>
    <rPh sb="6" eb="8">
      <t>ビエン</t>
    </rPh>
    <phoneticPr fontId="1"/>
  </si>
  <si>
    <r>
      <rPr>
        <sz val="11"/>
        <rFont val="游ゴシック Medium"/>
        <family val="3"/>
        <charset val="128"/>
      </rPr>
      <t>頭痛</t>
    </r>
    <rPh sb="0" eb="2">
      <t>ズツウ</t>
    </rPh>
    <phoneticPr fontId="1"/>
  </si>
  <si>
    <r>
      <rPr>
        <sz val="11"/>
        <rFont val="游ゴシック Medium"/>
        <family val="3"/>
        <charset val="128"/>
      </rPr>
      <t>山田</t>
    </r>
    <r>
      <rPr>
        <sz val="11"/>
        <rFont val="Consolas"/>
        <family val="3"/>
      </rPr>
      <t xml:space="preserve"> </t>
    </r>
    <r>
      <rPr>
        <sz val="11"/>
        <rFont val="游ゴシック Medium"/>
        <family val="3"/>
        <charset val="128"/>
      </rPr>
      <t>均</t>
    </r>
    <rPh sb="0" eb="2">
      <t>ヤマダ</t>
    </rPh>
    <rPh sb="3" eb="4">
      <t>ヒトシ</t>
    </rPh>
    <phoneticPr fontId="1"/>
  </si>
  <si>
    <r>
      <t>Thaii</t>
    </r>
    <r>
      <rPr>
        <sz val="11"/>
        <rFont val="游ゴシック Medium"/>
        <family val="3"/>
        <charset val="128"/>
      </rPr>
      <t>こだわり生活図鑑</t>
    </r>
    <rPh sb="0" eb="5">
      <t>タイ</t>
    </rPh>
    <rPh sb="9" eb="11">
      <t>セイカツ</t>
    </rPh>
    <rPh sb="11" eb="13">
      <t>ズカン</t>
    </rPh>
    <phoneticPr fontId="1"/>
  </si>
  <si>
    <r>
      <t>Asia Culture Guide</t>
    </r>
    <r>
      <rPr>
        <sz val="11"/>
        <rFont val="游ゴシック Medium"/>
        <family val="3"/>
        <charset val="128"/>
      </rPr>
      <t>①</t>
    </r>
    <rPh sb="0" eb="4">
      <t>アジア</t>
    </rPh>
    <rPh sb="5" eb="18">
      <t>カルチャー　ガイド</t>
    </rPh>
    <phoneticPr fontId="1"/>
  </si>
  <si>
    <r>
      <rPr>
        <sz val="11"/>
        <rFont val="游ゴシック Medium"/>
        <family val="3"/>
        <charset val="128"/>
      </rPr>
      <t>葭原麻衣</t>
    </r>
    <rPh sb="0" eb="2">
      <t>ヨシハラ</t>
    </rPh>
    <rPh sb="2" eb="4">
      <t>マイ</t>
    </rPh>
    <phoneticPr fontId="1"/>
  </si>
  <si>
    <r>
      <t>Singapour</t>
    </r>
    <r>
      <rPr>
        <sz val="11"/>
        <rFont val="游ゴシック Medium"/>
        <family val="3"/>
        <charset val="128"/>
      </rPr>
      <t>路地裏百貨</t>
    </r>
    <rPh sb="0" eb="9">
      <t>シンガポール</t>
    </rPh>
    <rPh sb="9" eb="12">
      <t>ロジウラ</t>
    </rPh>
    <rPh sb="12" eb="14">
      <t>ヒャッカ</t>
    </rPh>
    <phoneticPr fontId="1"/>
  </si>
  <si>
    <r>
      <t>Asia Culture Guide</t>
    </r>
    <r>
      <rPr>
        <sz val="11"/>
        <rFont val="游ゴシック Medium"/>
        <family val="3"/>
        <charset val="128"/>
      </rPr>
      <t>②</t>
    </r>
    <rPh sb="0" eb="4">
      <t>アジア</t>
    </rPh>
    <rPh sb="5" eb="18">
      <t>カルチャー　ガイド</t>
    </rPh>
    <phoneticPr fontId="1"/>
  </si>
  <si>
    <r>
      <rPr>
        <sz val="11"/>
        <rFont val="游ゴシック Medium"/>
        <family val="3"/>
        <charset val="128"/>
      </rPr>
      <t>佐藤明美</t>
    </r>
    <rPh sb="0" eb="2">
      <t>サトウ</t>
    </rPh>
    <rPh sb="2" eb="4">
      <t>アケミ</t>
    </rPh>
    <phoneticPr fontId="1"/>
  </si>
  <si>
    <r>
      <t>Bali</t>
    </r>
    <r>
      <rPr>
        <sz val="11"/>
        <rFont val="游ゴシック Medium"/>
        <family val="3"/>
        <charset val="128"/>
      </rPr>
      <t>島じゃらんじゃらん</t>
    </r>
    <rPh sb="0" eb="5">
      <t>バリトウ</t>
    </rPh>
    <phoneticPr fontId="1"/>
  </si>
  <si>
    <r>
      <t>Asia Culture Guide</t>
    </r>
    <r>
      <rPr>
        <sz val="11"/>
        <rFont val="游ゴシック Medium"/>
        <family val="3"/>
        <charset val="128"/>
      </rPr>
      <t>③</t>
    </r>
    <rPh sb="0" eb="4">
      <t>アジア</t>
    </rPh>
    <rPh sb="5" eb="18">
      <t>カルチャー　ガイド</t>
    </rPh>
    <phoneticPr fontId="1"/>
  </si>
  <si>
    <r>
      <rPr>
        <sz val="11"/>
        <rFont val="游ゴシック Medium"/>
        <family val="3"/>
        <charset val="128"/>
      </rPr>
      <t>大西陽一</t>
    </r>
    <r>
      <rPr>
        <sz val="11"/>
        <rFont val="Consolas"/>
        <family val="3"/>
      </rPr>
      <t>+</t>
    </r>
    <r>
      <rPr>
        <sz val="11"/>
        <rFont val="游ゴシック Medium"/>
        <family val="3"/>
        <charset val="128"/>
      </rPr>
      <t>後藤桂子</t>
    </r>
    <rPh sb="0" eb="2">
      <t>オオニシ</t>
    </rPh>
    <rPh sb="2" eb="4">
      <t>ヨウイチ</t>
    </rPh>
    <rPh sb="5" eb="7">
      <t>ゴトウ</t>
    </rPh>
    <rPh sb="7" eb="9">
      <t>ケイコ</t>
    </rPh>
    <phoneticPr fontId="1"/>
  </si>
  <si>
    <r>
      <rPr>
        <sz val="11"/>
        <rFont val="游ゴシック Medium"/>
        <family val="3"/>
        <charset val="128"/>
      </rPr>
      <t>香港がらくた</t>
    </r>
    <r>
      <rPr>
        <sz val="11"/>
        <rFont val="Consolas"/>
        <family val="3"/>
      </rPr>
      <t>Note</t>
    </r>
    <rPh sb="0" eb="2">
      <t>ホンコン</t>
    </rPh>
    <rPh sb="6" eb="10">
      <t>ノート</t>
    </rPh>
    <phoneticPr fontId="1"/>
  </si>
  <si>
    <r>
      <t>Asia Culture Guide</t>
    </r>
    <r>
      <rPr>
        <sz val="11"/>
        <rFont val="游ゴシック Medium"/>
        <family val="3"/>
        <charset val="128"/>
      </rPr>
      <t>⑤</t>
    </r>
    <rPh sb="0" eb="4">
      <t>アジア</t>
    </rPh>
    <rPh sb="5" eb="18">
      <t>カルチャー　ガイド</t>
    </rPh>
    <phoneticPr fontId="1"/>
  </si>
  <si>
    <r>
      <rPr>
        <sz val="11"/>
        <rFont val="游ゴシック Medium"/>
        <family val="3"/>
        <charset val="128"/>
      </rPr>
      <t>下川裕治</t>
    </r>
    <rPh sb="0" eb="2">
      <t>シモカワ</t>
    </rPh>
    <rPh sb="2" eb="4">
      <t>ユウジ</t>
    </rPh>
    <phoneticPr fontId="1"/>
  </si>
  <si>
    <r>
      <rPr>
        <sz val="11"/>
        <rFont val="游ゴシック Medium"/>
        <family val="3"/>
        <charset val="128"/>
      </rPr>
      <t>責任編集</t>
    </r>
    <rPh sb="0" eb="2">
      <t>セキニン</t>
    </rPh>
    <rPh sb="2" eb="4">
      <t>ヘンシュウ</t>
    </rPh>
    <phoneticPr fontId="1"/>
  </si>
  <si>
    <r>
      <rPr>
        <sz val="11"/>
        <rFont val="游ゴシック Medium"/>
        <family val="3"/>
        <charset val="128"/>
      </rPr>
      <t>好きになっちゃった</t>
    </r>
    <r>
      <rPr>
        <sz val="11"/>
        <rFont val="Consolas"/>
        <family val="3"/>
      </rPr>
      <t>Bali/</t>
    </r>
    <r>
      <rPr>
        <sz val="11"/>
        <rFont val="游ゴシック Medium"/>
        <family val="3"/>
        <charset val="128"/>
      </rPr>
      <t>不思議島ドタバタ見聞録</t>
    </r>
    <rPh sb="0" eb="1">
      <t>ス</t>
    </rPh>
    <rPh sb="9" eb="13">
      <t>バリ</t>
    </rPh>
    <rPh sb="14" eb="17">
      <t>フシギ</t>
    </rPh>
    <rPh sb="17" eb="18">
      <t>トウ</t>
    </rPh>
    <rPh sb="22" eb="24">
      <t>ケンブン</t>
    </rPh>
    <rPh sb="24" eb="25">
      <t>ロク</t>
    </rPh>
    <phoneticPr fontId="1"/>
  </si>
  <si>
    <r>
      <t>Asia</t>
    </r>
    <r>
      <rPr>
        <sz val="11"/>
        <rFont val="游ゴシック Medium"/>
        <family val="3"/>
        <charset val="128"/>
      </rPr>
      <t>楽園マニュアル</t>
    </r>
    <rPh sb="4" eb="6">
      <t>ラクエン</t>
    </rPh>
    <phoneticPr fontId="1"/>
  </si>
  <si>
    <r>
      <rPr>
        <sz val="11"/>
        <rFont val="游ゴシック Medium"/>
        <family val="3"/>
        <charset val="128"/>
      </rPr>
      <t>双葉社</t>
    </r>
    <rPh sb="0" eb="3">
      <t>フタバシャ</t>
    </rPh>
    <phoneticPr fontId="1"/>
  </si>
  <si>
    <r>
      <rPr>
        <sz val="11"/>
        <rFont val="游ゴシック Medium"/>
        <family val="3"/>
        <charset val="128"/>
      </rPr>
      <t>スティア</t>
    </r>
    <r>
      <rPr>
        <sz val="11"/>
        <rFont val="Consolas"/>
        <family val="3"/>
      </rPr>
      <t>,</t>
    </r>
    <r>
      <rPr>
        <sz val="11"/>
        <rFont val="游ゴシック Medium"/>
        <family val="3"/>
        <charset val="128"/>
      </rPr>
      <t>プトゥ</t>
    </r>
    <phoneticPr fontId="1"/>
  </si>
  <si>
    <r>
      <rPr>
        <sz val="11"/>
        <rFont val="游ゴシック Medium"/>
        <family val="3"/>
        <charset val="128"/>
      </rPr>
      <t>鏡味治也</t>
    </r>
    <r>
      <rPr>
        <sz val="11"/>
        <rFont val="Consolas"/>
        <family val="3"/>
      </rPr>
      <t>+</t>
    </r>
    <r>
      <rPr>
        <sz val="11"/>
        <rFont val="游ゴシック Medium"/>
        <family val="3"/>
        <charset val="128"/>
      </rPr>
      <t>中村</t>
    </r>
    <r>
      <rPr>
        <sz val="11"/>
        <rFont val="Consolas"/>
        <family val="3"/>
      </rPr>
      <t xml:space="preserve"> </t>
    </r>
    <r>
      <rPr>
        <sz val="11"/>
        <rFont val="游ゴシック Medium"/>
        <family val="3"/>
        <charset val="128"/>
      </rPr>
      <t>潔</t>
    </r>
    <rPh sb="0" eb="2">
      <t>カガミ</t>
    </rPh>
    <rPh sb="2" eb="4">
      <t>ハルヤ</t>
    </rPh>
    <rPh sb="5" eb="7">
      <t>ナカムラ</t>
    </rPh>
    <rPh sb="8" eb="9">
      <t>キヨシ</t>
    </rPh>
    <phoneticPr fontId="1"/>
  </si>
  <si>
    <r>
      <rPr>
        <sz val="10"/>
        <rFont val="游ゴシック Medium"/>
        <family val="3"/>
        <charset val="128"/>
      </rPr>
      <t>プトゥ･スティアの</t>
    </r>
    <r>
      <rPr>
        <sz val="11"/>
        <rFont val="Consolas"/>
        <family val="3"/>
      </rPr>
      <t>Bali</t>
    </r>
    <r>
      <rPr>
        <sz val="11"/>
        <rFont val="游ゴシック Medium"/>
        <family val="3"/>
        <charset val="128"/>
      </rPr>
      <t>案内</t>
    </r>
    <rPh sb="9" eb="13">
      <t>バリ</t>
    </rPh>
    <rPh sb="13" eb="15">
      <t>アンナイ</t>
    </rPh>
    <phoneticPr fontId="1"/>
  </si>
  <si>
    <r>
      <rPr>
        <sz val="11"/>
        <rFont val="游ゴシック Medium"/>
        <family val="3"/>
        <charset val="128"/>
      </rPr>
      <t>木犀社</t>
    </r>
    <rPh sb="0" eb="2">
      <t>モクセイ</t>
    </rPh>
    <rPh sb="2" eb="3">
      <t>シャ</t>
    </rPh>
    <phoneticPr fontId="1"/>
  </si>
  <si>
    <r>
      <rPr>
        <sz val="11"/>
        <rFont val="游ゴシック Medium"/>
        <family val="3"/>
        <charset val="128"/>
      </rPr>
      <t>東京路線</t>
    </r>
    <r>
      <rPr>
        <sz val="11"/>
        <rFont val="Consolas"/>
        <family val="3"/>
      </rPr>
      <t>Bus</t>
    </r>
    <r>
      <rPr>
        <sz val="11"/>
        <rFont val="游ゴシック Medium"/>
        <family val="3"/>
        <charset val="128"/>
      </rPr>
      <t>の旅</t>
    </r>
    <rPh sb="0" eb="2">
      <t>トウキョウ</t>
    </rPh>
    <rPh sb="2" eb="4">
      <t>ロセン</t>
    </rPh>
    <rPh sb="4" eb="7">
      <t>バス</t>
    </rPh>
    <rPh sb="8" eb="9">
      <t>タビ</t>
    </rPh>
    <phoneticPr fontId="1"/>
  </si>
  <si>
    <r>
      <rPr>
        <sz val="11"/>
        <rFont val="游ゴシック Medium"/>
        <family val="3"/>
        <charset val="128"/>
      </rPr>
      <t>櫻井秀勲</t>
    </r>
    <rPh sb="0" eb="2">
      <t>サクライ</t>
    </rPh>
    <rPh sb="2" eb="4">
      <t>ヒデノリ</t>
    </rPh>
    <phoneticPr fontId="1"/>
  </si>
  <si>
    <r>
      <rPr>
        <sz val="11"/>
        <rFont val="游ゴシック Medium"/>
        <family val="3"/>
        <charset val="128"/>
      </rPr>
      <t>なぜか「男をそそる女」の秘密</t>
    </r>
    <rPh sb="4" eb="5">
      <t>オトコ</t>
    </rPh>
    <rPh sb="9" eb="10">
      <t>オンナ</t>
    </rPh>
    <rPh sb="12" eb="14">
      <t>ヒミツ</t>
    </rPh>
    <phoneticPr fontId="1"/>
  </si>
  <si>
    <r>
      <rPr>
        <sz val="11"/>
        <rFont val="游ゴシック Medium"/>
        <family val="3"/>
        <charset val="128"/>
      </rPr>
      <t>文香社</t>
    </r>
    <rPh sb="0" eb="1">
      <t>ブン</t>
    </rPh>
    <rPh sb="1" eb="2">
      <t>コウ</t>
    </rPh>
    <rPh sb="2" eb="3">
      <t>シャ</t>
    </rPh>
    <phoneticPr fontId="1"/>
  </si>
  <si>
    <r>
      <t>2006/</t>
    </r>
    <r>
      <rPr>
        <sz val="11"/>
        <rFont val="游ゴシック Medium"/>
        <family val="3"/>
        <charset val="128"/>
      </rPr>
      <t>下旬</t>
    </r>
    <rPh sb="5" eb="7">
      <t>ゲジュン</t>
    </rPh>
    <phoneticPr fontId="1"/>
  </si>
  <si>
    <r>
      <rPr>
        <sz val="11"/>
        <rFont val="游ゴシック Medium"/>
        <family val="3"/>
        <charset val="128"/>
      </rPr>
      <t>すっぱ祭り景品</t>
    </r>
    <rPh sb="3" eb="4">
      <t>マツ</t>
    </rPh>
    <rPh sb="5" eb="7">
      <t>ケイヒン</t>
    </rPh>
    <phoneticPr fontId="1"/>
  </si>
  <si>
    <r>
      <t>Bali</t>
    </r>
    <r>
      <rPr>
        <sz val="11"/>
        <rFont val="游ゴシック Medium"/>
        <family val="3"/>
        <charset val="128"/>
      </rPr>
      <t>土産</t>
    </r>
    <rPh sb="0" eb="4">
      <t>バリ</t>
    </rPh>
    <rPh sb="4" eb="6">
      <t>ミヤゲ</t>
    </rPh>
    <phoneticPr fontId="1"/>
  </si>
  <si>
    <r>
      <rPr>
        <sz val="11"/>
        <rFont val="游ゴシック Medium"/>
        <family val="3"/>
        <charset val="128"/>
      </rPr>
      <t>ジャムーもの</t>
    </r>
    <r>
      <rPr>
        <sz val="11"/>
        <rFont val="Consolas"/>
        <family val="3"/>
      </rPr>
      <t>/Ramuan Obat/JJAMU Traditional</t>
    </r>
    <phoneticPr fontId="1"/>
  </si>
  <si>
    <r>
      <rPr>
        <sz val="11"/>
        <rFont val="游ゴシック Medium"/>
        <family val="3"/>
        <charset val="128"/>
      </rPr>
      <t>ジャムーもの</t>
    </r>
    <r>
      <rPr>
        <sz val="11"/>
        <rFont val="Consolas"/>
        <family val="3"/>
      </rPr>
      <t>/Ramuan Obat Kuno mujarass &amp; GairahSex</t>
    </r>
    <phoneticPr fontId="1"/>
  </si>
  <si>
    <r>
      <rPr>
        <sz val="11"/>
        <rFont val="游ゴシック Medium"/>
        <family val="3"/>
        <charset val="128"/>
      </rPr>
      <t>ジャムーもの</t>
    </r>
    <r>
      <rPr>
        <sz val="11"/>
        <rFont val="Consolas"/>
        <family val="3"/>
      </rPr>
      <t>/Vitalitas Keperkasaan/Obat &amp; Masakan Tradisional Untuk</t>
    </r>
    <phoneticPr fontId="1"/>
  </si>
  <si>
    <r>
      <rPr>
        <sz val="11"/>
        <rFont val="游ゴシック Medium"/>
        <family val="3"/>
        <charset val="128"/>
      </rPr>
      <t>ジャムーもの</t>
    </r>
    <r>
      <rPr>
        <sz val="11"/>
        <rFont val="Consolas"/>
        <family val="3"/>
      </rPr>
      <t>/Ramuan Sorca/Sex &amp; Obat Warisan Leluhur</t>
    </r>
    <phoneticPr fontId="1"/>
  </si>
  <si>
    <r>
      <t>ethnic/subculture/</t>
    </r>
    <r>
      <rPr>
        <sz val="11"/>
        <rFont val="游ゴシック Medium"/>
        <family val="3"/>
        <charset val="128"/>
      </rPr>
      <t>絵本</t>
    </r>
    <rPh sb="18" eb="20">
      <t>エホン</t>
    </rPh>
    <phoneticPr fontId="1"/>
  </si>
  <si>
    <r>
      <rPr>
        <sz val="11"/>
        <rFont val="游ゴシック Medium"/>
        <family val="3"/>
        <charset val="128"/>
      </rPr>
      <t>大野</t>
    </r>
    <r>
      <rPr>
        <sz val="11"/>
        <rFont val="Consolas"/>
        <family val="3"/>
      </rPr>
      <t xml:space="preserve"> </t>
    </r>
    <r>
      <rPr>
        <sz val="11"/>
        <rFont val="游ゴシック Medium"/>
        <family val="3"/>
        <charset val="128"/>
      </rPr>
      <t>進</t>
    </r>
    <rPh sb="0" eb="2">
      <t>オオノ</t>
    </rPh>
    <rPh sb="3" eb="4">
      <t>ススム</t>
    </rPh>
    <phoneticPr fontId="1"/>
  </si>
  <si>
    <r>
      <rPr>
        <sz val="11"/>
        <rFont val="游ゴシック Medium"/>
        <family val="3"/>
        <charset val="128"/>
      </rPr>
      <t>長安周一</t>
    </r>
    <r>
      <rPr>
        <sz val="11"/>
        <rFont val="Consolas"/>
        <family val="3"/>
      </rPr>
      <t>:</t>
    </r>
    <r>
      <rPr>
        <sz val="11"/>
        <rFont val="游ゴシック Medium"/>
        <family val="3"/>
        <charset val="128"/>
      </rPr>
      <t>科学警察研究所特別研究員</t>
    </r>
    <rPh sb="0" eb="2">
      <t>チョウアン</t>
    </rPh>
    <rPh sb="2" eb="4">
      <t>シュウイチ</t>
    </rPh>
    <rPh sb="5" eb="7">
      <t>カガク</t>
    </rPh>
    <rPh sb="7" eb="9">
      <t>ケイサツ</t>
    </rPh>
    <rPh sb="9" eb="12">
      <t>ケンキュウショ</t>
    </rPh>
    <rPh sb="12" eb="14">
      <t>トクベツ</t>
    </rPh>
    <rPh sb="14" eb="17">
      <t>ケンキュウイン</t>
    </rPh>
    <phoneticPr fontId="1"/>
  </si>
  <si>
    <r>
      <rPr>
        <sz val="11"/>
        <rFont val="游ゴシック Medium"/>
        <family val="3"/>
        <charset val="128"/>
      </rPr>
      <t>科学捜査</t>
    </r>
    <r>
      <rPr>
        <sz val="11"/>
        <rFont val="Consolas"/>
        <family val="3"/>
      </rPr>
      <t xml:space="preserve"> </t>
    </r>
    <r>
      <rPr>
        <sz val="11"/>
        <rFont val="游ゴシック Medium"/>
        <family val="3"/>
        <charset val="128"/>
      </rPr>
      <t>あの犯人を追え</t>
    </r>
    <rPh sb="0" eb="2">
      <t>カガク</t>
    </rPh>
    <rPh sb="2" eb="4">
      <t>ソウサ</t>
    </rPh>
    <rPh sb="7" eb="9">
      <t>ハンニン</t>
    </rPh>
    <rPh sb="10" eb="11">
      <t>オ</t>
    </rPh>
    <phoneticPr fontId="1"/>
  </si>
  <si>
    <r>
      <rPr>
        <sz val="11"/>
        <rFont val="游ゴシック Medium"/>
        <family val="3"/>
        <charset val="128"/>
      </rPr>
      <t>ジュニア</t>
    </r>
    <r>
      <rPr>
        <sz val="11"/>
        <rFont val="Consolas"/>
        <family val="3"/>
      </rPr>
      <t xml:space="preserve"> </t>
    </r>
    <r>
      <rPr>
        <sz val="11"/>
        <rFont val="游ゴシック Medium"/>
        <family val="3"/>
        <charset val="128"/>
      </rPr>
      <t>チャンピオン</t>
    </r>
    <r>
      <rPr>
        <sz val="11"/>
        <rFont val="Consolas"/>
        <family val="3"/>
      </rPr>
      <t xml:space="preserve"> </t>
    </r>
    <r>
      <rPr>
        <sz val="11"/>
        <rFont val="游ゴシック Medium"/>
        <family val="3"/>
        <charset val="128"/>
      </rPr>
      <t>コース</t>
    </r>
    <r>
      <rPr>
        <sz val="11"/>
        <rFont val="Consolas"/>
        <family val="3"/>
      </rPr>
      <t xml:space="preserve"> </t>
    </r>
    <r>
      <rPr>
        <sz val="11"/>
        <rFont val="游ゴシック Medium"/>
        <family val="3"/>
        <charset val="128"/>
      </rPr>
      <t>学研カラー版</t>
    </r>
    <r>
      <rPr>
        <sz val="11"/>
        <rFont val="Consolas"/>
        <family val="3"/>
      </rPr>
      <t xml:space="preserve"> NDC 317</t>
    </r>
    <rPh sb="16" eb="18">
      <t>ガッケン</t>
    </rPh>
    <rPh sb="21" eb="22">
      <t>バン</t>
    </rPh>
    <phoneticPr fontId="1"/>
  </si>
  <si>
    <r>
      <rPr>
        <sz val="11"/>
        <rFont val="游ゴシック Medium"/>
        <family val="3"/>
        <charset val="128"/>
      </rPr>
      <t>学習研究社</t>
    </r>
    <rPh sb="0" eb="2">
      <t>ガクシュウ</t>
    </rPh>
    <rPh sb="2" eb="4">
      <t>ケンキュウ</t>
    </rPh>
    <rPh sb="4" eb="5">
      <t>シャ</t>
    </rPh>
    <phoneticPr fontId="1"/>
  </si>
  <si>
    <r>
      <rPr>
        <sz val="11"/>
        <rFont val="游ゴシック Medium"/>
        <family val="3"/>
        <charset val="128"/>
      </rPr>
      <t>秀樹実家</t>
    </r>
    <rPh sb="0" eb="2">
      <t>ヒデキ</t>
    </rPh>
    <rPh sb="2" eb="4">
      <t>ジッカ</t>
    </rPh>
    <phoneticPr fontId="1"/>
  </si>
  <si>
    <r>
      <rPr>
        <sz val="11"/>
        <rFont val="游ゴシック Medium"/>
        <family val="3"/>
        <charset val="128"/>
      </rPr>
      <t>少年時代の秀樹</t>
    </r>
    <rPh sb="0" eb="2">
      <t>ショウネン</t>
    </rPh>
    <rPh sb="2" eb="4">
      <t>ジダイ</t>
    </rPh>
    <rPh sb="5" eb="7">
      <t>ヒデキ</t>
    </rPh>
    <phoneticPr fontId="1"/>
  </si>
  <si>
    <r>
      <rPr>
        <sz val="11"/>
        <rFont val="游ゴシック Medium"/>
        <family val="3"/>
        <charset val="128"/>
      </rPr>
      <t>佐藤有文</t>
    </r>
    <rPh sb="0" eb="2">
      <t>サトウ</t>
    </rPh>
    <rPh sb="2" eb="4">
      <t>アリフミ</t>
    </rPh>
    <phoneticPr fontId="1"/>
  </si>
  <si>
    <r>
      <rPr>
        <sz val="11"/>
        <rFont val="游ゴシック Medium"/>
        <family val="3"/>
        <charset val="128"/>
      </rPr>
      <t>絵ときこわい話</t>
    </r>
    <r>
      <rPr>
        <sz val="11"/>
        <rFont val="Consolas"/>
        <family val="3"/>
      </rPr>
      <t xml:space="preserve"> </t>
    </r>
    <r>
      <rPr>
        <sz val="11"/>
        <rFont val="游ゴシック Medium"/>
        <family val="3"/>
        <charset val="128"/>
      </rPr>
      <t>怪奇ミステリー</t>
    </r>
    <rPh sb="0" eb="1">
      <t>エ</t>
    </rPh>
    <rPh sb="6" eb="7">
      <t>ハナシ</t>
    </rPh>
    <rPh sb="8" eb="10">
      <t>カイキ</t>
    </rPh>
    <phoneticPr fontId="1"/>
  </si>
  <si>
    <r>
      <rPr>
        <sz val="11"/>
        <rFont val="游ゴシック Medium"/>
        <family val="3"/>
        <charset val="128"/>
      </rPr>
      <t>ジュニア</t>
    </r>
    <r>
      <rPr>
        <sz val="11"/>
        <rFont val="Consolas"/>
        <family val="3"/>
      </rPr>
      <t xml:space="preserve"> </t>
    </r>
    <r>
      <rPr>
        <sz val="11"/>
        <rFont val="游ゴシック Medium"/>
        <family val="3"/>
        <charset val="128"/>
      </rPr>
      <t>チャンピオン</t>
    </r>
    <r>
      <rPr>
        <sz val="11"/>
        <rFont val="Consolas"/>
        <family val="3"/>
      </rPr>
      <t xml:space="preserve"> </t>
    </r>
    <r>
      <rPr>
        <sz val="11"/>
        <rFont val="游ゴシック Medium"/>
        <family val="3"/>
        <charset val="128"/>
      </rPr>
      <t>コース</t>
    </r>
    <r>
      <rPr>
        <sz val="11"/>
        <rFont val="Consolas"/>
        <family val="3"/>
      </rPr>
      <t xml:space="preserve"> </t>
    </r>
    <r>
      <rPr>
        <sz val="11"/>
        <rFont val="游ゴシック Medium"/>
        <family val="3"/>
        <charset val="128"/>
      </rPr>
      <t>学研カラー版</t>
    </r>
    <r>
      <rPr>
        <sz val="11"/>
        <rFont val="Consolas"/>
        <family val="3"/>
      </rPr>
      <t xml:space="preserve"> NDC 388</t>
    </r>
    <rPh sb="16" eb="18">
      <t>ガッケン</t>
    </rPh>
    <rPh sb="21" eb="22">
      <t>バン</t>
    </rPh>
    <phoneticPr fontId="1"/>
  </si>
  <si>
    <r>
      <rPr>
        <sz val="11"/>
        <rFont val="游ゴシック Medium"/>
        <family val="3"/>
        <charset val="128"/>
      </rPr>
      <t>日下実男</t>
    </r>
    <rPh sb="0" eb="2">
      <t>クサカ</t>
    </rPh>
    <rPh sb="2" eb="4">
      <t>ジツオ</t>
    </rPh>
    <phoneticPr fontId="1"/>
  </si>
  <si>
    <r>
      <rPr>
        <sz val="11"/>
        <rFont val="游ゴシック Medium"/>
        <family val="3"/>
        <charset val="128"/>
      </rPr>
      <t>絵とき</t>
    </r>
    <r>
      <rPr>
        <sz val="11"/>
        <rFont val="Consolas"/>
        <family val="3"/>
      </rPr>
      <t xml:space="preserve">SF </t>
    </r>
    <r>
      <rPr>
        <sz val="11"/>
        <rFont val="游ゴシック Medium"/>
        <family val="3"/>
        <charset val="128"/>
      </rPr>
      <t>もしもの世界</t>
    </r>
    <rPh sb="0" eb="1">
      <t>エ</t>
    </rPh>
    <rPh sb="10" eb="12">
      <t>セカイ</t>
    </rPh>
    <phoneticPr fontId="1"/>
  </si>
  <si>
    <r>
      <rPr>
        <sz val="11"/>
        <rFont val="游ゴシック Medium"/>
        <family val="3"/>
        <charset val="128"/>
      </rPr>
      <t>ジュニア</t>
    </r>
    <r>
      <rPr>
        <sz val="11"/>
        <rFont val="Consolas"/>
        <family val="3"/>
      </rPr>
      <t xml:space="preserve"> </t>
    </r>
    <r>
      <rPr>
        <sz val="11"/>
        <rFont val="游ゴシック Medium"/>
        <family val="3"/>
        <charset val="128"/>
      </rPr>
      <t>チャンピオン</t>
    </r>
    <r>
      <rPr>
        <sz val="11"/>
        <rFont val="Consolas"/>
        <family val="3"/>
      </rPr>
      <t xml:space="preserve"> </t>
    </r>
    <r>
      <rPr>
        <sz val="11"/>
        <rFont val="游ゴシック Medium"/>
        <family val="3"/>
        <charset val="128"/>
      </rPr>
      <t>コース</t>
    </r>
    <r>
      <rPr>
        <sz val="11"/>
        <rFont val="Consolas"/>
        <family val="3"/>
      </rPr>
      <t xml:space="preserve"> </t>
    </r>
    <r>
      <rPr>
        <sz val="11"/>
        <rFont val="游ゴシック Medium"/>
        <family val="3"/>
        <charset val="128"/>
      </rPr>
      <t>学研カラー版</t>
    </r>
    <r>
      <rPr>
        <sz val="11"/>
        <rFont val="Consolas"/>
        <family val="3"/>
      </rPr>
      <t xml:space="preserve"> NDC 400</t>
    </r>
    <rPh sb="16" eb="18">
      <t>ガッケン</t>
    </rPh>
    <rPh sb="21" eb="22">
      <t>バン</t>
    </rPh>
    <phoneticPr fontId="1"/>
  </si>
  <si>
    <r>
      <rPr>
        <sz val="11"/>
        <rFont val="游ゴシック Medium"/>
        <family val="3"/>
        <charset val="128"/>
      </rPr>
      <t>加納一朗</t>
    </r>
    <rPh sb="0" eb="2">
      <t>カノウ</t>
    </rPh>
    <rPh sb="2" eb="4">
      <t>イチロウ</t>
    </rPh>
    <phoneticPr fontId="1"/>
  </si>
  <si>
    <r>
      <rPr>
        <sz val="11"/>
        <rFont val="游ゴシック Medium"/>
        <family val="3"/>
        <charset val="128"/>
      </rPr>
      <t>推理クイズ</t>
    </r>
    <r>
      <rPr>
        <sz val="11"/>
        <rFont val="Consolas"/>
        <family val="3"/>
      </rPr>
      <t xml:space="preserve"> </t>
    </r>
    <r>
      <rPr>
        <sz val="11"/>
        <rFont val="游ゴシック Medium"/>
        <family val="3"/>
        <charset val="128"/>
      </rPr>
      <t>名探偵登場</t>
    </r>
    <rPh sb="0" eb="2">
      <t>スイリ</t>
    </rPh>
    <rPh sb="6" eb="9">
      <t>メイタンテイ</t>
    </rPh>
    <rPh sb="9" eb="11">
      <t>トウジョウ</t>
    </rPh>
    <phoneticPr fontId="1"/>
  </si>
  <si>
    <r>
      <rPr>
        <sz val="11"/>
        <rFont val="游ゴシック Medium"/>
        <family val="3"/>
        <charset val="128"/>
      </rPr>
      <t>ジュニア</t>
    </r>
    <r>
      <rPr>
        <sz val="11"/>
        <rFont val="Consolas"/>
        <family val="3"/>
      </rPr>
      <t xml:space="preserve"> </t>
    </r>
    <r>
      <rPr>
        <sz val="11"/>
        <rFont val="游ゴシック Medium"/>
        <family val="3"/>
        <charset val="128"/>
      </rPr>
      <t>チャンピオン</t>
    </r>
    <r>
      <rPr>
        <sz val="11"/>
        <rFont val="Consolas"/>
        <family val="3"/>
      </rPr>
      <t xml:space="preserve"> </t>
    </r>
    <r>
      <rPr>
        <sz val="11"/>
        <rFont val="游ゴシック Medium"/>
        <family val="3"/>
        <charset val="128"/>
      </rPr>
      <t>コース</t>
    </r>
    <r>
      <rPr>
        <sz val="11"/>
        <rFont val="Consolas"/>
        <family val="3"/>
      </rPr>
      <t xml:space="preserve"> </t>
    </r>
    <r>
      <rPr>
        <sz val="11"/>
        <rFont val="游ゴシック Medium"/>
        <family val="3"/>
        <charset val="128"/>
      </rPr>
      <t>学研カラー版</t>
    </r>
    <r>
      <rPr>
        <sz val="11"/>
        <rFont val="Consolas"/>
        <family val="3"/>
      </rPr>
      <t xml:space="preserve"> NDC 798</t>
    </r>
    <rPh sb="16" eb="18">
      <t>ガッケン</t>
    </rPh>
    <rPh sb="21" eb="22">
      <t>バン</t>
    </rPh>
    <phoneticPr fontId="1"/>
  </si>
  <si>
    <r>
      <rPr>
        <sz val="11"/>
        <rFont val="游ゴシック Medium"/>
        <family val="3"/>
        <charset val="128"/>
      </rPr>
      <t>増井光子</t>
    </r>
    <r>
      <rPr>
        <sz val="11"/>
        <rFont val="Consolas"/>
        <family val="3"/>
      </rPr>
      <t>/</t>
    </r>
    <r>
      <rPr>
        <sz val="11"/>
        <rFont val="游ゴシック Medium"/>
        <family val="3"/>
        <charset val="128"/>
      </rPr>
      <t>宗近</t>
    </r>
    <r>
      <rPr>
        <sz val="11"/>
        <rFont val="Consolas"/>
        <family val="3"/>
      </rPr>
      <t xml:space="preserve"> </t>
    </r>
    <r>
      <rPr>
        <sz val="11"/>
        <rFont val="游ゴシック Medium"/>
        <family val="3"/>
        <charset val="128"/>
      </rPr>
      <t>功</t>
    </r>
    <r>
      <rPr>
        <sz val="11"/>
        <rFont val="Consolas"/>
        <family val="3"/>
      </rPr>
      <t>/</t>
    </r>
    <r>
      <rPr>
        <sz val="11"/>
        <rFont val="游ゴシック Medium"/>
        <family val="3"/>
        <charset val="128"/>
      </rPr>
      <t>杉浦</t>
    </r>
    <r>
      <rPr>
        <sz val="11"/>
        <rFont val="Consolas"/>
        <family val="3"/>
      </rPr>
      <t xml:space="preserve"> </t>
    </r>
    <r>
      <rPr>
        <sz val="11"/>
        <rFont val="游ゴシック Medium"/>
        <family val="3"/>
        <charset val="128"/>
      </rPr>
      <t>宏</t>
    </r>
    <r>
      <rPr>
        <sz val="11"/>
        <rFont val="Consolas"/>
        <family val="3"/>
      </rPr>
      <t>/</t>
    </r>
    <r>
      <rPr>
        <sz val="11"/>
        <rFont val="游ゴシック Medium"/>
        <family val="3"/>
        <charset val="128"/>
      </rPr>
      <t>矢島</t>
    </r>
    <r>
      <rPr>
        <sz val="11"/>
        <rFont val="Consolas"/>
        <family val="3"/>
      </rPr>
      <t xml:space="preserve"> </t>
    </r>
    <r>
      <rPr>
        <sz val="11"/>
        <rFont val="游ゴシック Medium"/>
        <family val="3"/>
        <charset val="128"/>
      </rPr>
      <t>稔</t>
    </r>
    <rPh sb="0" eb="2">
      <t>マスイ</t>
    </rPh>
    <rPh sb="2" eb="4">
      <t>ミツコ</t>
    </rPh>
    <rPh sb="5" eb="7">
      <t>ムネチカ</t>
    </rPh>
    <rPh sb="8" eb="9">
      <t>コウ</t>
    </rPh>
    <rPh sb="10" eb="12">
      <t>スギウラ</t>
    </rPh>
    <rPh sb="13" eb="14">
      <t>ヒロシ</t>
    </rPh>
    <rPh sb="15" eb="17">
      <t>ヤジマ</t>
    </rPh>
    <rPh sb="18" eb="19">
      <t>ミノル</t>
    </rPh>
    <phoneticPr fontId="1"/>
  </si>
  <si>
    <r>
      <rPr>
        <sz val="11"/>
        <rFont val="游ゴシック Medium"/>
        <family val="3"/>
        <charset val="128"/>
      </rPr>
      <t>犬から虫まで</t>
    </r>
    <r>
      <rPr>
        <sz val="11"/>
        <rFont val="Consolas"/>
        <family val="3"/>
      </rPr>
      <t xml:space="preserve"> </t>
    </r>
    <r>
      <rPr>
        <sz val="11"/>
        <rFont val="游ゴシック Medium"/>
        <family val="3"/>
        <charset val="128"/>
      </rPr>
      <t>ペットを飼おう</t>
    </r>
    <rPh sb="0" eb="1">
      <t>イヌ</t>
    </rPh>
    <rPh sb="3" eb="4">
      <t>ムシ</t>
    </rPh>
    <rPh sb="11" eb="12">
      <t>カ</t>
    </rPh>
    <phoneticPr fontId="1"/>
  </si>
  <si>
    <r>
      <rPr>
        <sz val="11"/>
        <rFont val="游ゴシック Medium"/>
        <family val="3"/>
        <charset val="128"/>
      </rPr>
      <t>ジュニア</t>
    </r>
    <r>
      <rPr>
        <sz val="11"/>
        <rFont val="Consolas"/>
        <family val="3"/>
      </rPr>
      <t xml:space="preserve"> </t>
    </r>
    <r>
      <rPr>
        <sz val="11"/>
        <rFont val="游ゴシック Medium"/>
        <family val="3"/>
        <charset val="128"/>
      </rPr>
      <t>チャンピオン</t>
    </r>
    <r>
      <rPr>
        <sz val="11"/>
        <rFont val="Consolas"/>
        <family val="3"/>
      </rPr>
      <t xml:space="preserve"> </t>
    </r>
    <r>
      <rPr>
        <sz val="11"/>
        <rFont val="游ゴシック Medium"/>
        <family val="3"/>
        <charset val="128"/>
      </rPr>
      <t>コース</t>
    </r>
    <r>
      <rPr>
        <sz val="11"/>
        <rFont val="Consolas"/>
        <family val="3"/>
      </rPr>
      <t xml:space="preserve"> </t>
    </r>
    <r>
      <rPr>
        <sz val="11"/>
        <rFont val="游ゴシック Medium"/>
        <family val="3"/>
        <charset val="128"/>
      </rPr>
      <t>学研カラー版</t>
    </r>
    <r>
      <rPr>
        <sz val="11"/>
        <rFont val="Consolas"/>
        <family val="3"/>
      </rPr>
      <t xml:space="preserve"> NDC 480</t>
    </r>
    <rPh sb="16" eb="18">
      <t>ガッケン</t>
    </rPh>
    <rPh sb="21" eb="22">
      <t>バン</t>
    </rPh>
    <phoneticPr fontId="1"/>
  </si>
  <si>
    <r>
      <rPr>
        <sz val="11"/>
        <rFont val="游ゴシック Medium"/>
        <family val="3"/>
        <charset val="128"/>
      </rPr>
      <t>驚異の記録</t>
    </r>
    <r>
      <rPr>
        <sz val="11"/>
        <rFont val="Consolas"/>
        <family val="3"/>
      </rPr>
      <t xml:space="preserve"> </t>
    </r>
    <r>
      <rPr>
        <sz val="11"/>
        <rFont val="游ゴシック Medium"/>
        <family val="3"/>
        <charset val="128"/>
      </rPr>
      <t>世界ショッキング事件</t>
    </r>
    <rPh sb="0" eb="2">
      <t>キョウイ</t>
    </rPh>
    <rPh sb="3" eb="5">
      <t>キロク</t>
    </rPh>
    <rPh sb="6" eb="8">
      <t>セカイ</t>
    </rPh>
    <rPh sb="14" eb="16">
      <t>ジケン</t>
    </rPh>
    <phoneticPr fontId="1"/>
  </si>
  <si>
    <r>
      <rPr>
        <sz val="11"/>
        <rFont val="游ゴシック Medium"/>
        <family val="3"/>
        <charset val="128"/>
      </rPr>
      <t>ジュニア</t>
    </r>
    <r>
      <rPr>
        <sz val="11"/>
        <rFont val="Consolas"/>
        <family val="3"/>
      </rPr>
      <t xml:space="preserve"> </t>
    </r>
    <r>
      <rPr>
        <sz val="11"/>
        <rFont val="游ゴシック Medium"/>
        <family val="3"/>
        <charset val="128"/>
      </rPr>
      <t>チャンピオン</t>
    </r>
    <r>
      <rPr>
        <sz val="11"/>
        <rFont val="Consolas"/>
        <family val="3"/>
      </rPr>
      <t xml:space="preserve"> </t>
    </r>
    <r>
      <rPr>
        <sz val="11"/>
        <rFont val="游ゴシック Medium"/>
        <family val="3"/>
        <charset val="128"/>
      </rPr>
      <t>コース</t>
    </r>
    <r>
      <rPr>
        <sz val="11"/>
        <rFont val="Consolas"/>
        <family val="3"/>
      </rPr>
      <t xml:space="preserve"> </t>
    </r>
    <r>
      <rPr>
        <sz val="11"/>
        <rFont val="游ゴシック Medium"/>
        <family val="3"/>
        <charset val="128"/>
      </rPr>
      <t>学研カラー版</t>
    </r>
    <r>
      <rPr>
        <sz val="11"/>
        <rFont val="Consolas"/>
        <family val="3"/>
      </rPr>
      <t xml:space="preserve"> NDC 210</t>
    </r>
    <rPh sb="16" eb="18">
      <t>ガッケン</t>
    </rPh>
    <rPh sb="21" eb="22">
      <t>バン</t>
    </rPh>
    <phoneticPr fontId="1"/>
  </si>
  <si>
    <r>
      <rPr>
        <sz val="11"/>
        <rFont val="游ゴシック Medium"/>
        <family val="3"/>
        <charset val="128"/>
      </rPr>
      <t>小原秀雄</t>
    </r>
    <rPh sb="0" eb="2">
      <t>オバラ</t>
    </rPh>
    <rPh sb="2" eb="4">
      <t>ヒデオ</t>
    </rPh>
    <phoneticPr fontId="1"/>
  </si>
  <si>
    <r>
      <rPr>
        <sz val="11"/>
        <rFont val="游ゴシック Medium"/>
        <family val="3"/>
        <charset val="128"/>
      </rPr>
      <t>なぞ神秘</t>
    </r>
    <r>
      <rPr>
        <sz val="11"/>
        <rFont val="Consolas"/>
        <family val="3"/>
      </rPr>
      <t xml:space="preserve"> </t>
    </r>
    <r>
      <rPr>
        <sz val="11"/>
        <rFont val="游ゴシック Medium"/>
        <family val="3"/>
        <charset val="128"/>
      </rPr>
      <t>動物の超能力</t>
    </r>
    <rPh sb="2" eb="4">
      <t>シンピ</t>
    </rPh>
    <rPh sb="5" eb="7">
      <t>ドウブツ</t>
    </rPh>
    <rPh sb="8" eb="11">
      <t>チョウノウリョク</t>
    </rPh>
    <phoneticPr fontId="1"/>
  </si>
  <si>
    <r>
      <rPr>
        <sz val="11"/>
        <rFont val="游ゴシック Medium"/>
        <family val="3"/>
        <charset val="128"/>
      </rPr>
      <t>獅騎一郎</t>
    </r>
    <rPh sb="0" eb="1">
      <t>シ</t>
    </rPh>
    <rPh sb="1" eb="2">
      <t>キ</t>
    </rPh>
    <rPh sb="2" eb="4">
      <t>イチロウ</t>
    </rPh>
    <phoneticPr fontId="1"/>
  </si>
  <si>
    <r>
      <rPr>
        <sz val="11"/>
        <rFont val="游ゴシック Medium"/>
        <family val="3"/>
        <charset val="128"/>
      </rPr>
      <t>秘密情報</t>
    </r>
    <r>
      <rPr>
        <sz val="11"/>
        <rFont val="Consolas"/>
        <family val="3"/>
      </rPr>
      <t xml:space="preserve"> </t>
    </r>
    <r>
      <rPr>
        <sz val="11"/>
        <rFont val="游ゴシック Medium"/>
        <family val="3"/>
        <charset val="128"/>
      </rPr>
      <t>暗号スパイ大作戦</t>
    </r>
    <rPh sb="0" eb="2">
      <t>ヒミツ</t>
    </rPh>
    <rPh sb="2" eb="4">
      <t>ジョウホウ</t>
    </rPh>
    <rPh sb="5" eb="7">
      <t>アンゴウ</t>
    </rPh>
    <rPh sb="10" eb="13">
      <t>ダイサクセン</t>
    </rPh>
    <phoneticPr fontId="1"/>
  </si>
  <si>
    <r>
      <rPr>
        <sz val="11"/>
        <rFont val="游ゴシック Medium"/>
        <family val="3"/>
        <charset val="128"/>
      </rPr>
      <t>ジュニア</t>
    </r>
    <r>
      <rPr>
        <sz val="11"/>
        <rFont val="Consolas"/>
        <family val="3"/>
      </rPr>
      <t xml:space="preserve"> </t>
    </r>
    <r>
      <rPr>
        <sz val="11"/>
        <rFont val="游ゴシック Medium"/>
        <family val="3"/>
        <charset val="128"/>
      </rPr>
      <t>チャンピオン</t>
    </r>
    <r>
      <rPr>
        <sz val="11"/>
        <rFont val="Consolas"/>
        <family val="3"/>
      </rPr>
      <t xml:space="preserve"> </t>
    </r>
    <r>
      <rPr>
        <sz val="11"/>
        <rFont val="游ゴシック Medium"/>
        <family val="3"/>
        <charset val="128"/>
      </rPr>
      <t>コース</t>
    </r>
    <r>
      <rPr>
        <sz val="11"/>
        <rFont val="Consolas"/>
        <family val="3"/>
      </rPr>
      <t xml:space="preserve"> </t>
    </r>
    <r>
      <rPr>
        <sz val="11"/>
        <rFont val="游ゴシック Medium"/>
        <family val="3"/>
        <charset val="128"/>
      </rPr>
      <t>学研カラー版</t>
    </r>
    <r>
      <rPr>
        <sz val="11"/>
        <rFont val="Consolas"/>
        <family val="3"/>
      </rPr>
      <t xml:space="preserve"> NDC 391</t>
    </r>
    <rPh sb="16" eb="18">
      <t>ガッケン</t>
    </rPh>
    <rPh sb="21" eb="22">
      <t>バン</t>
    </rPh>
    <phoneticPr fontId="1"/>
  </si>
  <si>
    <r>
      <rPr>
        <sz val="11"/>
        <rFont val="游ゴシック Medium"/>
        <family val="3"/>
        <charset val="128"/>
      </rPr>
      <t>石川光男</t>
    </r>
    <rPh sb="0" eb="2">
      <t>イシカワ</t>
    </rPh>
    <rPh sb="2" eb="4">
      <t>ミツオ</t>
    </rPh>
    <phoneticPr fontId="1"/>
  </si>
  <si>
    <r>
      <rPr>
        <sz val="11"/>
        <rFont val="游ゴシック Medium"/>
        <family val="3"/>
        <charset val="128"/>
      </rPr>
      <t>冒険</t>
    </r>
    <r>
      <rPr>
        <sz val="11"/>
        <rFont val="Consolas"/>
        <family val="3"/>
      </rPr>
      <t xml:space="preserve"> </t>
    </r>
    <r>
      <rPr>
        <sz val="11"/>
        <rFont val="游ゴシック Medium"/>
        <family val="3"/>
        <charset val="128"/>
      </rPr>
      <t>奇跡の脱出</t>
    </r>
    <rPh sb="0" eb="2">
      <t>ボウケン</t>
    </rPh>
    <rPh sb="3" eb="5">
      <t>キセキ</t>
    </rPh>
    <rPh sb="6" eb="8">
      <t>ダッシュツ</t>
    </rPh>
    <phoneticPr fontId="1"/>
  </si>
  <si>
    <r>
      <rPr>
        <sz val="11"/>
        <rFont val="游ゴシック Medium"/>
        <family val="3"/>
        <charset val="128"/>
      </rPr>
      <t>ジュニア</t>
    </r>
    <r>
      <rPr>
        <sz val="11"/>
        <rFont val="Consolas"/>
        <family val="3"/>
      </rPr>
      <t xml:space="preserve"> </t>
    </r>
    <r>
      <rPr>
        <sz val="11"/>
        <rFont val="游ゴシック Medium"/>
        <family val="3"/>
        <charset val="128"/>
      </rPr>
      <t>チャンピオン</t>
    </r>
    <r>
      <rPr>
        <sz val="11"/>
        <rFont val="Consolas"/>
        <family val="3"/>
      </rPr>
      <t xml:space="preserve"> </t>
    </r>
    <r>
      <rPr>
        <sz val="11"/>
        <rFont val="游ゴシック Medium"/>
        <family val="3"/>
        <charset val="128"/>
      </rPr>
      <t>ノベルス</t>
    </r>
    <r>
      <rPr>
        <sz val="11"/>
        <rFont val="Consolas"/>
        <family val="3"/>
      </rPr>
      <t xml:space="preserve"> </t>
    </r>
    <r>
      <rPr>
        <sz val="11"/>
        <rFont val="游ゴシック Medium"/>
        <family val="3"/>
        <charset val="128"/>
      </rPr>
      <t>学研版</t>
    </r>
    <r>
      <rPr>
        <sz val="11"/>
        <rFont val="Consolas"/>
        <family val="3"/>
      </rPr>
      <t xml:space="preserve"> NDC 936</t>
    </r>
    <rPh sb="17" eb="19">
      <t>ガッケン</t>
    </rPh>
    <rPh sb="19" eb="20">
      <t>バン</t>
    </rPh>
    <phoneticPr fontId="1"/>
  </si>
  <si>
    <r>
      <rPr>
        <sz val="11"/>
        <rFont val="游ゴシック Medium"/>
        <family val="3"/>
        <charset val="128"/>
      </rPr>
      <t>北川</t>
    </r>
    <r>
      <rPr>
        <sz val="11"/>
        <rFont val="Consolas"/>
        <family val="3"/>
      </rPr>
      <t xml:space="preserve"> </t>
    </r>
    <r>
      <rPr>
        <sz val="11"/>
        <rFont val="游ゴシック Medium"/>
        <family val="3"/>
        <charset val="128"/>
      </rPr>
      <t>幸比古</t>
    </r>
    <rPh sb="0" eb="2">
      <t>キタガワ</t>
    </rPh>
    <rPh sb="3" eb="6">
      <t>サチヒコ</t>
    </rPh>
    <phoneticPr fontId="1"/>
  </si>
  <si>
    <r>
      <rPr>
        <sz val="11"/>
        <rFont val="游ゴシック Medium"/>
        <family val="3"/>
        <charset val="128"/>
      </rPr>
      <t>今井</t>
    </r>
    <r>
      <rPr>
        <sz val="11"/>
        <rFont val="Consolas"/>
        <family val="3"/>
      </rPr>
      <t xml:space="preserve"> </t>
    </r>
    <r>
      <rPr>
        <sz val="11"/>
        <rFont val="游ゴシック Medium"/>
        <family val="3"/>
        <charset val="128"/>
      </rPr>
      <t>真利子</t>
    </r>
    <rPh sb="0" eb="2">
      <t>イマイ</t>
    </rPh>
    <rPh sb="3" eb="6">
      <t>マリコ</t>
    </rPh>
    <phoneticPr fontId="1"/>
  </si>
  <si>
    <r>
      <rPr>
        <sz val="11"/>
        <rFont val="游ゴシック Medium"/>
        <family val="3"/>
        <charset val="128"/>
      </rPr>
      <t>画</t>
    </r>
    <rPh sb="0" eb="1">
      <t>ガ</t>
    </rPh>
    <phoneticPr fontId="1"/>
  </si>
  <si>
    <r>
      <rPr>
        <sz val="11"/>
        <rFont val="游ゴシック Medium"/>
        <family val="3"/>
        <charset val="128"/>
      </rPr>
      <t>おばけを探検する</t>
    </r>
    <rPh sb="4" eb="6">
      <t>タンケン</t>
    </rPh>
    <phoneticPr fontId="1"/>
  </si>
  <si>
    <r>
      <t xml:space="preserve">C06 916 </t>
    </r>
    <r>
      <rPr>
        <sz val="11"/>
        <rFont val="游ゴシック Medium"/>
        <family val="3"/>
        <charset val="128"/>
      </rPr>
      <t>ふくろうの本</t>
    </r>
    <rPh sb="13" eb="14">
      <t>ホン</t>
    </rPh>
    <phoneticPr fontId="1"/>
  </si>
  <si>
    <r>
      <rPr>
        <sz val="11"/>
        <rFont val="游ゴシック Medium"/>
        <family val="3"/>
        <charset val="128"/>
      </rPr>
      <t>少年少女</t>
    </r>
    <r>
      <rPr>
        <sz val="11"/>
        <rFont val="Consolas"/>
        <family val="3"/>
      </rPr>
      <t xml:space="preserve"> </t>
    </r>
    <r>
      <rPr>
        <sz val="11"/>
        <rFont val="游ゴシック Medium"/>
        <family val="3"/>
        <charset val="128"/>
      </rPr>
      <t>講談社文庫</t>
    </r>
    <rPh sb="0" eb="2">
      <t>ショウネン</t>
    </rPh>
    <rPh sb="2" eb="4">
      <t>ショウジョ</t>
    </rPh>
    <rPh sb="5" eb="8">
      <t>コウダンシャ</t>
    </rPh>
    <rPh sb="8" eb="10">
      <t>ブンコ</t>
    </rPh>
    <phoneticPr fontId="1"/>
  </si>
  <si>
    <r>
      <rPr>
        <sz val="11"/>
        <rFont val="游ゴシック Medium"/>
        <family val="3"/>
        <charset val="128"/>
      </rPr>
      <t>村松</t>
    </r>
    <r>
      <rPr>
        <sz val="11"/>
        <rFont val="Consolas"/>
        <family val="3"/>
      </rPr>
      <t xml:space="preserve"> </t>
    </r>
    <r>
      <rPr>
        <sz val="11"/>
        <rFont val="游ゴシック Medium"/>
        <family val="3"/>
        <charset val="128"/>
      </rPr>
      <t>定孝</t>
    </r>
    <rPh sb="0" eb="2">
      <t>ムラマツ</t>
    </rPh>
    <rPh sb="3" eb="5">
      <t>サダタカ</t>
    </rPh>
    <phoneticPr fontId="1"/>
  </si>
  <si>
    <r>
      <rPr>
        <sz val="11"/>
        <rFont val="游ゴシック Medium"/>
        <family val="3"/>
        <charset val="128"/>
      </rPr>
      <t>堂</t>
    </r>
    <r>
      <rPr>
        <sz val="11"/>
        <rFont val="Consolas"/>
        <family val="3"/>
      </rPr>
      <t xml:space="preserve"> </t>
    </r>
    <r>
      <rPr>
        <sz val="11"/>
        <rFont val="游ゴシック Medium"/>
        <family val="3"/>
        <charset val="128"/>
      </rPr>
      <t>昌一</t>
    </r>
    <rPh sb="0" eb="1">
      <t>ドウ</t>
    </rPh>
    <rPh sb="2" eb="4">
      <t>ショウイチ</t>
    </rPh>
    <phoneticPr fontId="1"/>
  </si>
  <si>
    <r>
      <rPr>
        <sz val="11"/>
        <rFont val="游ゴシック Medium"/>
        <family val="3"/>
        <charset val="128"/>
      </rPr>
      <t>わたしは幽霊を見た</t>
    </r>
    <rPh sb="4" eb="6">
      <t>ユウレイ</t>
    </rPh>
    <rPh sb="7" eb="8">
      <t>ミ</t>
    </rPh>
    <phoneticPr fontId="1"/>
  </si>
  <si>
    <r>
      <t xml:space="preserve">C14 916 </t>
    </r>
    <r>
      <rPr>
        <sz val="11"/>
        <rFont val="游ゴシック Medium"/>
        <family val="3"/>
        <charset val="128"/>
      </rPr>
      <t>ふくろうの本</t>
    </r>
    <rPh sb="13" eb="14">
      <t>ホン</t>
    </rPh>
    <phoneticPr fontId="1"/>
  </si>
  <si>
    <r>
      <rPr>
        <sz val="11"/>
        <rFont val="游ゴシック Medium"/>
        <family val="3"/>
        <charset val="128"/>
      </rPr>
      <t>文学</t>
    </r>
    <rPh sb="0" eb="2">
      <t>ブンガク</t>
    </rPh>
    <phoneticPr fontId="1"/>
  </si>
  <si>
    <r>
      <rPr>
        <sz val="11"/>
        <rFont val="游ゴシック Medium"/>
        <family val="3"/>
        <charset val="128"/>
      </rPr>
      <t>真下信一</t>
    </r>
    <rPh sb="0" eb="2">
      <t>マシタ</t>
    </rPh>
    <rPh sb="2" eb="4">
      <t>シンイチ</t>
    </rPh>
    <phoneticPr fontId="1"/>
  </si>
  <si>
    <r>
      <rPr>
        <sz val="11"/>
        <rFont val="游ゴシック Medium"/>
        <family val="3"/>
        <charset val="128"/>
      </rPr>
      <t>悪に関する七十二章</t>
    </r>
    <rPh sb="0" eb="1">
      <t>アク</t>
    </rPh>
    <rPh sb="2" eb="3">
      <t>カン</t>
    </rPh>
    <rPh sb="5" eb="9">
      <t>ナナジュウニショウ</t>
    </rPh>
    <phoneticPr fontId="1"/>
  </si>
  <si>
    <r>
      <rPr>
        <sz val="11"/>
        <rFont val="游ゴシック Medium"/>
        <family val="3"/>
        <charset val="128"/>
      </rPr>
      <t>三一書房</t>
    </r>
    <rPh sb="0" eb="1">
      <t>サン</t>
    </rPh>
    <rPh sb="1" eb="2">
      <t>イチ</t>
    </rPh>
    <rPh sb="2" eb="4">
      <t>ショボウ</t>
    </rPh>
    <phoneticPr fontId="1"/>
  </si>
  <si>
    <r>
      <rPr>
        <sz val="11"/>
        <rFont val="游ゴシック Medium"/>
        <family val="3"/>
        <charset val="128"/>
      </rPr>
      <t>じいちゃん</t>
    </r>
    <phoneticPr fontId="1"/>
  </si>
  <si>
    <r>
      <rPr>
        <sz val="11"/>
        <rFont val="游ゴシック Medium"/>
        <family val="3"/>
        <charset val="128"/>
      </rPr>
      <t>津田塾大学編修部</t>
    </r>
    <rPh sb="0" eb="3">
      <t>ツダジュク</t>
    </rPh>
    <rPh sb="3" eb="5">
      <t>ダイガク</t>
    </rPh>
    <rPh sb="5" eb="8">
      <t>ヘンシュウブ</t>
    </rPh>
    <phoneticPr fontId="1"/>
  </si>
  <si>
    <r>
      <rPr>
        <strike/>
        <sz val="11"/>
        <rFont val="游ゴシック Medium"/>
        <family val="3"/>
        <charset val="128"/>
      </rPr>
      <t>古書</t>
    </r>
    <rPh sb="0" eb="2">
      <t>コショ</t>
    </rPh>
    <phoneticPr fontId="1"/>
  </si>
  <si>
    <r>
      <rPr>
        <strike/>
        <sz val="11"/>
        <rFont val="游ゴシック Medium"/>
        <family val="3"/>
        <charset val="128"/>
      </rPr>
      <t>山子</t>
    </r>
    <r>
      <rPr>
        <strike/>
        <sz val="11"/>
        <rFont val="Consolas"/>
        <family val="3"/>
      </rPr>
      <t xml:space="preserve"> </t>
    </r>
    <r>
      <rPr>
        <strike/>
        <sz val="11"/>
        <rFont val="游ゴシック Medium"/>
        <family val="3"/>
        <charset val="128"/>
      </rPr>
      <t>點</t>
    </r>
    <rPh sb="0" eb="2">
      <t>ヤマコ</t>
    </rPh>
    <rPh sb="3" eb="4">
      <t>テン</t>
    </rPh>
    <phoneticPr fontId="1"/>
  </si>
  <si>
    <r>
      <rPr>
        <strike/>
        <sz val="11"/>
        <rFont val="游ゴシック Medium"/>
        <family val="3"/>
        <charset val="128"/>
      </rPr>
      <t>文選正文</t>
    </r>
    <rPh sb="0" eb="2">
      <t>ブンセン</t>
    </rPh>
    <rPh sb="2" eb="4">
      <t>セイブン</t>
    </rPh>
    <phoneticPr fontId="1"/>
  </si>
  <si>
    <r>
      <rPr>
        <strike/>
        <sz val="11"/>
        <rFont val="游ゴシック Medium"/>
        <family val="3"/>
        <charset val="128"/>
      </rPr>
      <t>全</t>
    </r>
    <r>
      <rPr>
        <strike/>
        <sz val="11"/>
        <rFont val="Consolas"/>
        <family val="3"/>
      </rPr>
      <t>12</t>
    </r>
    <r>
      <rPr>
        <strike/>
        <sz val="11"/>
        <rFont val="游ゴシック Medium"/>
        <family val="3"/>
        <charset val="128"/>
      </rPr>
      <t>冊</t>
    </r>
    <rPh sb="0" eb="1">
      <t>ゼン</t>
    </rPh>
    <rPh sb="3" eb="4">
      <t>サツ</t>
    </rPh>
    <phoneticPr fontId="1"/>
  </si>
  <si>
    <r>
      <rPr>
        <strike/>
        <sz val="11"/>
        <rFont val="游ゴシック Medium"/>
        <family val="3"/>
        <charset val="128"/>
      </rPr>
      <t>千壽堂蔵</t>
    </r>
    <rPh sb="2" eb="3">
      <t>ドウ</t>
    </rPh>
    <phoneticPr fontId="1"/>
  </si>
  <si>
    <r>
      <rPr>
        <strike/>
        <sz val="11"/>
        <rFont val="游ゴシック Medium"/>
        <family val="3"/>
        <charset val="128"/>
      </rPr>
      <t>名古屋の百貨店での古書市</t>
    </r>
    <rPh sb="0" eb="3">
      <t>ナゴヤ</t>
    </rPh>
    <rPh sb="4" eb="7">
      <t>ヒャッカテン</t>
    </rPh>
    <rPh sb="9" eb="11">
      <t>コショ</t>
    </rPh>
    <rPh sb="11" eb="12">
      <t>イチ</t>
    </rPh>
    <phoneticPr fontId="1"/>
  </si>
  <si>
    <r>
      <t xml:space="preserve">Hideki </t>
    </r>
    <r>
      <rPr>
        <strike/>
        <sz val="11"/>
        <rFont val="游ゴシック Medium"/>
        <family val="3"/>
        <charset val="128"/>
      </rPr>
      <t>中学時代にお小遣いで購入</t>
    </r>
    <r>
      <rPr>
        <strike/>
        <sz val="11"/>
        <rFont val="Consolas"/>
        <family val="3"/>
      </rPr>
      <t xml:space="preserve">/Book Off </t>
    </r>
    <r>
      <rPr>
        <strike/>
        <sz val="11"/>
        <rFont val="游ゴシック Medium"/>
        <family val="3"/>
        <charset val="128"/>
      </rPr>
      <t>に売却ただし値段付かず</t>
    </r>
    <rPh sb="7" eb="9">
      <t>チュウガク</t>
    </rPh>
    <rPh sb="9" eb="11">
      <t>ジダイ</t>
    </rPh>
    <rPh sb="13" eb="15">
      <t>コヅカ</t>
    </rPh>
    <rPh sb="17" eb="19">
      <t>コウニュウ</t>
    </rPh>
    <rPh sb="30" eb="32">
      <t>バイキャク</t>
    </rPh>
    <rPh sb="35" eb="37">
      <t>ネダン</t>
    </rPh>
    <rPh sb="37" eb="38">
      <t>ツ</t>
    </rPh>
    <phoneticPr fontId="1"/>
  </si>
  <si>
    <r>
      <rPr>
        <sz val="11"/>
        <rFont val="游ゴシック Medium"/>
        <family val="3"/>
        <charset val="128"/>
      </rPr>
      <t>松谷</t>
    </r>
    <r>
      <rPr>
        <sz val="11"/>
        <rFont val="Consolas"/>
        <family val="3"/>
      </rPr>
      <t xml:space="preserve"> </t>
    </r>
    <r>
      <rPr>
        <sz val="11"/>
        <rFont val="游ゴシック Medium"/>
        <family val="3"/>
        <charset val="128"/>
      </rPr>
      <t>みよ子</t>
    </r>
    <rPh sb="0" eb="2">
      <t>マツタニ</t>
    </rPh>
    <rPh sb="5" eb="6">
      <t>コ</t>
    </rPh>
    <phoneticPr fontId="1"/>
  </si>
  <si>
    <r>
      <rPr>
        <sz val="11"/>
        <rFont val="游ゴシック Medium"/>
        <family val="3"/>
        <charset val="128"/>
      </rPr>
      <t>斎藤</t>
    </r>
    <r>
      <rPr>
        <sz val="11"/>
        <rFont val="Consolas"/>
        <family val="3"/>
      </rPr>
      <t xml:space="preserve"> </t>
    </r>
    <r>
      <rPr>
        <sz val="11"/>
        <rFont val="游ゴシック Medium"/>
        <family val="3"/>
        <charset val="128"/>
      </rPr>
      <t>博之</t>
    </r>
    <rPh sb="0" eb="2">
      <t>サイトウ</t>
    </rPh>
    <rPh sb="3" eb="5">
      <t>ヒロユキ</t>
    </rPh>
    <phoneticPr fontId="1"/>
  </si>
  <si>
    <r>
      <rPr>
        <sz val="11"/>
        <rFont val="游ゴシック Medium"/>
        <family val="3"/>
        <charset val="128"/>
      </rPr>
      <t>龍の子太郎</t>
    </r>
    <rPh sb="0" eb="1">
      <t>タツ</t>
    </rPh>
    <rPh sb="2" eb="3">
      <t>コ</t>
    </rPh>
    <rPh sb="3" eb="5">
      <t>タロウ</t>
    </rPh>
    <phoneticPr fontId="1"/>
  </si>
  <si>
    <r>
      <t xml:space="preserve">A01 913 </t>
    </r>
    <r>
      <rPr>
        <sz val="11"/>
        <rFont val="游ゴシック Medium"/>
        <family val="3"/>
        <charset val="128"/>
      </rPr>
      <t>ふくろうの本</t>
    </r>
    <rPh sb="13" eb="14">
      <t>ホン</t>
    </rPh>
    <phoneticPr fontId="1"/>
  </si>
  <si>
    <r>
      <rPr>
        <sz val="11"/>
        <rFont val="游ゴシック Medium"/>
        <family val="3"/>
        <charset val="128"/>
      </rPr>
      <t>江戸川</t>
    </r>
    <r>
      <rPr>
        <sz val="11"/>
        <rFont val="Consolas"/>
        <family val="3"/>
      </rPr>
      <t xml:space="preserve"> </t>
    </r>
    <r>
      <rPr>
        <sz val="11"/>
        <rFont val="游ゴシック Medium"/>
        <family val="3"/>
        <charset val="128"/>
      </rPr>
      <t>乱歩</t>
    </r>
    <rPh sb="0" eb="3">
      <t>エドガワ</t>
    </rPh>
    <rPh sb="4" eb="6">
      <t>ランポ</t>
    </rPh>
    <phoneticPr fontId="1"/>
  </si>
  <si>
    <r>
      <rPr>
        <sz val="11"/>
        <rFont val="游ゴシック Medium"/>
        <family val="3"/>
        <charset val="128"/>
      </rPr>
      <t>堂</t>
    </r>
    <r>
      <rPr>
        <sz val="11"/>
        <rFont val="Consolas"/>
        <family val="3"/>
      </rPr>
      <t xml:space="preserve"> </t>
    </r>
    <r>
      <rPr>
        <sz val="11"/>
        <rFont val="游ゴシック Medium"/>
        <family val="3"/>
        <charset val="128"/>
      </rPr>
      <t>昌一</t>
    </r>
    <rPh sb="0" eb="1">
      <t>ドウ</t>
    </rPh>
    <rPh sb="2" eb="4">
      <t>マサカズ</t>
    </rPh>
    <phoneticPr fontId="1"/>
  </si>
  <si>
    <r>
      <rPr>
        <sz val="11"/>
        <rFont val="游ゴシック Medium"/>
        <family val="3"/>
        <charset val="128"/>
      </rPr>
      <t>名探偵</t>
    </r>
    <r>
      <rPr>
        <sz val="11"/>
        <rFont val="Consolas"/>
        <family val="3"/>
      </rPr>
      <t xml:space="preserve"> </t>
    </r>
    <r>
      <rPr>
        <sz val="11"/>
        <rFont val="游ゴシック Medium"/>
        <family val="3"/>
        <charset val="128"/>
      </rPr>
      <t>明智小五郎</t>
    </r>
    <r>
      <rPr>
        <sz val="11"/>
        <rFont val="Consolas"/>
        <family val="3"/>
      </rPr>
      <t xml:space="preserve"> </t>
    </r>
    <r>
      <rPr>
        <sz val="11"/>
        <rFont val="游ゴシック Medium"/>
        <family val="3"/>
        <charset val="128"/>
      </rPr>
      <t>怪人二十面相</t>
    </r>
    <rPh sb="0" eb="3">
      <t>メイタンテイ</t>
    </rPh>
    <rPh sb="4" eb="6">
      <t>アケチ</t>
    </rPh>
    <rPh sb="6" eb="9">
      <t>コゴロウ</t>
    </rPh>
    <rPh sb="10" eb="12">
      <t>カイジン</t>
    </rPh>
    <rPh sb="12" eb="16">
      <t>ニジュウメンソウ</t>
    </rPh>
    <phoneticPr fontId="1"/>
  </si>
  <si>
    <r>
      <t xml:space="preserve">A04 913 </t>
    </r>
    <r>
      <rPr>
        <sz val="11"/>
        <rFont val="游ゴシック Medium"/>
        <family val="3"/>
        <charset val="128"/>
      </rPr>
      <t>ふくろうの本</t>
    </r>
    <rPh sb="13" eb="14">
      <t>ホン</t>
    </rPh>
    <phoneticPr fontId="1"/>
  </si>
  <si>
    <r>
      <rPr>
        <sz val="11"/>
        <rFont val="游ゴシック Medium"/>
        <family val="3"/>
        <charset val="128"/>
      </rPr>
      <t>横溝</t>
    </r>
    <r>
      <rPr>
        <sz val="11"/>
        <rFont val="Consolas"/>
        <family val="3"/>
      </rPr>
      <t xml:space="preserve"> </t>
    </r>
    <r>
      <rPr>
        <sz val="11"/>
        <rFont val="游ゴシック Medium"/>
        <family val="3"/>
        <charset val="128"/>
      </rPr>
      <t>正史</t>
    </r>
    <rPh sb="0" eb="2">
      <t>ヨコミゾ</t>
    </rPh>
    <rPh sb="3" eb="5">
      <t>セイシ</t>
    </rPh>
    <phoneticPr fontId="1"/>
  </si>
  <si>
    <r>
      <rPr>
        <sz val="11"/>
        <rFont val="游ゴシック Medium"/>
        <family val="3"/>
        <charset val="128"/>
      </rPr>
      <t>山本</t>
    </r>
    <r>
      <rPr>
        <sz val="11"/>
        <rFont val="Consolas"/>
        <family val="3"/>
      </rPr>
      <t xml:space="preserve"> </t>
    </r>
    <r>
      <rPr>
        <sz val="11"/>
        <rFont val="游ゴシック Medium"/>
        <family val="3"/>
        <charset val="128"/>
      </rPr>
      <t>耀也</t>
    </r>
    <rPh sb="0" eb="2">
      <t>ヤマモト</t>
    </rPh>
    <rPh sb="3" eb="5">
      <t>ヨウヤ</t>
    </rPh>
    <phoneticPr fontId="1"/>
  </si>
  <si>
    <r>
      <rPr>
        <sz val="11"/>
        <rFont val="游ゴシック Medium"/>
        <family val="3"/>
        <charset val="128"/>
      </rPr>
      <t>名探偵</t>
    </r>
    <r>
      <rPr>
        <sz val="11"/>
        <rFont val="Consolas"/>
        <family val="3"/>
      </rPr>
      <t xml:space="preserve"> </t>
    </r>
    <r>
      <rPr>
        <sz val="11"/>
        <rFont val="游ゴシック Medium"/>
        <family val="3"/>
        <charset val="128"/>
      </rPr>
      <t>金田一耕助</t>
    </r>
    <r>
      <rPr>
        <sz val="11"/>
        <rFont val="Consolas"/>
        <family val="3"/>
      </rPr>
      <t xml:space="preserve"> </t>
    </r>
    <r>
      <rPr>
        <sz val="11"/>
        <rFont val="游ゴシック Medium"/>
        <family val="3"/>
        <charset val="128"/>
      </rPr>
      <t>金色の魔術師</t>
    </r>
    <rPh sb="0" eb="3">
      <t>メイタンテイ</t>
    </rPh>
    <rPh sb="4" eb="7">
      <t>キンダイチ</t>
    </rPh>
    <rPh sb="7" eb="9">
      <t>コウスケ</t>
    </rPh>
    <rPh sb="10" eb="12">
      <t>コンジキ</t>
    </rPh>
    <rPh sb="13" eb="16">
      <t>マジュツシ</t>
    </rPh>
    <phoneticPr fontId="1"/>
  </si>
  <si>
    <r>
      <t xml:space="preserve">A05 913 </t>
    </r>
    <r>
      <rPr>
        <sz val="11"/>
        <rFont val="游ゴシック Medium"/>
        <family val="3"/>
        <charset val="128"/>
      </rPr>
      <t>ふくろうの本</t>
    </r>
    <rPh sb="13" eb="14">
      <t>ホン</t>
    </rPh>
    <phoneticPr fontId="1"/>
  </si>
  <si>
    <r>
      <rPr>
        <sz val="11"/>
        <rFont val="游ゴシック Medium"/>
        <family val="3"/>
        <charset val="128"/>
      </rPr>
      <t>少年時代の秀樹</t>
    </r>
    <r>
      <rPr>
        <sz val="11"/>
        <rFont val="Consolas"/>
        <family val="3"/>
      </rPr>
      <t>/</t>
    </r>
    <r>
      <rPr>
        <sz val="11"/>
        <rFont val="游ゴシック Medium"/>
        <family val="3"/>
        <charset val="128"/>
      </rPr>
      <t>プレゼント</t>
    </r>
    <rPh sb="0" eb="2">
      <t>ショウネン</t>
    </rPh>
    <rPh sb="2" eb="4">
      <t>ジダイ</t>
    </rPh>
    <rPh sb="5" eb="7">
      <t>ヒデキ</t>
    </rPh>
    <phoneticPr fontId="1"/>
  </si>
  <si>
    <r>
      <rPr>
        <sz val="11"/>
        <rFont val="游ゴシック Medium"/>
        <family val="3"/>
        <charset val="128"/>
      </rPr>
      <t>前川</t>
    </r>
    <r>
      <rPr>
        <sz val="11"/>
        <rFont val="Consolas"/>
        <family val="3"/>
      </rPr>
      <t xml:space="preserve"> </t>
    </r>
    <r>
      <rPr>
        <sz val="11"/>
        <rFont val="游ゴシック Medium"/>
        <family val="3"/>
        <charset val="128"/>
      </rPr>
      <t>康男</t>
    </r>
    <rPh sb="0" eb="2">
      <t>マエカワ</t>
    </rPh>
    <rPh sb="3" eb="5">
      <t>ヤスオ</t>
    </rPh>
    <phoneticPr fontId="1"/>
  </si>
  <si>
    <r>
      <rPr>
        <sz val="11"/>
        <rFont val="游ゴシック Medium"/>
        <family val="3"/>
        <charset val="128"/>
      </rPr>
      <t>奈良</t>
    </r>
    <r>
      <rPr>
        <sz val="11"/>
        <rFont val="Consolas"/>
        <family val="3"/>
      </rPr>
      <t xml:space="preserve"> </t>
    </r>
    <r>
      <rPr>
        <sz val="11"/>
        <rFont val="游ゴシック Medium"/>
        <family val="3"/>
        <charset val="128"/>
      </rPr>
      <t>葉二</t>
    </r>
    <rPh sb="0" eb="2">
      <t>ナラ</t>
    </rPh>
    <rPh sb="3" eb="5">
      <t>ヨウジ</t>
    </rPh>
    <phoneticPr fontId="1"/>
  </si>
  <si>
    <r>
      <rPr>
        <sz val="11"/>
        <rFont val="游ゴシック Medium"/>
        <family val="3"/>
        <charset val="128"/>
      </rPr>
      <t>日本わらいばなし集</t>
    </r>
    <rPh sb="0" eb="2">
      <t>ニホン</t>
    </rPh>
    <rPh sb="8" eb="9">
      <t>シュウ</t>
    </rPh>
    <phoneticPr fontId="1"/>
  </si>
  <si>
    <r>
      <t xml:space="preserve">A10 913 </t>
    </r>
    <r>
      <rPr>
        <sz val="11"/>
        <rFont val="游ゴシック Medium"/>
        <family val="3"/>
        <charset val="128"/>
      </rPr>
      <t>ふくろうの本</t>
    </r>
    <rPh sb="13" eb="14">
      <t>ホン</t>
    </rPh>
    <phoneticPr fontId="1"/>
  </si>
  <si>
    <r>
      <rPr>
        <sz val="11"/>
        <rFont val="游ゴシック Medium"/>
        <family val="3"/>
        <charset val="128"/>
      </rPr>
      <t>坪田</t>
    </r>
    <r>
      <rPr>
        <sz val="11"/>
        <rFont val="Consolas"/>
        <family val="3"/>
      </rPr>
      <t xml:space="preserve"> </t>
    </r>
    <r>
      <rPr>
        <sz val="11"/>
        <rFont val="游ゴシック Medium"/>
        <family val="3"/>
        <charset val="128"/>
      </rPr>
      <t>譲治</t>
    </r>
    <rPh sb="0" eb="2">
      <t>ツボタ</t>
    </rPh>
    <rPh sb="3" eb="5">
      <t>ジョウジ</t>
    </rPh>
    <phoneticPr fontId="1"/>
  </si>
  <si>
    <r>
      <rPr>
        <sz val="11"/>
        <rFont val="游ゴシック Medium"/>
        <family val="3"/>
        <charset val="128"/>
      </rPr>
      <t>深沢</t>
    </r>
    <r>
      <rPr>
        <sz val="11"/>
        <rFont val="Consolas"/>
        <family val="3"/>
      </rPr>
      <t xml:space="preserve"> </t>
    </r>
    <r>
      <rPr>
        <sz val="11"/>
        <rFont val="游ゴシック Medium"/>
        <family val="3"/>
        <charset val="128"/>
      </rPr>
      <t>紅子</t>
    </r>
    <rPh sb="0" eb="2">
      <t>フカザワ</t>
    </rPh>
    <rPh sb="3" eb="5">
      <t>ベニコ</t>
    </rPh>
    <phoneticPr fontId="1"/>
  </si>
  <si>
    <r>
      <rPr>
        <sz val="11"/>
        <rFont val="游ゴシック Medium"/>
        <family val="3"/>
        <charset val="128"/>
      </rPr>
      <t>お化けの世界</t>
    </r>
    <r>
      <rPr>
        <sz val="11"/>
        <rFont val="Consolas"/>
        <family val="3"/>
      </rPr>
      <t xml:space="preserve"> </t>
    </r>
    <r>
      <rPr>
        <sz val="11"/>
        <rFont val="游ゴシック Medium"/>
        <family val="3"/>
        <charset val="128"/>
      </rPr>
      <t>ほか</t>
    </r>
    <rPh sb="1" eb="2">
      <t>バ</t>
    </rPh>
    <rPh sb="4" eb="6">
      <t>セカイ</t>
    </rPh>
    <phoneticPr fontId="1"/>
  </si>
  <si>
    <r>
      <t xml:space="preserve">A22 913 </t>
    </r>
    <r>
      <rPr>
        <sz val="11"/>
        <rFont val="游ゴシック Medium"/>
        <family val="3"/>
        <charset val="128"/>
      </rPr>
      <t>ふくろうの本</t>
    </r>
    <rPh sb="13" eb="14">
      <t>ホン</t>
    </rPh>
    <phoneticPr fontId="1"/>
  </si>
  <si>
    <r>
      <t>(</t>
    </r>
    <r>
      <rPr>
        <sz val="11"/>
        <rFont val="游ゴシック Medium"/>
        <family val="3"/>
        <charset val="128"/>
      </rPr>
      <t>作者不詳</t>
    </r>
    <r>
      <rPr>
        <sz val="11"/>
        <rFont val="Consolas"/>
        <family val="3"/>
      </rPr>
      <t>)</t>
    </r>
    <rPh sb="1" eb="3">
      <t>サクシャ</t>
    </rPh>
    <rPh sb="3" eb="5">
      <t>フショウ</t>
    </rPh>
    <phoneticPr fontId="1"/>
  </si>
  <si>
    <r>
      <rPr>
        <sz val="11"/>
        <rFont val="游ゴシック Medium"/>
        <family val="3"/>
        <charset val="128"/>
      </rPr>
      <t>高野</t>
    </r>
    <r>
      <rPr>
        <sz val="11"/>
        <rFont val="Consolas"/>
        <family val="3"/>
      </rPr>
      <t xml:space="preserve"> </t>
    </r>
    <r>
      <rPr>
        <sz val="11"/>
        <rFont val="游ゴシック Medium"/>
        <family val="3"/>
        <charset val="128"/>
      </rPr>
      <t>正巳</t>
    </r>
    <r>
      <rPr>
        <sz val="11"/>
        <rFont val="Consolas"/>
        <family val="3"/>
      </rPr>
      <t>/</t>
    </r>
    <r>
      <rPr>
        <sz val="11"/>
        <rFont val="游ゴシック Medium"/>
        <family val="3"/>
        <charset val="128"/>
      </rPr>
      <t>木俣</t>
    </r>
    <r>
      <rPr>
        <sz val="11"/>
        <rFont val="Consolas"/>
        <family val="3"/>
      </rPr>
      <t xml:space="preserve"> </t>
    </r>
    <r>
      <rPr>
        <sz val="11"/>
        <rFont val="游ゴシック Medium"/>
        <family val="3"/>
        <charset val="128"/>
      </rPr>
      <t>清史</t>
    </r>
    <rPh sb="0" eb="2">
      <t>タカノ</t>
    </rPh>
    <rPh sb="3" eb="5">
      <t>マサミ</t>
    </rPh>
    <rPh sb="6" eb="8">
      <t>キマタ</t>
    </rPh>
    <phoneticPr fontId="1"/>
  </si>
  <si>
    <r>
      <rPr>
        <sz val="11"/>
        <rFont val="游ゴシック Medium"/>
        <family val="3"/>
        <charset val="128"/>
      </rPr>
      <t>訳</t>
    </r>
    <r>
      <rPr>
        <sz val="11"/>
        <rFont val="Consolas"/>
        <family val="3"/>
      </rPr>
      <t>/</t>
    </r>
    <r>
      <rPr>
        <sz val="11"/>
        <rFont val="游ゴシック Medium"/>
        <family val="3"/>
        <charset val="128"/>
      </rPr>
      <t>画</t>
    </r>
    <rPh sb="0" eb="1">
      <t>ヤク</t>
    </rPh>
    <rPh sb="2" eb="3">
      <t>ガ</t>
    </rPh>
    <phoneticPr fontId="1"/>
  </si>
  <si>
    <r>
      <rPr>
        <sz val="11"/>
        <rFont val="游ゴシック Medium"/>
        <family val="3"/>
        <charset val="128"/>
      </rPr>
      <t>平家物語</t>
    </r>
    <rPh sb="0" eb="4">
      <t>ヘイケモノガタリ</t>
    </rPh>
    <phoneticPr fontId="1"/>
  </si>
  <si>
    <r>
      <t xml:space="preserve">A25 913 </t>
    </r>
    <r>
      <rPr>
        <sz val="11"/>
        <rFont val="游ゴシック Medium"/>
        <family val="3"/>
        <charset val="128"/>
      </rPr>
      <t>ふくろうの本</t>
    </r>
    <rPh sb="13" eb="14">
      <t>ホン</t>
    </rPh>
    <phoneticPr fontId="1"/>
  </si>
  <si>
    <r>
      <rPr>
        <sz val="11"/>
        <rFont val="游ゴシック Medium"/>
        <family val="3"/>
        <charset val="128"/>
      </rPr>
      <t>松田</t>
    </r>
    <r>
      <rPr>
        <sz val="11"/>
        <rFont val="Consolas"/>
        <family val="3"/>
      </rPr>
      <t xml:space="preserve"> </t>
    </r>
    <r>
      <rPr>
        <sz val="11"/>
        <rFont val="游ゴシック Medium"/>
        <family val="3"/>
        <charset val="128"/>
      </rPr>
      <t>道雄</t>
    </r>
    <rPh sb="0" eb="2">
      <t>マツダ</t>
    </rPh>
    <rPh sb="3" eb="5">
      <t>ミチオ</t>
    </rPh>
    <phoneticPr fontId="1"/>
  </si>
  <si>
    <r>
      <rPr>
        <sz val="11"/>
        <rFont val="游ゴシック Medium"/>
        <family val="3"/>
        <charset val="128"/>
      </rPr>
      <t>きみはなにがこわい</t>
    </r>
    <r>
      <rPr>
        <sz val="11"/>
        <rFont val="Consolas"/>
        <family val="3"/>
      </rPr>
      <t xml:space="preserve">? </t>
    </r>
    <r>
      <rPr>
        <sz val="11"/>
        <rFont val="游ゴシック Medium"/>
        <family val="3"/>
        <charset val="128"/>
      </rPr>
      <t>おばけとたましいの話</t>
    </r>
    <rPh sb="20" eb="21">
      <t>ハナシ</t>
    </rPh>
    <phoneticPr fontId="1"/>
  </si>
  <si>
    <r>
      <t xml:space="preserve">A26 913 </t>
    </r>
    <r>
      <rPr>
        <sz val="11"/>
        <rFont val="游ゴシック Medium"/>
        <family val="3"/>
        <charset val="128"/>
      </rPr>
      <t>ふくろうの本</t>
    </r>
    <rPh sb="13" eb="14">
      <t>ホン</t>
    </rPh>
    <phoneticPr fontId="1"/>
  </si>
  <si>
    <r>
      <rPr>
        <sz val="11"/>
        <rFont val="游ゴシック Medium"/>
        <family val="3"/>
        <charset val="128"/>
      </rPr>
      <t>古田</t>
    </r>
    <r>
      <rPr>
        <sz val="11"/>
        <rFont val="Consolas"/>
        <family val="3"/>
      </rPr>
      <t xml:space="preserve"> </t>
    </r>
    <r>
      <rPr>
        <sz val="11"/>
        <rFont val="游ゴシック Medium"/>
        <family val="3"/>
        <charset val="128"/>
      </rPr>
      <t>足日</t>
    </r>
    <rPh sb="0" eb="2">
      <t>フルタ</t>
    </rPh>
    <rPh sb="3" eb="5">
      <t>タルヒ</t>
    </rPh>
    <phoneticPr fontId="1"/>
  </si>
  <si>
    <r>
      <rPr>
        <sz val="11"/>
        <rFont val="游ゴシック Medium"/>
        <family val="3"/>
        <charset val="128"/>
      </rPr>
      <t>忍術らくだい生</t>
    </r>
    <rPh sb="0" eb="2">
      <t>ニンジュツ</t>
    </rPh>
    <rPh sb="6" eb="7">
      <t>セイ</t>
    </rPh>
    <phoneticPr fontId="1"/>
  </si>
  <si>
    <r>
      <t xml:space="preserve">A28 913 </t>
    </r>
    <r>
      <rPr>
        <sz val="11"/>
        <rFont val="游ゴシック Medium"/>
        <family val="3"/>
        <charset val="128"/>
      </rPr>
      <t>ふくろうの本</t>
    </r>
    <rPh sb="13" eb="14">
      <t>ホン</t>
    </rPh>
    <phoneticPr fontId="1"/>
  </si>
  <si>
    <r>
      <rPr>
        <sz val="11"/>
        <rFont val="游ゴシック Medium"/>
        <family val="3"/>
        <charset val="128"/>
      </rPr>
      <t>赤瀬川原平</t>
    </r>
    <rPh sb="0" eb="5">
      <t>アカセガワゲンペイ</t>
    </rPh>
    <phoneticPr fontId="1"/>
  </si>
  <si>
    <r>
      <rPr>
        <sz val="11"/>
        <rFont val="游ゴシック Medium"/>
        <family val="3"/>
        <charset val="128"/>
      </rPr>
      <t>ぼくの昔の東京生活</t>
    </r>
    <rPh sb="3" eb="4">
      <t>ムカシ</t>
    </rPh>
    <rPh sb="5" eb="7">
      <t>トウキョウ</t>
    </rPh>
    <rPh sb="7" eb="9">
      <t>セイカツ</t>
    </rPh>
    <phoneticPr fontId="1"/>
  </si>
  <si>
    <r>
      <rPr>
        <sz val="11"/>
        <rFont val="游ゴシック Medium"/>
        <family val="3"/>
        <charset val="128"/>
      </rPr>
      <t>筑摩書房</t>
    </r>
    <rPh sb="0" eb="4">
      <t>チクマショボウ</t>
    </rPh>
    <phoneticPr fontId="1"/>
  </si>
  <si>
    <r>
      <rPr>
        <sz val="11"/>
        <rFont val="游ゴシック Medium"/>
        <family val="3"/>
        <charset val="128"/>
      </rPr>
      <t>よーこのカバンから発掘</t>
    </r>
    <rPh sb="9" eb="11">
      <t>ハックツ</t>
    </rPh>
    <phoneticPr fontId="1"/>
  </si>
  <si>
    <r>
      <rPr>
        <sz val="11"/>
        <rFont val="游ゴシック Medium"/>
        <family val="3"/>
        <charset val="128"/>
      </rPr>
      <t>浅田</t>
    </r>
    <r>
      <rPr>
        <sz val="11"/>
        <rFont val="Consolas"/>
        <family val="3"/>
      </rPr>
      <t xml:space="preserve"> </t>
    </r>
    <r>
      <rPr>
        <sz val="11"/>
        <rFont val="游ゴシック Medium"/>
        <family val="3"/>
        <charset val="128"/>
      </rPr>
      <t>彰</t>
    </r>
    <rPh sb="0" eb="4">
      <t>アサダアキラ</t>
    </rPh>
    <phoneticPr fontId="1"/>
  </si>
  <si>
    <r>
      <t>Hermes</t>
    </r>
    <r>
      <rPr>
        <sz val="11"/>
        <rFont val="游ゴシック Medium"/>
        <family val="3"/>
        <charset val="128"/>
      </rPr>
      <t>の音楽</t>
    </r>
    <rPh sb="0" eb="6">
      <t>ヘルメス</t>
    </rPh>
    <rPh sb="7" eb="9">
      <t>オンガク</t>
    </rPh>
    <phoneticPr fontId="1"/>
  </si>
  <si>
    <r>
      <rPr>
        <sz val="11"/>
        <rFont val="游ゴシック Medium"/>
        <family val="3"/>
        <charset val="128"/>
      </rPr>
      <t>逃走論</t>
    </r>
    <r>
      <rPr>
        <sz val="11"/>
        <rFont val="Consolas"/>
        <family val="3"/>
      </rPr>
      <t>/</t>
    </r>
    <r>
      <rPr>
        <sz val="11"/>
        <rFont val="游ゴシック Medium"/>
        <family val="3"/>
        <charset val="128"/>
      </rPr>
      <t>スキゾ・ヘッズの冒険</t>
    </r>
    <rPh sb="0" eb="2">
      <t>トウソウ</t>
    </rPh>
    <rPh sb="2" eb="3">
      <t>ロン</t>
    </rPh>
    <rPh sb="12" eb="14">
      <t>ボウケン</t>
    </rPh>
    <phoneticPr fontId="1"/>
  </si>
  <si>
    <r>
      <rPr>
        <b/>
        <sz val="11"/>
        <color indexed="33"/>
        <rFont val="游ゴシック Medium"/>
        <family val="3"/>
        <charset val="128"/>
      </rPr>
      <t>安部公房</t>
    </r>
    <rPh sb="0" eb="2">
      <t>アベ</t>
    </rPh>
    <rPh sb="2" eb="4">
      <t>コウボウ</t>
    </rPh>
    <phoneticPr fontId="1"/>
  </si>
  <si>
    <r>
      <rPr>
        <sz val="11"/>
        <rFont val="游ゴシック Medium"/>
        <family val="3"/>
        <charset val="128"/>
      </rPr>
      <t>砂漠の思想</t>
    </r>
    <rPh sb="0" eb="2">
      <t>サバク</t>
    </rPh>
    <rPh sb="3" eb="5">
      <t>シソウ</t>
    </rPh>
    <phoneticPr fontId="1"/>
  </si>
  <si>
    <r>
      <rPr>
        <sz val="11"/>
        <rFont val="游ゴシック Medium"/>
        <family val="3"/>
        <charset val="128"/>
      </rPr>
      <t>方船さくら丸</t>
    </r>
    <rPh sb="0" eb="2">
      <t>ハコブネ</t>
    </rPh>
    <rPh sb="5" eb="6">
      <t>マル</t>
    </rPh>
    <phoneticPr fontId="1"/>
  </si>
  <si>
    <r>
      <rPr>
        <sz val="11"/>
        <rFont val="游ゴシック Medium"/>
        <family val="3"/>
        <charset val="128"/>
      </rPr>
      <t>発想の周辺</t>
    </r>
    <r>
      <rPr>
        <sz val="11"/>
        <rFont val="Consolas"/>
        <family val="3"/>
      </rPr>
      <t>/</t>
    </r>
    <r>
      <rPr>
        <sz val="11"/>
        <rFont val="游ゴシック Medium"/>
        <family val="3"/>
        <charset val="128"/>
      </rPr>
      <t>安部公房対談集</t>
    </r>
    <rPh sb="0" eb="2">
      <t>ハッソウ</t>
    </rPh>
    <rPh sb="3" eb="5">
      <t>シュウヘン</t>
    </rPh>
    <rPh sb="6" eb="8">
      <t>アベ</t>
    </rPh>
    <rPh sb="8" eb="10">
      <t>コウボウ</t>
    </rPh>
    <rPh sb="10" eb="12">
      <t>タイダン</t>
    </rPh>
    <rPh sb="12" eb="13">
      <t>シュウ</t>
    </rPh>
    <phoneticPr fontId="1"/>
  </si>
  <si>
    <r>
      <rPr>
        <sz val="11"/>
        <rFont val="游ゴシック Medium"/>
        <family val="3"/>
        <charset val="128"/>
      </rPr>
      <t>葛飾区立葛飾図書館</t>
    </r>
    <rPh sb="0" eb="4">
      <t>カツシカクリツ</t>
    </rPh>
    <rPh sb="4" eb="6">
      <t>カツシカ</t>
    </rPh>
    <rPh sb="6" eb="9">
      <t>トショカン</t>
    </rPh>
    <phoneticPr fontId="1"/>
  </si>
  <si>
    <r>
      <rPr>
        <b/>
        <sz val="11"/>
        <color indexed="33"/>
        <rFont val="游ゴシック Medium"/>
        <family val="3"/>
        <charset val="128"/>
      </rPr>
      <t>安部公房</t>
    </r>
    <r>
      <rPr>
        <sz val="11"/>
        <rFont val="Consolas"/>
        <family val="3"/>
      </rPr>
      <t>/</t>
    </r>
    <r>
      <rPr>
        <sz val="11"/>
        <rFont val="游ゴシック Medium"/>
        <family val="3"/>
        <charset val="128"/>
      </rPr>
      <t>シールズ</t>
    </r>
    <r>
      <rPr>
        <sz val="11"/>
        <rFont val="Consolas"/>
        <family val="3"/>
      </rPr>
      <t>,</t>
    </r>
    <r>
      <rPr>
        <sz val="11"/>
        <rFont val="游ゴシック Medium"/>
        <family val="3"/>
        <charset val="128"/>
      </rPr>
      <t>ナンシー･</t>
    </r>
    <r>
      <rPr>
        <sz val="11"/>
        <rFont val="Consolas"/>
        <family val="3"/>
      </rPr>
      <t>K</t>
    </r>
    <rPh sb="0" eb="2">
      <t>アベ</t>
    </rPh>
    <rPh sb="2" eb="4">
      <t>コウボウ</t>
    </rPh>
    <phoneticPr fontId="1"/>
  </si>
  <si>
    <r>
      <rPr>
        <sz val="11"/>
        <rFont val="游ゴシック Medium"/>
        <family val="3"/>
        <charset val="128"/>
      </rPr>
      <t>安保大有</t>
    </r>
    <phoneticPr fontId="1"/>
  </si>
  <si>
    <r>
      <rPr>
        <sz val="11"/>
        <rFont val="游ゴシック Medium"/>
        <family val="3"/>
        <charset val="128"/>
      </rPr>
      <t>安部公房の劇場</t>
    </r>
    <rPh sb="0" eb="4">
      <t>アベコウボウ</t>
    </rPh>
    <rPh sb="5" eb="7">
      <t>ゲキジョウ</t>
    </rPh>
    <phoneticPr fontId="1"/>
  </si>
  <si>
    <r>
      <rPr>
        <sz val="11"/>
        <rFont val="游ゴシック Medium"/>
        <family val="3"/>
        <charset val="128"/>
      </rPr>
      <t>有島武郎</t>
    </r>
    <rPh sb="0" eb="2">
      <t>アリシマ</t>
    </rPh>
    <rPh sb="2" eb="4">
      <t>タケオ</t>
    </rPh>
    <phoneticPr fontId="1"/>
  </si>
  <si>
    <r>
      <rPr>
        <sz val="11"/>
        <rFont val="游ゴシック Medium"/>
        <family val="3"/>
        <charset val="128"/>
      </rPr>
      <t>生まれ出ずる悩み</t>
    </r>
    <rPh sb="0" eb="1">
      <t>ウ</t>
    </rPh>
    <rPh sb="3" eb="4">
      <t>イ</t>
    </rPh>
    <rPh sb="6" eb="7">
      <t>ナヤ</t>
    </rPh>
    <phoneticPr fontId="1"/>
  </si>
  <si>
    <r>
      <t>Junior</t>
    </r>
    <r>
      <rPr>
        <sz val="11"/>
        <rFont val="游ゴシック Medium"/>
        <family val="3"/>
        <charset val="128"/>
      </rPr>
      <t>版日本の文学</t>
    </r>
    <r>
      <rPr>
        <sz val="11"/>
        <rFont val="Consolas"/>
        <family val="3"/>
      </rPr>
      <t>/30</t>
    </r>
    <rPh sb="0" eb="6">
      <t>ジュニア</t>
    </rPh>
    <rPh sb="6" eb="7">
      <t>バン</t>
    </rPh>
    <rPh sb="7" eb="9">
      <t>ニホン</t>
    </rPh>
    <rPh sb="10" eb="12">
      <t>ブンガク</t>
    </rPh>
    <phoneticPr fontId="1"/>
  </si>
  <si>
    <r>
      <rPr>
        <sz val="11"/>
        <rFont val="游ゴシック Medium"/>
        <family val="3"/>
        <charset val="128"/>
      </rPr>
      <t>伊井直行</t>
    </r>
    <rPh sb="0" eb="2">
      <t>イイ</t>
    </rPh>
    <rPh sb="2" eb="4">
      <t>ナオユキ</t>
    </rPh>
    <phoneticPr fontId="1"/>
  </si>
  <si>
    <r>
      <rPr>
        <sz val="11"/>
        <rFont val="游ゴシック Medium"/>
        <family val="3"/>
        <charset val="128"/>
      </rPr>
      <t>草のかんむり</t>
    </r>
    <rPh sb="0" eb="1">
      <t>クサ</t>
    </rPh>
    <phoneticPr fontId="1"/>
  </si>
  <si>
    <r>
      <rPr>
        <sz val="11"/>
        <rFont val="游ゴシック Medium"/>
        <family val="3"/>
        <charset val="128"/>
      </rPr>
      <t>主人公が蛙になる</t>
    </r>
    <r>
      <rPr>
        <sz val="11"/>
        <rFont val="Consolas"/>
        <family val="3"/>
      </rPr>
      <t>/</t>
    </r>
    <r>
      <rPr>
        <sz val="11"/>
        <rFont val="游ゴシック Medium"/>
        <family val="3"/>
        <charset val="128"/>
      </rPr>
      <t>群像新人賞</t>
    </r>
    <rPh sb="0" eb="3">
      <t>シュジンコウ</t>
    </rPh>
    <rPh sb="4" eb="5">
      <t>カエル</t>
    </rPh>
    <rPh sb="9" eb="11">
      <t>グンゾウ</t>
    </rPh>
    <rPh sb="11" eb="14">
      <t>シンジンショウ</t>
    </rPh>
    <phoneticPr fontId="1"/>
  </si>
  <si>
    <r>
      <rPr>
        <sz val="11"/>
        <rFont val="游ゴシック Medium"/>
        <family val="3"/>
        <charset val="128"/>
      </rPr>
      <t>お母さんの恋人</t>
    </r>
    <rPh sb="1" eb="2">
      <t>カア</t>
    </rPh>
    <rPh sb="5" eb="7">
      <t>コイビト</t>
    </rPh>
    <phoneticPr fontId="1"/>
  </si>
  <si>
    <r>
      <rPr>
        <sz val="11"/>
        <rFont val="游ゴシック Medium"/>
        <family val="3"/>
        <charset val="128"/>
      </rPr>
      <t>池澤夏樹</t>
    </r>
    <rPh sb="0" eb="2">
      <t>イケザワ</t>
    </rPh>
    <rPh sb="2" eb="4">
      <t>ナツキ</t>
    </rPh>
    <phoneticPr fontId="1"/>
  </si>
  <si>
    <r>
      <rPr>
        <sz val="11"/>
        <rFont val="游ゴシック Medium"/>
        <family val="3"/>
        <charset val="128"/>
      </rPr>
      <t>夏の朝の成層圏</t>
    </r>
    <rPh sb="0" eb="1">
      <t>ナツ</t>
    </rPh>
    <rPh sb="2" eb="3">
      <t>アサ</t>
    </rPh>
    <rPh sb="4" eb="7">
      <t>セイソウケン</t>
    </rPh>
    <phoneticPr fontId="1"/>
  </si>
  <si>
    <r>
      <rPr>
        <sz val="11"/>
        <rFont val="游ゴシック Medium"/>
        <family val="3"/>
        <charset val="128"/>
      </rPr>
      <t>中央公論社</t>
    </r>
    <rPh sb="0" eb="5">
      <t>チュウオウコウロンシャ</t>
    </rPh>
    <phoneticPr fontId="1"/>
  </si>
  <si>
    <r>
      <rPr>
        <sz val="11"/>
        <rFont val="游ゴシック Medium"/>
        <family val="3"/>
        <charset val="128"/>
      </rPr>
      <t>石川</t>
    </r>
    <r>
      <rPr>
        <sz val="11"/>
        <rFont val="Consolas"/>
        <family val="3"/>
      </rPr>
      <t xml:space="preserve"> </t>
    </r>
    <r>
      <rPr>
        <sz val="11"/>
        <rFont val="游ゴシック Medium"/>
        <family val="3"/>
        <charset val="128"/>
      </rPr>
      <t>淳</t>
    </r>
    <rPh sb="0" eb="4">
      <t>イシカワジュン</t>
    </rPh>
    <phoneticPr fontId="1"/>
  </si>
  <si>
    <r>
      <rPr>
        <sz val="11"/>
        <rFont val="游ゴシック Medium"/>
        <family val="3"/>
        <charset val="128"/>
      </rPr>
      <t>蛇の歌</t>
    </r>
    <rPh sb="0" eb="1">
      <t>ヘビ</t>
    </rPh>
    <rPh sb="2" eb="3">
      <t>ウタ</t>
    </rPh>
    <phoneticPr fontId="1"/>
  </si>
  <si>
    <r>
      <rPr>
        <sz val="11"/>
        <rFont val="游ゴシック Medium"/>
        <family val="3"/>
        <charset val="128"/>
      </rPr>
      <t>天門</t>
    </r>
    <rPh sb="0" eb="2">
      <t>テンモン</t>
    </rPh>
    <phoneticPr fontId="1"/>
  </si>
  <si>
    <r>
      <rPr>
        <strike/>
        <sz val="11"/>
        <rFont val="游ゴシック Medium"/>
        <family val="3"/>
        <charset val="128"/>
      </rPr>
      <t>文学</t>
    </r>
    <rPh sb="0" eb="2">
      <t>ブンガク</t>
    </rPh>
    <phoneticPr fontId="1"/>
  </si>
  <si>
    <r>
      <rPr>
        <strike/>
        <sz val="11"/>
        <rFont val="游ゴシック Medium"/>
        <family val="3"/>
        <charset val="128"/>
      </rPr>
      <t>伊島りすと</t>
    </r>
    <rPh sb="0" eb="2">
      <t>イジマ</t>
    </rPh>
    <phoneticPr fontId="1"/>
  </si>
  <si>
    <r>
      <rPr>
        <strike/>
        <sz val="11"/>
        <rFont val="游ゴシック Medium"/>
        <family val="3"/>
        <charset val="128"/>
      </rPr>
      <t>角川書店</t>
    </r>
    <rPh sb="0" eb="2">
      <t>カドカワ</t>
    </rPh>
    <rPh sb="2" eb="4">
      <t>ショテン</t>
    </rPh>
    <phoneticPr fontId="1"/>
  </si>
  <si>
    <r>
      <rPr>
        <strike/>
        <sz val="11"/>
        <rFont val="游ゴシック Medium"/>
        <family val="3"/>
        <charset val="128"/>
      </rPr>
      <t>第</t>
    </r>
    <r>
      <rPr>
        <strike/>
        <sz val="11"/>
        <rFont val="Consolas"/>
        <family val="3"/>
      </rPr>
      <t>8</t>
    </r>
    <r>
      <rPr>
        <strike/>
        <sz val="11"/>
        <rFont val="游ゴシック Medium"/>
        <family val="3"/>
        <charset val="128"/>
      </rPr>
      <t>回日本ホラー小説大賞</t>
    </r>
    <rPh sb="0" eb="1">
      <t>ダイ</t>
    </rPh>
    <rPh sb="2" eb="3">
      <t>カイ</t>
    </rPh>
    <rPh sb="3" eb="5">
      <t>ニホン</t>
    </rPh>
    <rPh sb="8" eb="10">
      <t>ショウセツ</t>
    </rPh>
    <rPh sb="10" eb="12">
      <t>タイショウ</t>
    </rPh>
    <phoneticPr fontId="1"/>
  </si>
  <si>
    <r>
      <rPr>
        <sz val="11"/>
        <rFont val="游ゴシック Medium"/>
        <family val="3"/>
        <charset val="128"/>
      </rPr>
      <t>泉</t>
    </r>
    <r>
      <rPr>
        <sz val="11"/>
        <rFont val="Consolas"/>
        <family val="3"/>
      </rPr>
      <t xml:space="preserve"> </t>
    </r>
    <r>
      <rPr>
        <sz val="11"/>
        <rFont val="游ゴシック Medium"/>
        <family val="3"/>
        <charset val="128"/>
      </rPr>
      <t>鏡花</t>
    </r>
    <rPh sb="0" eb="1">
      <t>イズミ</t>
    </rPh>
    <rPh sb="2" eb="4">
      <t>キョウカ</t>
    </rPh>
    <phoneticPr fontId="1"/>
  </si>
  <si>
    <r>
      <rPr>
        <sz val="11"/>
        <rFont val="游ゴシック Medium"/>
        <family val="3"/>
        <charset val="128"/>
      </rPr>
      <t>野口武彦</t>
    </r>
    <rPh sb="0" eb="2">
      <t>ノグチ</t>
    </rPh>
    <rPh sb="2" eb="4">
      <t>タケヒコ</t>
    </rPh>
    <phoneticPr fontId="1"/>
  </si>
  <si>
    <r>
      <rPr>
        <sz val="11"/>
        <rFont val="游ゴシック Medium"/>
        <family val="3"/>
        <charset val="128"/>
      </rPr>
      <t>泉</t>
    </r>
    <r>
      <rPr>
        <sz val="11"/>
        <rFont val="Consolas"/>
        <family val="3"/>
      </rPr>
      <t xml:space="preserve"> </t>
    </r>
    <r>
      <rPr>
        <sz val="11"/>
        <rFont val="游ゴシック Medium"/>
        <family val="3"/>
        <charset val="128"/>
      </rPr>
      <t>鏡花</t>
    </r>
    <r>
      <rPr>
        <sz val="11"/>
        <rFont val="Consolas"/>
        <family val="3"/>
      </rPr>
      <t>/</t>
    </r>
    <r>
      <rPr>
        <sz val="11"/>
        <rFont val="游ゴシック Medium"/>
        <family val="3"/>
        <charset val="128"/>
      </rPr>
      <t>鑑賞</t>
    </r>
    <r>
      <rPr>
        <sz val="11"/>
        <rFont val="Consolas"/>
        <family val="3"/>
      </rPr>
      <t xml:space="preserve"> </t>
    </r>
    <r>
      <rPr>
        <sz val="11"/>
        <rFont val="游ゴシック Medium"/>
        <family val="3"/>
        <charset val="128"/>
      </rPr>
      <t>日本現代文学</t>
    </r>
    <r>
      <rPr>
        <sz val="11"/>
        <rFont val="Consolas"/>
        <family val="3"/>
      </rPr>
      <t xml:space="preserve"> </t>
    </r>
    <r>
      <rPr>
        <sz val="11"/>
        <rFont val="游ゴシック Medium"/>
        <family val="3"/>
        <charset val="128"/>
      </rPr>
      <t>第</t>
    </r>
    <r>
      <rPr>
        <sz val="11"/>
        <rFont val="Consolas"/>
        <family val="3"/>
      </rPr>
      <t>3</t>
    </r>
    <r>
      <rPr>
        <sz val="11"/>
        <rFont val="游ゴシック Medium"/>
        <family val="3"/>
        <charset val="128"/>
      </rPr>
      <t>巻</t>
    </r>
    <rPh sb="0" eb="1">
      <t>イズミ</t>
    </rPh>
    <rPh sb="2" eb="4">
      <t>キョウカ</t>
    </rPh>
    <rPh sb="5" eb="7">
      <t>カンショウ</t>
    </rPh>
    <rPh sb="8" eb="10">
      <t>ニホン</t>
    </rPh>
    <rPh sb="10" eb="12">
      <t>ゲンダイ</t>
    </rPh>
    <rPh sb="12" eb="14">
      <t>ブンガク</t>
    </rPh>
    <rPh sb="15" eb="16">
      <t>ダイ</t>
    </rPh>
    <rPh sb="17" eb="18">
      <t>カン</t>
    </rPh>
    <phoneticPr fontId="1"/>
  </si>
  <si>
    <r>
      <rPr>
        <sz val="11"/>
        <rFont val="游ゴシック Medium"/>
        <family val="3"/>
        <charset val="128"/>
      </rPr>
      <t>鑑賞</t>
    </r>
    <r>
      <rPr>
        <sz val="11"/>
        <rFont val="Consolas"/>
        <family val="3"/>
      </rPr>
      <t xml:space="preserve"> </t>
    </r>
    <r>
      <rPr>
        <sz val="11"/>
        <rFont val="游ゴシック Medium"/>
        <family val="3"/>
        <charset val="128"/>
      </rPr>
      <t>日本現代文学</t>
    </r>
    <r>
      <rPr>
        <sz val="11"/>
        <rFont val="Consolas"/>
        <family val="3"/>
      </rPr>
      <t xml:space="preserve"> </t>
    </r>
    <r>
      <rPr>
        <sz val="11"/>
        <rFont val="游ゴシック Medium"/>
        <family val="3"/>
        <charset val="128"/>
      </rPr>
      <t>第</t>
    </r>
    <r>
      <rPr>
        <sz val="11"/>
        <rFont val="Consolas"/>
        <family val="3"/>
      </rPr>
      <t>3</t>
    </r>
    <r>
      <rPr>
        <sz val="11"/>
        <rFont val="游ゴシック Medium"/>
        <family val="3"/>
        <charset val="128"/>
      </rPr>
      <t>巻</t>
    </r>
    <rPh sb="0" eb="2">
      <t>カンショウ</t>
    </rPh>
    <rPh sb="3" eb="5">
      <t>ニホン</t>
    </rPh>
    <rPh sb="5" eb="7">
      <t>ゲンダイ</t>
    </rPh>
    <rPh sb="7" eb="9">
      <t>ブンガク</t>
    </rPh>
    <rPh sb="10" eb="11">
      <t>ダイ</t>
    </rPh>
    <rPh sb="12" eb="13">
      <t>カン</t>
    </rPh>
    <phoneticPr fontId="1"/>
  </si>
  <si>
    <r>
      <rPr>
        <sz val="11"/>
        <rFont val="游ゴシック Medium"/>
        <family val="3"/>
        <charset val="128"/>
      </rPr>
      <t>角川書店</t>
    </r>
    <rPh sb="0" eb="2">
      <t>カドカワ</t>
    </rPh>
    <rPh sb="2" eb="4">
      <t>ショテン</t>
    </rPh>
    <phoneticPr fontId="1"/>
  </si>
  <si>
    <r>
      <rPr>
        <sz val="11"/>
        <rFont val="游ゴシック Medium"/>
        <family val="3"/>
        <charset val="128"/>
      </rPr>
      <t>除籍本</t>
    </r>
    <r>
      <rPr>
        <sz val="11"/>
        <rFont val="Consolas"/>
        <family val="3"/>
      </rPr>
      <t>/</t>
    </r>
    <r>
      <rPr>
        <sz val="11"/>
        <rFont val="游ゴシック Medium"/>
        <family val="3"/>
        <charset val="128"/>
      </rPr>
      <t>岸書店</t>
    </r>
    <r>
      <rPr>
        <sz val="11"/>
        <rFont val="Consolas"/>
        <family val="3"/>
      </rPr>
      <t>\800</t>
    </r>
    <rPh sb="0" eb="2">
      <t>ジョセキ</t>
    </rPh>
    <rPh sb="2" eb="3">
      <t>ボン</t>
    </rPh>
    <rPh sb="4" eb="5">
      <t>キシ</t>
    </rPh>
    <rPh sb="5" eb="7">
      <t>ショテン</t>
    </rPh>
    <phoneticPr fontId="1"/>
  </si>
  <si>
    <r>
      <rPr>
        <sz val="11"/>
        <rFont val="游ゴシック Medium"/>
        <family val="3"/>
        <charset val="128"/>
      </rPr>
      <t>井野博美</t>
    </r>
    <rPh sb="0" eb="2">
      <t>イノ</t>
    </rPh>
    <rPh sb="2" eb="4">
      <t>ヒロミ</t>
    </rPh>
    <phoneticPr fontId="1"/>
  </si>
  <si>
    <r>
      <rPr>
        <sz val="11"/>
        <rFont val="游ゴシック Medium"/>
        <family val="3"/>
        <charset val="128"/>
      </rPr>
      <t>アンドロギュノスの肖像</t>
    </r>
    <rPh sb="9" eb="11">
      <t>ショウゾウ</t>
    </rPh>
    <phoneticPr fontId="1"/>
  </si>
  <si>
    <r>
      <rPr>
        <sz val="11"/>
        <rFont val="游ゴシック Medium"/>
        <family val="3"/>
        <charset val="128"/>
      </rPr>
      <t>岩井志麻子</t>
    </r>
    <rPh sb="0" eb="2">
      <t>イワイ</t>
    </rPh>
    <rPh sb="2" eb="5">
      <t>シマコ</t>
    </rPh>
    <phoneticPr fontId="1"/>
  </si>
  <si>
    <r>
      <rPr>
        <sz val="11"/>
        <rFont val="游ゴシック Medium"/>
        <family val="3"/>
        <charset val="128"/>
      </rPr>
      <t>ぼっけえ、きょうてえ</t>
    </r>
    <phoneticPr fontId="1"/>
  </si>
  <si>
    <r>
      <rPr>
        <sz val="11"/>
        <rFont val="游ゴシック Medium"/>
        <family val="3"/>
        <charset val="128"/>
      </rPr>
      <t>第</t>
    </r>
    <r>
      <rPr>
        <sz val="11"/>
        <rFont val="Consolas"/>
        <family val="3"/>
      </rPr>
      <t>6</t>
    </r>
    <r>
      <rPr>
        <sz val="11"/>
        <rFont val="游ゴシック Medium"/>
        <family val="3"/>
        <charset val="128"/>
      </rPr>
      <t>回日本ホラー小説大賞</t>
    </r>
    <r>
      <rPr>
        <sz val="11"/>
        <rFont val="Consolas"/>
        <family val="3"/>
      </rPr>
      <t>/</t>
    </r>
    <r>
      <rPr>
        <sz val="11"/>
        <rFont val="游ゴシック Medium"/>
        <family val="3"/>
        <charset val="128"/>
      </rPr>
      <t>第</t>
    </r>
    <r>
      <rPr>
        <sz val="11"/>
        <rFont val="Consolas"/>
        <family val="3"/>
      </rPr>
      <t>13</t>
    </r>
    <r>
      <rPr>
        <sz val="11"/>
        <rFont val="游ゴシック Medium"/>
        <family val="3"/>
        <charset val="128"/>
      </rPr>
      <t>回山本周五郎賞</t>
    </r>
    <rPh sb="0" eb="1">
      <t>ダイ</t>
    </rPh>
    <rPh sb="2" eb="3">
      <t>カイ</t>
    </rPh>
    <rPh sb="3" eb="5">
      <t>ニホン</t>
    </rPh>
    <rPh sb="8" eb="10">
      <t>ショウセツ</t>
    </rPh>
    <rPh sb="10" eb="12">
      <t>タイショウ</t>
    </rPh>
    <rPh sb="13" eb="14">
      <t>ダイ</t>
    </rPh>
    <rPh sb="16" eb="17">
      <t>カイ</t>
    </rPh>
    <rPh sb="17" eb="19">
      <t>ヤマモト</t>
    </rPh>
    <rPh sb="19" eb="22">
      <t>シュウゴロウ</t>
    </rPh>
    <rPh sb="22" eb="23">
      <t>ショウ</t>
    </rPh>
    <phoneticPr fontId="1"/>
  </si>
  <si>
    <r>
      <rPr>
        <sz val="11"/>
        <rFont val="游ゴシック Medium"/>
        <family val="3"/>
        <charset val="128"/>
      </rPr>
      <t>岡山女</t>
    </r>
    <rPh sb="0" eb="2">
      <t>オカヤマ</t>
    </rPh>
    <rPh sb="2" eb="3">
      <t>オンナ</t>
    </rPh>
    <phoneticPr fontId="1"/>
  </si>
  <si>
    <r>
      <rPr>
        <sz val="11"/>
        <rFont val="游ゴシック Medium"/>
        <family val="3"/>
        <charset val="128"/>
      </rPr>
      <t>夜啼きの森</t>
    </r>
    <rPh sb="0" eb="2">
      <t>ヨナ</t>
    </rPh>
    <rPh sb="4" eb="5">
      <t>モリ</t>
    </rPh>
    <phoneticPr fontId="1"/>
  </si>
  <si>
    <r>
      <rPr>
        <sz val="11"/>
        <rFont val="游ゴシック Medium"/>
        <family val="3"/>
        <charset val="128"/>
      </rPr>
      <t>淡路町</t>
    </r>
    <rPh sb="0" eb="3">
      <t>アワジチョウ</t>
    </rPh>
    <phoneticPr fontId="1"/>
  </si>
  <si>
    <r>
      <rPr>
        <sz val="11"/>
        <rFont val="游ゴシック Medium"/>
        <family val="3"/>
        <charset val="128"/>
      </rPr>
      <t>邪悪な花鳥風月</t>
    </r>
    <rPh sb="0" eb="2">
      <t>ジャアク</t>
    </rPh>
    <rPh sb="3" eb="5">
      <t>カチョウ</t>
    </rPh>
    <rPh sb="5" eb="7">
      <t>フウゲツ</t>
    </rPh>
    <phoneticPr fontId="1"/>
  </si>
  <si>
    <r>
      <rPr>
        <sz val="11"/>
        <rFont val="游ゴシック Medium"/>
        <family val="3"/>
        <charset val="128"/>
      </rPr>
      <t>内田春菊</t>
    </r>
    <rPh sb="0" eb="2">
      <t>ウチダ</t>
    </rPh>
    <rPh sb="2" eb="4">
      <t>シュンギク</t>
    </rPh>
    <phoneticPr fontId="1"/>
  </si>
  <si>
    <r>
      <rPr>
        <sz val="11"/>
        <rFont val="游ゴシック Medium"/>
        <family val="3"/>
        <charset val="128"/>
      </rPr>
      <t>キオミ</t>
    </r>
    <phoneticPr fontId="1"/>
  </si>
  <si>
    <r>
      <rPr>
        <sz val="11"/>
        <rFont val="游ゴシック Medium"/>
        <family val="3"/>
        <charset val="128"/>
      </rPr>
      <t>ベネッセ</t>
    </r>
    <phoneticPr fontId="1"/>
  </si>
  <si>
    <r>
      <rPr>
        <sz val="11"/>
        <rFont val="游ゴシック Medium"/>
        <family val="3"/>
        <charset val="128"/>
      </rPr>
      <t>大塚英子</t>
    </r>
    <rPh sb="0" eb="2">
      <t>オオツカ</t>
    </rPh>
    <rPh sb="2" eb="4">
      <t>エイコ</t>
    </rPh>
    <phoneticPr fontId="1"/>
  </si>
  <si>
    <r>
      <rPr>
        <sz val="11"/>
        <rFont val="游ゴシック Medium"/>
        <family val="3"/>
        <charset val="128"/>
      </rPr>
      <t>「暗室」のなかで</t>
    </r>
    <r>
      <rPr>
        <sz val="11"/>
        <rFont val="Consolas"/>
        <family val="3"/>
      </rPr>
      <t>/</t>
    </r>
    <r>
      <rPr>
        <sz val="11"/>
        <rFont val="游ゴシック Medium"/>
        <family val="3"/>
        <charset val="128"/>
      </rPr>
      <t>吉行淳之介と私が隠れた深い穴</t>
    </r>
    <rPh sb="1" eb="3">
      <t>アンシツ</t>
    </rPh>
    <rPh sb="9" eb="11">
      <t>ヨシユキ</t>
    </rPh>
    <rPh sb="11" eb="14">
      <t>ジュンノスケ</t>
    </rPh>
    <rPh sb="15" eb="16">
      <t>ワタシ</t>
    </rPh>
    <rPh sb="17" eb="18">
      <t>カク</t>
    </rPh>
    <rPh sb="20" eb="21">
      <t>フカ</t>
    </rPh>
    <rPh sb="22" eb="23">
      <t>アナ</t>
    </rPh>
    <phoneticPr fontId="1"/>
  </si>
  <si>
    <r>
      <rPr>
        <sz val="11"/>
        <rFont val="游ゴシック Medium"/>
        <family val="3"/>
        <charset val="128"/>
      </rPr>
      <t>樫原辰郎</t>
    </r>
    <r>
      <rPr>
        <sz val="11"/>
        <rFont val="Consolas"/>
        <family val="3"/>
      </rPr>
      <t>/</t>
    </r>
    <r>
      <rPr>
        <sz val="11"/>
        <rFont val="游ゴシック Medium"/>
        <family val="3"/>
        <charset val="128"/>
      </rPr>
      <t>谷崎潤一郎</t>
    </r>
    <rPh sb="0" eb="2">
      <t>カシハラ</t>
    </rPh>
    <rPh sb="2" eb="4">
      <t>タツロウ</t>
    </rPh>
    <rPh sb="5" eb="7">
      <t>タニザキ</t>
    </rPh>
    <rPh sb="7" eb="10">
      <t>ジュンイチロウ</t>
    </rPh>
    <phoneticPr fontId="1"/>
  </si>
  <si>
    <r>
      <rPr>
        <sz val="11"/>
        <rFont val="游ゴシック Medium"/>
        <family val="3"/>
        <charset val="128"/>
      </rPr>
      <t>「痴人の愛」を歩く</t>
    </r>
    <rPh sb="1" eb="3">
      <t>チジン</t>
    </rPh>
    <rPh sb="4" eb="5">
      <t>アイ</t>
    </rPh>
    <rPh sb="7" eb="8">
      <t>アル</t>
    </rPh>
    <phoneticPr fontId="1"/>
  </si>
  <si>
    <r>
      <rPr>
        <sz val="11"/>
        <rFont val="游ゴシック Medium"/>
        <family val="3"/>
        <charset val="128"/>
      </rPr>
      <t>加藤弘一</t>
    </r>
    <rPh sb="0" eb="2">
      <t>カトウ</t>
    </rPh>
    <rPh sb="2" eb="4">
      <t>コウイチ</t>
    </rPh>
    <phoneticPr fontId="1"/>
  </si>
  <si>
    <r>
      <rPr>
        <sz val="11"/>
        <rFont val="游ゴシック Medium"/>
        <family val="3"/>
        <charset val="128"/>
      </rPr>
      <t>石川</t>
    </r>
    <r>
      <rPr>
        <sz val="11"/>
        <rFont val="Consolas"/>
        <family val="3"/>
      </rPr>
      <t xml:space="preserve"> </t>
    </r>
    <r>
      <rPr>
        <sz val="11"/>
        <rFont val="游ゴシック Medium"/>
        <family val="3"/>
        <charset val="128"/>
      </rPr>
      <t>淳</t>
    </r>
    <r>
      <rPr>
        <sz val="11"/>
        <rFont val="Consolas"/>
        <family val="3"/>
      </rPr>
      <t xml:space="preserve"> Cosmos</t>
    </r>
    <r>
      <rPr>
        <sz val="11"/>
        <rFont val="游ゴシック Medium"/>
        <family val="3"/>
        <charset val="128"/>
      </rPr>
      <t>の知慧</t>
    </r>
    <rPh sb="0" eb="4">
      <t>イシカワジュン</t>
    </rPh>
    <rPh sb="5" eb="11">
      <t>コスモス</t>
    </rPh>
    <rPh sb="12" eb="14">
      <t>チエ</t>
    </rPh>
    <phoneticPr fontId="1"/>
  </si>
  <si>
    <r>
      <rPr>
        <sz val="11"/>
        <rFont val="游ゴシック Medium"/>
        <family val="3"/>
        <charset val="128"/>
      </rPr>
      <t>金井美恵子</t>
    </r>
    <rPh sb="0" eb="5">
      <t>カナイミエコ</t>
    </rPh>
    <phoneticPr fontId="1"/>
  </si>
  <si>
    <r>
      <rPr>
        <sz val="11"/>
        <rFont val="游ゴシック Medium"/>
        <family val="3"/>
        <charset val="128"/>
      </rPr>
      <t>おばさんのディスクール</t>
    </r>
    <phoneticPr fontId="1"/>
  </si>
  <si>
    <r>
      <rPr>
        <sz val="11"/>
        <rFont val="游ゴシック Medium"/>
        <family val="3"/>
        <charset val="128"/>
      </rPr>
      <t>単語集</t>
    </r>
    <rPh sb="0" eb="3">
      <t>タンゴシュウ</t>
    </rPh>
    <phoneticPr fontId="1"/>
  </si>
  <si>
    <r>
      <rPr>
        <sz val="11"/>
        <rFont val="游ゴシック Medium"/>
        <family val="3"/>
        <charset val="128"/>
      </rPr>
      <t>くずれる水</t>
    </r>
    <rPh sb="4" eb="5">
      <t>ミズ</t>
    </rPh>
    <phoneticPr fontId="1"/>
  </si>
  <si>
    <r>
      <rPr>
        <sz val="11"/>
        <rFont val="游ゴシック Medium"/>
        <family val="3"/>
        <charset val="128"/>
      </rPr>
      <t>言葉と</t>
    </r>
    <r>
      <rPr>
        <sz val="11"/>
        <rFont val="Consolas"/>
        <family val="3"/>
      </rPr>
      <t>&lt;</t>
    </r>
    <r>
      <rPr>
        <sz val="11"/>
        <rFont val="游ゴシック Medium"/>
        <family val="3"/>
        <charset val="128"/>
      </rPr>
      <t>ずれ</t>
    </r>
    <r>
      <rPr>
        <sz val="11"/>
        <rFont val="Consolas"/>
        <family val="3"/>
      </rPr>
      <t>&gt;</t>
    </r>
    <rPh sb="0" eb="2">
      <t>コトバ</t>
    </rPh>
    <phoneticPr fontId="1"/>
  </si>
  <si>
    <r>
      <rPr>
        <sz val="11"/>
        <rFont val="游ゴシック Medium"/>
        <family val="3"/>
        <charset val="128"/>
      </rPr>
      <t>愛のような話</t>
    </r>
    <rPh sb="0" eb="1">
      <t>アイ</t>
    </rPh>
    <rPh sb="5" eb="6">
      <t>ハナシ</t>
    </rPh>
    <phoneticPr fontId="1"/>
  </si>
  <si>
    <r>
      <rPr>
        <sz val="11"/>
        <rFont val="游ゴシック Medium"/>
        <family val="3"/>
        <charset val="128"/>
      </rPr>
      <t>文章教室</t>
    </r>
    <rPh sb="0" eb="2">
      <t>ブンショウ</t>
    </rPh>
    <rPh sb="2" eb="4">
      <t>キョウシツ</t>
    </rPh>
    <phoneticPr fontId="1"/>
  </si>
  <si>
    <r>
      <rPr>
        <sz val="11"/>
        <rFont val="游ゴシック Medium"/>
        <family val="3"/>
        <charset val="128"/>
      </rPr>
      <t>福武書店</t>
    </r>
    <rPh sb="0" eb="4">
      <t>フクタケショテン</t>
    </rPh>
    <phoneticPr fontId="1"/>
  </si>
  <si>
    <r>
      <rPr>
        <sz val="11"/>
        <rFont val="游ゴシック Medium"/>
        <family val="3"/>
        <charset val="128"/>
      </rPr>
      <t>タマや</t>
    </r>
    <phoneticPr fontId="1"/>
  </si>
  <si>
    <r>
      <rPr>
        <sz val="11"/>
        <rFont val="游ゴシック Medium"/>
        <family val="3"/>
        <charset val="128"/>
      </rPr>
      <t>金井美恵子</t>
    </r>
    <r>
      <rPr>
        <sz val="11"/>
        <rFont val="Consolas"/>
        <family val="3"/>
      </rPr>
      <t>/</t>
    </r>
    <r>
      <rPr>
        <sz val="11"/>
        <rFont val="游ゴシック Medium"/>
        <family val="3"/>
        <charset val="128"/>
      </rPr>
      <t>木村</t>
    </r>
    <r>
      <rPr>
        <sz val="11"/>
        <rFont val="Consolas"/>
        <family val="3"/>
      </rPr>
      <t xml:space="preserve"> </t>
    </r>
    <r>
      <rPr>
        <sz val="11"/>
        <rFont val="游ゴシック Medium"/>
        <family val="3"/>
        <charset val="128"/>
      </rPr>
      <t>敏</t>
    </r>
    <rPh sb="0" eb="5">
      <t>カナイミエコ</t>
    </rPh>
    <rPh sb="6" eb="8">
      <t>キムラ</t>
    </rPh>
    <rPh sb="9" eb="10">
      <t>ビン</t>
    </rPh>
    <phoneticPr fontId="1"/>
  </si>
  <si>
    <r>
      <rPr>
        <sz val="11"/>
        <rFont val="游ゴシック Medium"/>
        <family val="3"/>
        <charset val="128"/>
      </rPr>
      <t>私は本当に私なのか</t>
    </r>
    <r>
      <rPr>
        <sz val="11"/>
        <rFont val="Consolas"/>
        <family val="3"/>
      </rPr>
      <t>/</t>
    </r>
    <r>
      <rPr>
        <sz val="11"/>
        <rFont val="游ゴシック Medium"/>
        <family val="3"/>
        <charset val="128"/>
      </rPr>
      <t>自己論講義</t>
    </r>
    <rPh sb="0" eb="1">
      <t>ワタシ</t>
    </rPh>
    <rPh sb="2" eb="4">
      <t>ホントウ</t>
    </rPh>
    <rPh sb="5" eb="6">
      <t>ワタシ</t>
    </rPh>
    <rPh sb="10" eb="12">
      <t>ジコ</t>
    </rPh>
    <rPh sb="12" eb="13">
      <t>ロン</t>
    </rPh>
    <rPh sb="13" eb="15">
      <t>コウギ</t>
    </rPh>
    <phoneticPr fontId="1"/>
  </si>
  <si>
    <r>
      <rPr>
        <sz val="11"/>
        <rFont val="游ゴシック Medium"/>
        <family val="3"/>
        <charset val="128"/>
      </rPr>
      <t>金井美恵子</t>
    </r>
    <r>
      <rPr>
        <sz val="11"/>
        <rFont val="Consolas"/>
        <family val="3"/>
      </rPr>
      <t>/</t>
    </r>
    <r>
      <rPr>
        <sz val="11"/>
        <rFont val="游ゴシック Medium"/>
        <family val="3"/>
        <charset val="128"/>
      </rPr>
      <t>渡辺兼人</t>
    </r>
    <rPh sb="0" eb="5">
      <t>カナイミエコ</t>
    </rPh>
    <rPh sb="6" eb="8">
      <t>ワタナベ</t>
    </rPh>
    <rPh sb="8" eb="10">
      <t>カネンド</t>
    </rPh>
    <phoneticPr fontId="1"/>
  </si>
  <si>
    <r>
      <rPr>
        <sz val="11"/>
        <rFont val="游ゴシック Medium"/>
        <family val="3"/>
        <charset val="128"/>
      </rPr>
      <t>既視の街</t>
    </r>
    <rPh sb="0" eb="2">
      <t>キシ</t>
    </rPh>
    <rPh sb="3" eb="4">
      <t>マチ</t>
    </rPh>
    <phoneticPr fontId="1"/>
  </si>
  <si>
    <r>
      <rPr>
        <sz val="11"/>
        <rFont val="游ゴシック Medium"/>
        <family val="3"/>
        <charset val="128"/>
      </rPr>
      <t>金原ひとみ</t>
    </r>
    <rPh sb="0" eb="2">
      <t>カネハラ</t>
    </rPh>
    <phoneticPr fontId="1"/>
  </si>
  <si>
    <r>
      <rPr>
        <sz val="11"/>
        <rFont val="游ゴシック Medium"/>
        <family val="3"/>
        <charset val="128"/>
      </rPr>
      <t>オートフィクション</t>
    </r>
    <phoneticPr fontId="1"/>
  </si>
  <si>
    <r>
      <rPr>
        <sz val="11"/>
        <rFont val="游ゴシック Medium"/>
        <family val="3"/>
        <charset val="128"/>
      </rPr>
      <t>神尾行三</t>
    </r>
    <rPh sb="0" eb="2">
      <t>カミオ</t>
    </rPh>
    <rPh sb="2" eb="4">
      <t>コウゾウ</t>
    </rPh>
    <phoneticPr fontId="1"/>
  </si>
  <si>
    <r>
      <rPr>
        <sz val="11"/>
        <rFont val="游ゴシック Medium"/>
        <family val="3"/>
        <charset val="128"/>
      </rPr>
      <t>内田</t>
    </r>
    <r>
      <rPr>
        <sz val="11"/>
        <rFont val="Consolas"/>
        <family val="3"/>
      </rPr>
      <t xml:space="preserve"> </t>
    </r>
    <r>
      <rPr>
        <sz val="11"/>
        <rFont val="游ゴシック Medium"/>
        <family val="3"/>
        <charset val="128"/>
      </rPr>
      <t>満</t>
    </r>
    <rPh sb="0" eb="2">
      <t>ウチダ</t>
    </rPh>
    <rPh sb="3" eb="4">
      <t>ミツル</t>
    </rPh>
    <phoneticPr fontId="1"/>
  </si>
  <si>
    <r>
      <rPr>
        <sz val="11"/>
        <rFont val="游ゴシック Medium"/>
        <family val="3"/>
        <charset val="128"/>
      </rPr>
      <t>父</t>
    </r>
    <r>
      <rPr>
        <sz val="11"/>
        <rFont val="Consolas"/>
        <family val="3"/>
      </rPr>
      <t xml:space="preserve"> </t>
    </r>
    <r>
      <rPr>
        <sz val="11"/>
        <rFont val="游ゴシック Medium"/>
        <family val="3"/>
        <charset val="128"/>
      </rPr>
      <t>有島武郎と私</t>
    </r>
    <rPh sb="0" eb="1">
      <t>チチ</t>
    </rPh>
    <rPh sb="2" eb="4">
      <t>アリシマ</t>
    </rPh>
    <rPh sb="4" eb="6">
      <t>タケオ</t>
    </rPh>
    <rPh sb="7" eb="8">
      <t>ワタシ</t>
    </rPh>
    <phoneticPr fontId="1"/>
  </si>
  <si>
    <r>
      <rPr>
        <sz val="11"/>
        <rFont val="游ゴシック Medium"/>
        <family val="3"/>
        <charset val="128"/>
      </rPr>
      <t>右文書院</t>
    </r>
    <rPh sb="0" eb="2">
      <t>ユウブン</t>
    </rPh>
    <rPh sb="2" eb="4">
      <t>ショイン</t>
    </rPh>
    <phoneticPr fontId="1"/>
  </si>
  <si>
    <r>
      <rPr>
        <sz val="11"/>
        <rFont val="游ゴシック Medium"/>
        <family val="3"/>
        <charset val="128"/>
      </rPr>
      <t>唐</t>
    </r>
    <r>
      <rPr>
        <sz val="11"/>
        <rFont val="Consolas"/>
        <family val="3"/>
      </rPr>
      <t xml:space="preserve"> </t>
    </r>
    <r>
      <rPr>
        <sz val="11"/>
        <rFont val="游ゴシック Medium"/>
        <family val="3"/>
        <charset val="128"/>
      </rPr>
      <t>十郎</t>
    </r>
    <rPh sb="0" eb="4">
      <t>カラジュウロウ</t>
    </rPh>
    <phoneticPr fontId="1"/>
  </si>
  <si>
    <r>
      <rPr>
        <sz val="11"/>
        <rFont val="游ゴシック Medium"/>
        <family val="3"/>
        <charset val="128"/>
      </rPr>
      <t>安寿子の靴</t>
    </r>
    <rPh sb="0" eb="3">
      <t>ヤスコ</t>
    </rPh>
    <rPh sb="4" eb="5">
      <t>クツ</t>
    </rPh>
    <phoneticPr fontId="1"/>
  </si>
  <si>
    <r>
      <rPr>
        <sz val="11"/>
        <rFont val="游ゴシック Medium"/>
        <family val="3"/>
        <charset val="128"/>
      </rPr>
      <t>文藝春秋</t>
    </r>
    <rPh sb="0" eb="4">
      <t>ブンゲイシュンジュウ</t>
    </rPh>
    <phoneticPr fontId="1"/>
  </si>
  <si>
    <r>
      <rPr>
        <sz val="11"/>
        <rFont val="游ゴシック Medium"/>
        <family val="3"/>
        <charset val="128"/>
      </rPr>
      <t>川上弘美</t>
    </r>
    <rPh sb="0" eb="2">
      <t>カワカミ</t>
    </rPh>
    <rPh sb="2" eb="4">
      <t>ヒロミ</t>
    </rPh>
    <phoneticPr fontId="1"/>
  </si>
  <si>
    <r>
      <rPr>
        <sz val="11"/>
        <rFont val="游ゴシック Medium"/>
        <family val="3"/>
        <charset val="128"/>
      </rPr>
      <t>古道具</t>
    </r>
    <r>
      <rPr>
        <sz val="11"/>
        <rFont val="Consolas"/>
        <family val="3"/>
      </rPr>
      <t xml:space="preserve"> </t>
    </r>
    <r>
      <rPr>
        <sz val="11"/>
        <rFont val="游ゴシック Medium"/>
        <family val="3"/>
        <charset val="128"/>
      </rPr>
      <t>中野商店</t>
    </r>
    <rPh sb="0" eb="3">
      <t>フルドウグ</t>
    </rPh>
    <rPh sb="4" eb="6">
      <t>ナカノ</t>
    </rPh>
    <rPh sb="6" eb="8">
      <t>ショウテン</t>
    </rPh>
    <phoneticPr fontId="1"/>
  </si>
  <si>
    <r>
      <rPr>
        <sz val="11"/>
        <rFont val="游ゴシック Medium"/>
        <family val="3"/>
        <charset val="128"/>
      </rPr>
      <t>真鶴</t>
    </r>
    <rPh sb="0" eb="2">
      <t>マナヅル</t>
    </rPh>
    <phoneticPr fontId="1"/>
  </si>
  <si>
    <r>
      <rPr>
        <sz val="11"/>
        <rFont val="游ゴシック Medium"/>
        <family val="3"/>
        <charset val="128"/>
      </rPr>
      <t>ハヅキさんのこと</t>
    </r>
    <phoneticPr fontId="1"/>
  </si>
  <si>
    <r>
      <rPr>
        <sz val="11"/>
        <rFont val="游ゴシック Medium"/>
        <family val="3"/>
        <charset val="128"/>
      </rPr>
      <t>品川エトワール図書資料</t>
    </r>
    <r>
      <rPr>
        <sz val="11"/>
        <rFont val="Consolas"/>
        <family val="3"/>
      </rPr>
      <t xml:space="preserve"> 913 </t>
    </r>
    <r>
      <rPr>
        <sz val="11"/>
        <rFont val="游ゴシック Medium"/>
        <family val="3"/>
        <charset val="128"/>
      </rPr>
      <t>か</t>
    </r>
    <r>
      <rPr>
        <sz val="11"/>
        <rFont val="Consolas"/>
        <family val="3"/>
      </rPr>
      <t xml:space="preserve"> 628 2010/01/25</t>
    </r>
    <rPh sb="0" eb="2">
      <t>シナガワ</t>
    </rPh>
    <rPh sb="7" eb="9">
      <t>トショ</t>
    </rPh>
    <rPh sb="9" eb="11">
      <t>シリョウ</t>
    </rPh>
    <phoneticPr fontId="1"/>
  </si>
  <si>
    <r>
      <rPr>
        <sz val="11"/>
        <rFont val="游ゴシック Medium"/>
        <family val="3"/>
        <charset val="128"/>
      </rPr>
      <t>大きな鳥にさらわれないよう</t>
    </r>
    <rPh sb="0" eb="1">
      <t>オオ</t>
    </rPh>
    <rPh sb="3" eb="4">
      <t>トリ</t>
    </rPh>
    <phoneticPr fontId="1"/>
  </si>
  <si>
    <r>
      <rPr>
        <sz val="11"/>
        <rFont val="游ゴシック Medium"/>
        <family val="3"/>
        <charset val="128"/>
      </rPr>
      <t>初出</t>
    </r>
    <r>
      <rPr>
        <sz val="11"/>
        <rFont val="Consolas"/>
        <family val="3"/>
      </rPr>
      <t>:</t>
    </r>
    <r>
      <rPr>
        <sz val="11"/>
        <rFont val="游ゴシック Medium"/>
        <family val="3"/>
        <charset val="128"/>
      </rPr>
      <t>「群像」</t>
    </r>
    <r>
      <rPr>
        <sz val="11"/>
        <rFont val="Consolas"/>
        <family val="3"/>
      </rPr>
      <t>2014/02 -</t>
    </r>
    <rPh sb="0" eb="2">
      <t>ショシュツ</t>
    </rPh>
    <rPh sb="4" eb="6">
      <t>グンゾウ</t>
    </rPh>
    <phoneticPr fontId="1"/>
  </si>
  <si>
    <r>
      <rPr>
        <sz val="11"/>
        <rFont val="游ゴシック Medium"/>
        <family val="3"/>
        <charset val="128"/>
      </rPr>
      <t>某</t>
    </r>
    <rPh sb="0" eb="1">
      <t>ボウ</t>
    </rPh>
    <phoneticPr fontId="1"/>
  </si>
  <si>
    <r>
      <rPr>
        <sz val="11"/>
        <rFont val="游ゴシック Medium"/>
        <family val="3"/>
        <charset val="128"/>
      </rPr>
      <t>「小説幻冬」</t>
    </r>
    <r>
      <rPr>
        <sz val="11"/>
        <rFont val="Consolas"/>
        <family val="3"/>
      </rPr>
      <t xml:space="preserve">2017/05 - 2018/10 </t>
    </r>
    <r>
      <rPr>
        <sz val="11"/>
        <rFont val="游ゴシック Medium"/>
        <family val="3"/>
        <charset val="128"/>
      </rPr>
      <t>加筆・修正</t>
    </r>
    <rPh sb="1" eb="3">
      <t>ショウセツ</t>
    </rPh>
    <rPh sb="3" eb="5">
      <t>ゲントウ</t>
    </rPh>
    <rPh sb="24" eb="26">
      <t>カヒツ</t>
    </rPh>
    <rPh sb="27" eb="29">
      <t>シュウセイ</t>
    </rPh>
    <phoneticPr fontId="1"/>
  </si>
  <si>
    <r>
      <rPr>
        <sz val="11"/>
        <rFont val="游ゴシック Medium"/>
        <family val="3"/>
        <charset val="128"/>
      </rPr>
      <t>幻冬舎</t>
    </r>
    <rPh sb="0" eb="3">
      <t>ゲントウシャ</t>
    </rPh>
    <phoneticPr fontId="1"/>
  </si>
  <si>
    <r>
      <rPr>
        <sz val="11"/>
        <rFont val="游ゴシック Medium"/>
        <family val="3"/>
        <charset val="128"/>
      </rPr>
      <t>謹呈</t>
    </r>
    <r>
      <rPr>
        <sz val="11"/>
        <rFont val="Consolas"/>
        <family val="3"/>
      </rPr>
      <t xml:space="preserve"> </t>
    </r>
    <r>
      <rPr>
        <sz val="11"/>
        <rFont val="游ゴシック Medium"/>
        <family val="3"/>
        <charset val="128"/>
      </rPr>
      <t>著者</t>
    </r>
    <rPh sb="0" eb="2">
      <t>キンテイ</t>
    </rPh>
    <rPh sb="3" eb="5">
      <t>チョシャ</t>
    </rPh>
    <phoneticPr fontId="1"/>
  </si>
  <si>
    <r>
      <rPr>
        <sz val="11"/>
        <rFont val="游ゴシック Medium"/>
        <family val="3"/>
        <charset val="128"/>
      </rPr>
      <t>森へ行きましょう</t>
    </r>
    <rPh sb="0" eb="1">
      <t>モリ</t>
    </rPh>
    <rPh sb="2" eb="3">
      <t>ユ</t>
    </rPh>
    <phoneticPr fontId="1"/>
  </si>
  <si>
    <r>
      <rPr>
        <sz val="11"/>
        <rFont val="游ゴシック Medium"/>
        <family val="3"/>
        <charset val="128"/>
      </rPr>
      <t>初出</t>
    </r>
    <r>
      <rPr>
        <sz val="11"/>
        <rFont val="Consolas"/>
        <family val="3"/>
      </rPr>
      <t>:</t>
    </r>
    <r>
      <rPr>
        <sz val="11"/>
        <rFont val="游ゴシック Medium"/>
        <family val="3"/>
        <charset val="128"/>
      </rPr>
      <t>「日本経済新聞夕刊」</t>
    </r>
    <r>
      <rPr>
        <sz val="11"/>
        <rFont val="Consolas"/>
        <family val="3"/>
      </rPr>
      <t>2016/01/04 - 2017/02/18</t>
    </r>
    <rPh sb="0" eb="2">
      <t>ショシュツ</t>
    </rPh>
    <rPh sb="4" eb="10">
      <t>ニホンケイザイシンブン</t>
    </rPh>
    <rPh sb="10" eb="12">
      <t>ユウカン</t>
    </rPh>
    <phoneticPr fontId="1"/>
  </si>
  <si>
    <r>
      <rPr>
        <sz val="11"/>
        <rFont val="游ゴシック Medium"/>
        <family val="3"/>
        <charset val="128"/>
      </rPr>
      <t>日本経済新聞出版社</t>
    </r>
    <rPh sb="0" eb="9">
      <t>ニホンケイザイシンブンシュッパンシャ</t>
    </rPh>
    <phoneticPr fontId="1"/>
  </si>
  <si>
    <r>
      <rPr>
        <sz val="11"/>
        <rFont val="游ゴシック Medium"/>
        <family val="3"/>
        <charset val="128"/>
      </rPr>
      <t>木崎さと子</t>
    </r>
    <rPh sb="0" eb="2">
      <t>キザキ</t>
    </rPh>
    <rPh sb="4" eb="5">
      <t>コ</t>
    </rPh>
    <phoneticPr fontId="1"/>
  </si>
  <si>
    <r>
      <rPr>
        <sz val="11"/>
        <rFont val="游ゴシック Medium"/>
        <family val="3"/>
        <charset val="128"/>
      </rPr>
      <t>裸足</t>
    </r>
    <rPh sb="0" eb="1">
      <t>ラ</t>
    </rPh>
    <rPh sb="1" eb="2">
      <t>ソク</t>
    </rPh>
    <phoneticPr fontId="1"/>
  </si>
  <si>
    <r>
      <rPr>
        <sz val="11"/>
        <rFont val="游ゴシック Medium"/>
        <family val="3"/>
        <charset val="128"/>
      </rPr>
      <t>文学</t>
    </r>
    <r>
      <rPr>
        <sz val="11"/>
        <rFont val="Consolas"/>
        <family val="3"/>
      </rPr>
      <t>/</t>
    </r>
    <r>
      <rPr>
        <sz val="11"/>
        <rFont val="游ゴシック Medium"/>
        <family val="3"/>
        <charset val="128"/>
      </rPr>
      <t>戯曲</t>
    </r>
    <rPh sb="0" eb="2">
      <t>ブンガク</t>
    </rPh>
    <rPh sb="3" eb="5">
      <t>ギキョク</t>
    </rPh>
    <phoneticPr fontId="1"/>
  </si>
  <si>
    <r>
      <rPr>
        <sz val="11"/>
        <rFont val="游ゴシック Medium"/>
        <family val="3"/>
        <charset val="128"/>
      </rPr>
      <t>如月小春</t>
    </r>
    <rPh sb="0" eb="2">
      <t>キサラギ</t>
    </rPh>
    <rPh sb="2" eb="4">
      <t>コハル</t>
    </rPh>
    <phoneticPr fontId="1"/>
  </si>
  <si>
    <r>
      <rPr>
        <sz val="11"/>
        <rFont val="游ゴシック Medium"/>
        <family val="3"/>
        <charset val="128"/>
      </rPr>
      <t>久米</t>
    </r>
    <r>
      <rPr>
        <sz val="11"/>
        <rFont val="Consolas"/>
        <family val="3"/>
      </rPr>
      <t xml:space="preserve"> </t>
    </r>
    <r>
      <rPr>
        <sz val="11"/>
        <rFont val="游ゴシック Medium"/>
        <family val="3"/>
        <charset val="128"/>
      </rPr>
      <t>元一</t>
    </r>
    <rPh sb="0" eb="2">
      <t>クメ</t>
    </rPh>
    <rPh sb="3" eb="5">
      <t>モトカズ</t>
    </rPh>
    <phoneticPr fontId="1"/>
  </si>
  <si>
    <r>
      <rPr>
        <sz val="11"/>
        <rFont val="游ゴシック Medium"/>
        <family val="3"/>
        <charset val="128"/>
      </rPr>
      <t>悪魔のサイン</t>
    </r>
    <rPh sb="0" eb="2">
      <t>アクマ</t>
    </rPh>
    <phoneticPr fontId="1"/>
  </si>
  <si>
    <r>
      <t xml:space="preserve">913 </t>
    </r>
    <r>
      <rPr>
        <sz val="11"/>
        <rFont val="游ゴシック Medium"/>
        <family val="3"/>
        <charset val="128"/>
      </rPr>
      <t>ジュニア探偵小説</t>
    </r>
    <r>
      <rPr>
        <sz val="11"/>
        <rFont val="Consolas"/>
        <family val="3"/>
      </rPr>
      <t xml:space="preserve"> 25</t>
    </r>
    <rPh sb="8" eb="10">
      <t>タンテイ</t>
    </rPh>
    <rPh sb="10" eb="12">
      <t>ショウセツ</t>
    </rPh>
    <phoneticPr fontId="1"/>
  </si>
  <si>
    <r>
      <rPr>
        <sz val="11"/>
        <rFont val="游ゴシック Medium"/>
        <family val="3"/>
        <charset val="128"/>
      </rPr>
      <t>偕成社</t>
    </r>
    <rPh sb="0" eb="3">
      <t>カイセイシャ</t>
    </rPh>
    <phoneticPr fontId="1"/>
  </si>
  <si>
    <r>
      <rPr>
        <sz val="11"/>
        <rFont val="游ゴシック Medium"/>
        <family val="3"/>
        <charset val="128"/>
      </rPr>
      <t>少年時代の秀樹</t>
    </r>
    <r>
      <rPr>
        <sz val="11"/>
        <rFont val="Consolas"/>
        <family val="3"/>
      </rPr>
      <t>/</t>
    </r>
    <r>
      <rPr>
        <sz val="11"/>
        <rFont val="游ゴシック Medium"/>
        <family val="3"/>
        <charset val="128"/>
      </rPr>
      <t>もらいもの中古</t>
    </r>
    <rPh sb="0" eb="2">
      <t>ショウネン</t>
    </rPh>
    <rPh sb="2" eb="4">
      <t>ジダイ</t>
    </rPh>
    <rPh sb="5" eb="7">
      <t>ヒデキ</t>
    </rPh>
    <rPh sb="13" eb="15">
      <t>チュウコ</t>
    </rPh>
    <phoneticPr fontId="1"/>
  </si>
  <si>
    <r>
      <rPr>
        <sz val="11"/>
        <rFont val="游ゴシック Medium"/>
        <family val="3"/>
        <charset val="128"/>
      </rPr>
      <t>佐川一政</t>
    </r>
    <rPh sb="0" eb="2">
      <t>サガワ</t>
    </rPh>
    <rPh sb="2" eb="4">
      <t>イッセイ</t>
    </rPh>
    <phoneticPr fontId="1"/>
  </si>
  <si>
    <r>
      <rPr>
        <sz val="11"/>
        <rFont val="游ゴシック Medium"/>
        <family val="3"/>
        <charset val="128"/>
      </rPr>
      <t>霧の中</t>
    </r>
    <rPh sb="0" eb="1">
      <t>キリ</t>
    </rPh>
    <rPh sb="2" eb="3">
      <t>ナカ</t>
    </rPh>
    <phoneticPr fontId="1"/>
  </si>
  <si>
    <r>
      <rPr>
        <sz val="11"/>
        <rFont val="游ゴシック Medium"/>
        <family val="3"/>
        <charset val="128"/>
      </rPr>
      <t>話の特集</t>
    </r>
    <rPh sb="0" eb="1">
      <t>ハナシ</t>
    </rPh>
    <rPh sb="2" eb="4">
      <t>トクシュウ</t>
    </rPh>
    <phoneticPr fontId="1"/>
  </si>
  <si>
    <r>
      <t>subculture/</t>
    </r>
    <r>
      <rPr>
        <sz val="11"/>
        <rFont val="游ゴシック Medium"/>
        <family val="3"/>
        <charset val="128"/>
      </rPr>
      <t>文学</t>
    </r>
    <rPh sb="11" eb="13">
      <t>ブンガク</t>
    </rPh>
    <phoneticPr fontId="1"/>
  </si>
  <si>
    <r>
      <t>Sade,</t>
    </r>
    <r>
      <rPr>
        <b/>
        <sz val="11"/>
        <color indexed="33"/>
        <rFont val="游ゴシック Medium"/>
        <family val="3"/>
        <charset val="128"/>
      </rPr>
      <t>マルキ</t>
    </r>
    <r>
      <rPr>
        <b/>
        <sz val="11"/>
        <color indexed="33"/>
        <rFont val="Consolas"/>
        <family val="3"/>
      </rPr>
      <t xml:space="preserve"> de/Donatien-Alphonse-Francois de</t>
    </r>
    <rPh sb="0" eb="4">
      <t>サド</t>
    </rPh>
    <rPh sb="9" eb="11">
      <t>ド</t>
    </rPh>
    <rPh sb="39" eb="41">
      <t>ド</t>
    </rPh>
    <phoneticPr fontId="1"/>
  </si>
  <si>
    <r>
      <rPr>
        <sz val="11"/>
        <rFont val="游ゴシック Medium"/>
        <family val="3"/>
        <charset val="128"/>
      </rPr>
      <t>佐藤晴夫</t>
    </r>
    <rPh sb="0" eb="2">
      <t>サトウ</t>
    </rPh>
    <rPh sb="2" eb="4">
      <t>ハルオ</t>
    </rPh>
    <phoneticPr fontId="1"/>
  </si>
  <si>
    <r>
      <rPr>
        <sz val="11"/>
        <rFont val="游ゴシック Medium"/>
        <family val="3"/>
        <charset val="128"/>
      </rPr>
      <t>ソドム百二十日</t>
    </r>
    <rPh sb="3" eb="7">
      <t>ヒャクニジュウニチ</t>
    </rPh>
    <phoneticPr fontId="1"/>
  </si>
  <si>
    <r>
      <t>subculture/</t>
    </r>
    <r>
      <rPr>
        <sz val="11"/>
        <rFont val="游ゴシック Medium"/>
        <family val="3"/>
        <charset val="128"/>
      </rPr>
      <t>散文</t>
    </r>
    <rPh sb="11" eb="13">
      <t>サンブン</t>
    </rPh>
    <phoneticPr fontId="1"/>
  </si>
  <si>
    <r>
      <rPr>
        <b/>
        <sz val="11"/>
        <color indexed="33"/>
        <rFont val="游ゴシック Medium"/>
        <family val="3"/>
        <charset val="128"/>
      </rPr>
      <t>澁澤龍彦</t>
    </r>
    <rPh sb="0" eb="2">
      <t>シブサワ</t>
    </rPh>
    <rPh sb="2" eb="4">
      <t>タツヒコ</t>
    </rPh>
    <phoneticPr fontId="1"/>
  </si>
  <si>
    <r>
      <rPr>
        <sz val="11"/>
        <rFont val="游ゴシック Medium"/>
        <family val="3"/>
        <charset val="128"/>
      </rPr>
      <t>ねむり姫</t>
    </r>
    <rPh sb="3" eb="4">
      <t>ヒメ</t>
    </rPh>
    <phoneticPr fontId="1"/>
  </si>
  <si>
    <r>
      <rPr>
        <sz val="11"/>
        <rFont val="游ゴシック Medium"/>
        <family val="3"/>
        <charset val="128"/>
      </rPr>
      <t>島田雅彦</t>
    </r>
    <rPh sb="0" eb="2">
      <t>シマダ</t>
    </rPh>
    <rPh sb="2" eb="4">
      <t>マサヒコ</t>
    </rPh>
    <phoneticPr fontId="1"/>
  </si>
  <si>
    <r>
      <rPr>
        <sz val="11"/>
        <rFont val="游ゴシック Medium"/>
        <family val="3"/>
        <charset val="128"/>
      </rPr>
      <t>ドンナ･アンナ</t>
    </r>
    <phoneticPr fontId="1"/>
  </si>
  <si>
    <r>
      <rPr>
        <sz val="11"/>
        <rFont val="游ゴシック Medium"/>
        <family val="3"/>
        <charset val="128"/>
      </rPr>
      <t>島田雅彦</t>
    </r>
    <r>
      <rPr>
        <sz val="11"/>
        <rFont val="Consolas"/>
        <family val="3"/>
      </rPr>
      <t>+</t>
    </r>
    <r>
      <rPr>
        <sz val="11"/>
        <rFont val="游ゴシック Medium"/>
        <family val="3"/>
        <charset val="128"/>
      </rPr>
      <t>浅田</t>
    </r>
    <r>
      <rPr>
        <sz val="11"/>
        <rFont val="Consolas"/>
        <family val="3"/>
      </rPr>
      <t xml:space="preserve"> </t>
    </r>
    <r>
      <rPr>
        <sz val="11"/>
        <rFont val="游ゴシック Medium"/>
        <family val="3"/>
        <charset val="128"/>
      </rPr>
      <t>彰</t>
    </r>
    <rPh sb="0" eb="2">
      <t>シマダ</t>
    </rPh>
    <rPh sb="2" eb="4">
      <t>マサヒコ</t>
    </rPh>
    <rPh sb="5" eb="9">
      <t>アサダアキラ</t>
    </rPh>
    <phoneticPr fontId="1"/>
  </si>
  <si>
    <r>
      <rPr>
        <sz val="11"/>
        <rFont val="游ゴシック Medium"/>
        <family val="3"/>
        <charset val="128"/>
      </rPr>
      <t>天使が通る</t>
    </r>
    <r>
      <rPr>
        <sz val="11"/>
        <rFont val="Consolas"/>
        <family val="3"/>
      </rPr>
      <t>/An Angel Passes</t>
    </r>
    <rPh sb="0" eb="2">
      <t>テンシ</t>
    </rPh>
    <rPh sb="3" eb="4">
      <t>トオ</t>
    </rPh>
    <phoneticPr fontId="1"/>
  </si>
  <si>
    <r>
      <t>japan/</t>
    </r>
    <r>
      <rPr>
        <sz val="11"/>
        <rFont val="游ゴシック Medium"/>
        <family val="3"/>
        <charset val="128"/>
      </rPr>
      <t>脚本</t>
    </r>
    <r>
      <rPr>
        <sz val="11"/>
        <rFont val="Consolas"/>
        <family val="3"/>
      </rPr>
      <t>/</t>
    </r>
    <r>
      <rPr>
        <sz val="11"/>
        <rFont val="游ゴシック Medium"/>
        <family val="3"/>
        <charset val="128"/>
      </rPr>
      <t>日記</t>
    </r>
    <rPh sb="6" eb="8">
      <t>キャクホン</t>
    </rPh>
    <rPh sb="9" eb="11">
      <t>ニッキ</t>
    </rPh>
    <phoneticPr fontId="1"/>
  </si>
  <si>
    <r>
      <rPr>
        <sz val="11"/>
        <rFont val="游ゴシック Medium"/>
        <family val="3"/>
        <charset val="128"/>
      </rPr>
      <t>島田雅彦</t>
    </r>
    <r>
      <rPr>
        <sz val="11"/>
        <rFont val="Consolas"/>
        <family val="3"/>
      </rPr>
      <t>+</t>
    </r>
    <r>
      <rPr>
        <sz val="11"/>
        <rFont val="游ゴシック Medium"/>
        <family val="3"/>
        <charset val="128"/>
      </rPr>
      <t>唐</t>
    </r>
    <r>
      <rPr>
        <sz val="11"/>
        <rFont val="Consolas"/>
        <family val="3"/>
      </rPr>
      <t xml:space="preserve"> </t>
    </r>
    <r>
      <rPr>
        <sz val="11"/>
        <rFont val="游ゴシック Medium"/>
        <family val="3"/>
        <charset val="128"/>
      </rPr>
      <t>十郎</t>
    </r>
    <rPh sb="0" eb="2">
      <t>シマダ</t>
    </rPh>
    <rPh sb="2" eb="4">
      <t>マサヒコ</t>
    </rPh>
    <rPh sb="5" eb="9">
      <t>カラジュウロウ</t>
    </rPh>
    <phoneticPr fontId="1"/>
  </si>
  <si>
    <r>
      <t>AB2/</t>
    </r>
    <r>
      <rPr>
        <sz val="11"/>
        <rFont val="游ゴシック Medium"/>
        <family val="3"/>
        <charset val="128"/>
      </rPr>
      <t>汗のドレス</t>
    </r>
    <rPh sb="4" eb="5">
      <t>アセ</t>
    </rPh>
    <phoneticPr fontId="1"/>
  </si>
  <si>
    <r>
      <rPr>
        <strike/>
        <sz val="11"/>
        <rFont val="游ゴシック Medium"/>
        <family val="3"/>
        <charset val="128"/>
      </rPr>
      <t>杉本鉞子</t>
    </r>
    <rPh sb="0" eb="2">
      <t>スギモト</t>
    </rPh>
    <rPh sb="2" eb="3">
      <t>マサ</t>
    </rPh>
    <rPh sb="3" eb="4">
      <t>コ</t>
    </rPh>
    <phoneticPr fontId="1"/>
  </si>
  <si>
    <r>
      <rPr>
        <strike/>
        <sz val="11"/>
        <rFont val="游ゴシック Medium"/>
        <family val="3"/>
        <charset val="128"/>
      </rPr>
      <t>大岩美代</t>
    </r>
    <rPh sb="0" eb="2">
      <t>オオイワ</t>
    </rPh>
    <rPh sb="2" eb="4">
      <t>ミヨ</t>
    </rPh>
    <phoneticPr fontId="1"/>
  </si>
  <si>
    <r>
      <rPr>
        <strike/>
        <sz val="11"/>
        <rFont val="游ゴシック Medium"/>
        <family val="3"/>
        <charset val="128"/>
      </rPr>
      <t>武士の娘</t>
    </r>
    <rPh sb="0" eb="2">
      <t>ブシ</t>
    </rPh>
    <rPh sb="3" eb="4">
      <t>ムスメ</t>
    </rPh>
    <phoneticPr fontId="1"/>
  </si>
  <si>
    <r>
      <rPr>
        <strike/>
        <sz val="11"/>
        <rFont val="游ゴシック Medium"/>
        <family val="3"/>
        <charset val="128"/>
      </rPr>
      <t>筑摩叢書</t>
    </r>
    <r>
      <rPr>
        <strike/>
        <sz val="11"/>
        <rFont val="Consolas"/>
        <family val="3"/>
      </rPr>
      <t>97</t>
    </r>
    <rPh sb="0" eb="2">
      <t>チクマ</t>
    </rPh>
    <rPh sb="2" eb="4">
      <t>ソウショ</t>
    </rPh>
    <phoneticPr fontId="1"/>
  </si>
  <si>
    <r>
      <rPr>
        <strike/>
        <sz val="11"/>
        <rFont val="游ゴシック Medium"/>
        <family val="3"/>
        <charset val="128"/>
      </rPr>
      <t>筑摩書房</t>
    </r>
    <rPh sb="0" eb="2">
      <t>チクマ</t>
    </rPh>
    <rPh sb="2" eb="4">
      <t>ショボウ</t>
    </rPh>
    <phoneticPr fontId="1"/>
  </si>
  <si>
    <r>
      <rPr>
        <strike/>
        <sz val="11"/>
        <rFont val="游ゴシック Medium"/>
        <family val="3"/>
        <charset val="128"/>
      </rPr>
      <t>御茶ノ水の古本屋</t>
    </r>
    <rPh sb="0" eb="2">
      <t>オチャ</t>
    </rPh>
    <rPh sb="3" eb="4">
      <t>ミズ</t>
    </rPh>
    <rPh sb="5" eb="8">
      <t>フルホンヤ</t>
    </rPh>
    <phoneticPr fontId="1"/>
  </si>
  <si>
    <r>
      <rPr>
        <strike/>
        <sz val="11"/>
        <rFont val="游ゴシック Medium"/>
        <family val="3"/>
        <charset val="128"/>
      </rPr>
      <t>ともみちが破壊</t>
    </r>
    <rPh sb="5" eb="7">
      <t>ハカイ</t>
    </rPh>
    <phoneticPr fontId="1"/>
  </si>
  <si>
    <r>
      <rPr>
        <sz val="11"/>
        <rFont val="游ゴシック Medium"/>
        <family val="3"/>
        <charset val="128"/>
      </rPr>
      <t>高橋和巳</t>
    </r>
    <rPh sb="0" eb="2">
      <t>タカハシ</t>
    </rPh>
    <rPh sb="2" eb="4">
      <t>カズミ</t>
    </rPh>
    <phoneticPr fontId="1"/>
  </si>
  <si>
    <r>
      <rPr>
        <sz val="11"/>
        <rFont val="游ゴシック Medium"/>
        <family val="3"/>
        <charset val="128"/>
      </rPr>
      <t>憂鬱なる党派</t>
    </r>
    <rPh sb="0" eb="2">
      <t>ユウウツ</t>
    </rPh>
    <rPh sb="4" eb="6">
      <t>トウハ</t>
    </rPh>
    <phoneticPr fontId="1"/>
  </si>
  <si>
    <r>
      <rPr>
        <sz val="11"/>
        <rFont val="游ゴシック Medium"/>
        <family val="3"/>
        <charset val="128"/>
      </rPr>
      <t>河出書房</t>
    </r>
    <rPh sb="0" eb="4">
      <t>カワデショボウ</t>
    </rPh>
    <phoneticPr fontId="1"/>
  </si>
  <si>
    <r>
      <rPr>
        <sz val="11"/>
        <rFont val="游ゴシック Medium"/>
        <family val="3"/>
        <charset val="128"/>
      </rPr>
      <t>武田泰淳</t>
    </r>
    <rPh sb="0" eb="2">
      <t>タケダ</t>
    </rPh>
    <rPh sb="2" eb="4">
      <t>タイジュン</t>
    </rPh>
    <phoneticPr fontId="1"/>
  </si>
  <si>
    <r>
      <rPr>
        <sz val="11"/>
        <rFont val="游ゴシック Medium"/>
        <family val="3"/>
        <charset val="128"/>
      </rPr>
      <t>快楽</t>
    </r>
    <rPh sb="0" eb="2">
      <t>ケラク</t>
    </rPh>
    <phoneticPr fontId="1"/>
  </si>
  <si>
    <r>
      <rPr>
        <sz val="11"/>
        <rFont val="游ゴシック Medium"/>
        <family val="3"/>
        <charset val="128"/>
      </rPr>
      <t>日本文学大賞</t>
    </r>
    <rPh sb="0" eb="2">
      <t>ニホン</t>
    </rPh>
    <rPh sb="2" eb="4">
      <t>ブンガク</t>
    </rPh>
    <rPh sb="4" eb="6">
      <t>タイショウ</t>
    </rPh>
    <phoneticPr fontId="1"/>
  </si>
  <si>
    <r>
      <rPr>
        <sz val="11"/>
        <rFont val="游ゴシック Medium"/>
        <family val="3"/>
        <charset val="128"/>
      </rPr>
      <t>目まいのする散歩</t>
    </r>
    <rPh sb="0" eb="3">
      <t>メマイ</t>
    </rPh>
    <rPh sb="6" eb="8">
      <t>サンポ</t>
    </rPh>
    <phoneticPr fontId="1"/>
  </si>
  <si>
    <r>
      <rPr>
        <sz val="11"/>
        <rFont val="游ゴシック Medium"/>
        <family val="3"/>
        <charset val="128"/>
      </rPr>
      <t>文人相軽ンズ</t>
    </r>
    <rPh sb="0" eb="2">
      <t>ブンジン</t>
    </rPh>
    <rPh sb="2" eb="3">
      <t>アイ</t>
    </rPh>
    <rPh sb="3" eb="4">
      <t>カロ</t>
    </rPh>
    <phoneticPr fontId="1"/>
  </si>
  <si>
    <r>
      <rPr>
        <sz val="11"/>
        <rFont val="游ゴシック Medium"/>
        <family val="3"/>
        <charset val="128"/>
      </rPr>
      <t>構想社</t>
    </r>
    <rPh sb="0" eb="2">
      <t>コウソウ</t>
    </rPh>
    <rPh sb="2" eb="3">
      <t>シャ</t>
    </rPh>
    <phoneticPr fontId="1"/>
  </si>
  <si>
    <r>
      <rPr>
        <sz val="11"/>
        <rFont val="游ゴシック Medium"/>
        <family val="3"/>
        <charset val="128"/>
      </rPr>
      <t>古本大學</t>
    </r>
    <rPh sb="0" eb="4">
      <t>フルホンダイガク</t>
    </rPh>
    <phoneticPr fontId="1"/>
  </si>
  <si>
    <r>
      <rPr>
        <sz val="11"/>
        <rFont val="游ゴシック Medium"/>
        <family val="3"/>
        <charset val="128"/>
      </rPr>
      <t>筒井康隆</t>
    </r>
    <rPh sb="0" eb="2">
      <t>ツツイ</t>
    </rPh>
    <rPh sb="2" eb="4">
      <t>ヤスタカ</t>
    </rPh>
    <phoneticPr fontId="1"/>
  </si>
  <si>
    <r>
      <rPr>
        <sz val="11"/>
        <rFont val="游ゴシック Medium"/>
        <family val="3"/>
        <charset val="128"/>
      </rPr>
      <t>大いなる助走</t>
    </r>
    <rPh sb="0" eb="1">
      <t>オオ</t>
    </rPh>
    <rPh sb="4" eb="6">
      <t>ジョソウ</t>
    </rPh>
    <phoneticPr fontId="1"/>
  </si>
  <si>
    <r>
      <rPr>
        <sz val="11"/>
        <rFont val="游ゴシック Medium"/>
        <family val="3"/>
        <charset val="128"/>
      </rPr>
      <t>出口裕弘</t>
    </r>
    <rPh sb="0" eb="2">
      <t>デグチ</t>
    </rPh>
    <rPh sb="2" eb="4">
      <t>ユウコウ</t>
    </rPh>
    <phoneticPr fontId="1"/>
  </si>
  <si>
    <r>
      <rPr>
        <sz val="11"/>
        <rFont val="游ゴシック Medium"/>
        <family val="3"/>
        <charset val="128"/>
      </rPr>
      <t>越境者の祭り</t>
    </r>
    <rPh sb="0" eb="3">
      <t>エッキョウシャ</t>
    </rPh>
    <rPh sb="4" eb="5">
      <t>マツ</t>
    </rPh>
    <phoneticPr fontId="1"/>
  </si>
  <si>
    <r>
      <rPr>
        <sz val="11"/>
        <rFont val="游ゴシック Medium"/>
        <family val="3"/>
        <charset val="128"/>
      </rPr>
      <t>土井健郎</t>
    </r>
    <rPh sb="0" eb="2">
      <t>ドイ</t>
    </rPh>
    <rPh sb="2" eb="4">
      <t>タケオ</t>
    </rPh>
    <phoneticPr fontId="1"/>
  </si>
  <si>
    <r>
      <rPr>
        <sz val="11"/>
        <rFont val="游ゴシック Medium"/>
        <family val="3"/>
        <charset val="128"/>
      </rPr>
      <t>表と裏</t>
    </r>
    <rPh sb="0" eb="1">
      <t>オモテ</t>
    </rPh>
    <rPh sb="2" eb="3">
      <t>ウラ</t>
    </rPh>
    <phoneticPr fontId="1"/>
  </si>
  <si>
    <r>
      <rPr>
        <sz val="11"/>
        <rFont val="游ゴシック Medium"/>
        <family val="3"/>
        <charset val="128"/>
      </rPr>
      <t>弘文堂</t>
    </r>
    <rPh sb="0" eb="3">
      <t>コウブンドウ</t>
    </rPh>
    <phoneticPr fontId="1"/>
  </si>
  <si>
    <r>
      <rPr>
        <sz val="11"/>
        <rFont val="游ゴシック Medium"/>
        <family val="3"/>
        <charset val="128"/>
      </rPr>
      <t>中沢けい</t>
    </r>
    <rPh sb="0" eb="2">
      <t>ナカザワ</t>
    </rPh>
    <phoneticPr fontId="1"/>
  </si>
  <si>
    <r>
      <rPr>
        <sz val="11"/>
        <rFont val="游ゴシック Medium"/>
        <family val="3"/>
        <charset val="128"/>
      </rPr>
      <t>海を感じる時</t>
    </r>
    <rPh sb="0" eb="1">
      <t>ウミ</t>
    </rPh>
    <rPh sb="2" eb="3">
      <t>カン</t>
    </rPh>
    <rPh sb="5" eb="6">
      <t>トキ</t>
    </rPh>
    <phoneticPr fontId="1"/>
  </si>
  <si>
    <r>
      <rPr>
        <sz val="11"/>
        <rFont val="游ゴシック Medium"/>
        <family val="3"/>
        <charset val="128"/>
      </rPr>
      <t>南條竹則</t>
    </r>
    <rPh sb="0" eb="2">
      <t>ナンジョウ</t>
    </rPh>
    <rPh sb="2" eb="4">
      <t>タケノリ</t>
    </rPh>
    <phoneticPr fontId="1"/>
  </si>
  <si>
    <r>
      <rPr>
        <sz val="11"/>
        <rFont val="游ゴシック Medium"/>
        <family val="3"/>
        <charset val="128"/>
      </rPr>
      <t>酒仙</t>
    </r>
    <rPh sb="0" eb="2">
      <t>シュセン</t>
    </rPh>
    <phoneticPr fontId="1"/>
  </si>
  <si>
    <r>
      <rPr>
        <sz val="11"/>
        <rFont val="游ゴシック Medium"/>
        <family val="3"/>
        <charset val="128"/>
      </rPr>
      <t>第</t>
    </r>
    <r>
      <rPr>
        <sz val="11"/>
        <rFont val="Consolas"/>
        <family val="3"/>
      </rPr>
      <t>5</t>
    </r>
    <r>
      <rPr>
        <sz val="11"/>
        <rFont val="游ゴシック Medium"/>
        <family val="3"/>
        <charset val="128"/>
      </rPr>
      <t>回日本ファンタジーノベル大賞優秀賞</t>
    </r>
    <rPh sb="0" eb="1">
      <t>ダイ</t>
    </rPh>
    <rPh sb="2" eb="3">
      <t>カイ</t>
    </rPh>
    <rPh sb="3" eb="5">
      <t>ニホン</t>
    </rPh>
    <rPh sb="14" eb="16">
      <t>タイショウ</t>
    </rPh>
    <rPh sb="16" eb="19">
      <t>ユウシュウショウ</t>
    </rPh>
    <phoneticPr fontId="1"/>
  </si>
  <si>
    <r>
      <rPr>
        <sz val="11"/>
        <rFont val="游ゴシック Medium"/>
        <family val="3"/>
        <charset val="128"/>
      </rPr>
      <t>猫城</t>
    </r>
    <rPh sb="0" eb="1">
      <t>ネコ</t>
    </rPh>
    <rPh sb="1" eb="2">
      <t>ジョウ</t>
    </rPh>
    <phoneticPr fontId="1"/>
  </si>
  <si>
    <r>
      <rPr>
        <sz val="11"/>
        <rFont val="游ゴシック Medium"/>
        <family val="3"/>
        <charset val="128"/>
      </rPr>
      <t>高橋由巳子から</t>
    </r>
    <rPh sb="0" eb="2">
      <t>タカハシ</t>
    </rPh>
    <rPh sb="2" eb="5">
      <t>ユミコ</t>
    </rPh>
    <phoneticPr fontId="1"/>
  </si>
  <si>
    <r>
      <rPr>
        <sz val="11"/>
        <rFont val="游ゴシック Medium"/>
        <family val="3"/>
        <charset val="128"/>
      </rPr>
      <t>伊藤洋子様サイン付</t>
    </r>
    <r>
      <rPr>
        <sz val="11"/>
        <rFont val="Consolas"/>
        <family val="3"/>
      </rPr>
      <t>/</t>
    </r>
    <r>
      <rPr>
        <sz val="11"/>
        <rFont val="游ゴシック Medium"/>
        <family val="3"/>
        <charset val="128"/>
      </rPr>
      <t>贈与</t>
    </r>
    <rPh sb="0" eb="2">
      <t>イトウ</t>
    </rPh>
    <rPh sb="2" eb="4">
      <t>ヨウコ</t>
    </rPh>
    <rPh sb="4" eb="5">
      <t>サマ</t>
    </rPh>
    <rPh sb="8" eb="9">
      <t>ツキ</t>
    </rPh>
    <rPh sb="10" eb="12">
      <t>ゾウヨ</t>
    </rPh>
    <phoneticPr fontId="1"/>
  </si>
  <si>
    <r>
      <rPr>
        <strike/>
        <sz val="11"/>
        <rFont val="游ゴシック Medium"/>
        <family val="3"/>
        <charset val="128"/>
      </rPr>
      <t>福澤徹三</t>
    </r>
    <rPh sb="0" eb="2">
      <t>フクザワ</t>
    </rPh>
    <rPh sb="2" eb="4">
      <t>テツゾウ</t>
    </rPh>
    <phoneticPr fontId="1"/>
  </si>
  <si>
    <r>
      <rPr>
        <strike/>
        <sz val="11"/>
        <rFont val="游ゴシック Medium"/>
        <family val="3"/>
        <charset val="128"/>
      </rPr>
      <t>幻日</t>
    </r>
    <rPh sb="0" eb="2">
      <t>ゲンジツ</t>
    </rPh>
    <phoneticPr fontId="1"/>
  </si>
  <si>
    <r>
      <rPr>
        <strike/>
        <sz val="11"/>
        <rFont val="游ゴシック Medium"/>
        <family val="3"/>
        <charset val="128"/>
      </rPr>
      <t>プロンズ新社</t>
    </r>
    <rPh sb="4" eb="5">
      <t>シン</t>
    </rPh>
    <rPh sb="5" eb="6">
      <t>シャ</t>
    </rPh>
    <phoneticPr fontId="1"/>
  </si>
  <si>
    <r>
      <rPr>
        <sz val="11"/>
        <rFont val="游ゴシック Medium"/>
        <family val="3"/>
        <charset val="128"/>
      </rPr>
      <t>福永武彦</t>
    </r>
    <rPh sb="0" eb="2">
      <t>フクナガ</t>
    </rPh>
    <rPh sb="2" eb="4">
      <t>タケヒコ</t>
    </rPh>
    <phoneticPr fontId="1"/>
  </si>
  <si>
    <r>
      <rPr>
        <sz val="11"/>
        <rFont val="游ゴシック Medium"/>
        <family val="3"/>
        <charset val="128"/>
      </rPr>
      <t>死の島</t>
    </r>
    <rPh sb="0" eb="1">
      <t>シ</t>
    </rPh>
    <rPh sb="2" eb="3">
      <t>シマ</t>
    </rPh>
    <phoneticPr fontId="1"/>
  </si>
  <si>
    <r>
      <rPr>
        <sz val="11"/>
        <rFont val="游ゴシック Medium"/>
        <family val="3"/>
        <charset val="128"/>
      </rPr>
      <t>福永武彦全集</t>
    </r>
    <r>
      <rPr>
        <sz val="11"/>
        <rFont val="Consolas"/>
        <family val="3"/>
      </rPr>
      <t>10,11</t>
    </r>
    <rPh sb="0" eb="2">
      <t>フクナガ</t>
    </rPh>
    <rPh sb="2" eb="4">
      <t>タケヒコ</t>
    </rPh>
    <rPh sb="4" eb="6">
      <t>ゼンシュウ</t>
    </rPh>
    <phoneticPr fontId="1"/>
  </si>
  <si>
    <r>
      <rPr>
        <sz val="11"/>
        <rFont val="游ゴシック Medium"/>
        <family val="3"/>
        <charset val="128"/>
      </rPr>
      <t>古井由吉</t>
    </r>
    <rPh sb="0" eb="4">
      <t>フルイヨシキチ</t>
    </rPh>
    <phoneticPr fontId="1"/>
  </si>
  <si>
    <r>
      <rPr>
        <sz val="11"/>
        <rFont val="游ゴシック Medium"/>
        <family val="3"/>
        <charset val="128"/>
      </rPr>
      <t>東京物語考</t>
    </r>
    <rPh sb="0" eb="2">
      <t>トウキョウ</t>
    </rPh>
    <rPh sb="2" eb="4">
      <t>モノガタリ</t>
    </rPh>
    <rPh sb="4" eb="5">
      <t>コウ</t>
    </rPh>
    <phoneticPr fontId="1"/>
  </si>
  <si>
    <r>
      <rPr>
        <sz val="11"/>
        <rFont val="游ゴシック Medium"/>
        <family val="3"/>
        <charset val="128"/>
      </rPr>
      <t>岩波書店</t>
    </r>
    <rPh sb="0" eb="4">
      <t>イワナミショテン</t>
    </rPh>
    <phoneticPr fontId="1"/>
  </si>
  <si>
    <r>
      <rPr>
        <sz val="11"/>
        <rFont val="游ゴシック Medium"/>
        <family val="3"/>
        <charset val="128"/>
      </rPr>
      <t>奥村書店</t>
    </r>
    <rPh sb="0" eb="2">
      <t>オクムラ</t>
    </rPh>
    <rPh sb="2" eb="4">
      <t>ショテン</t>
    </rPh>
    <phoneticPr fontId="1"/>
  </si>
  <si>
    <r>
      <rPr>
        <sz val="11"/>
        <rFont val="游ゴシック Medium"/>
        <family val="3"/>
        <charset val="128"/>
      </rPr>
      <t>増田</t>
    </r>
    <r>
      <rPr>
        <sz val="11"/>
        <rFont val="Consolas"/>
        <family val="3"/>
      </rPr>
      <t xml:space="preserve"> </t>
    </r>
    <r>
      <rPr>
        <sz val="11"/>
        <rFont val="游ゴシック Medium"/>
        <family val="3"/>
        <charset val="128"/>
      </rPr>
      <t>みず子</t>
    </r>
    <rPh sb="0" eb="2">
      <t>マスダ</t>
    </rPh>
    <rPh sb="5" eb="6">
      <t>コ</t>
    </rPh>
    <phoneticPr fontId="1"/>
  </si>
  <si>
    <r>
      <rPr>
        <sz val="11"/>
        <rFont val="游ゴシック Medium"/>
        <family val="3"/>
        <charset val="128"/>
      </rPr>
      <t>自由時間</t>
    </r>
    <rPh sb="0" eb="4">
      <t>ジユウジカン</t>
    </rPh>
    <phoneticPr fontId="1"/>
  </si>
  <si>
    <r>
      <rPr>
        <sz val="11"/>
        <rFont val="游ゴシック Medium"/>
        <family val="3"/>
        <charset val="128"/>
      </rPr>
      <t>水月</t>
    </r>
    <r>
      <rPr>
        <sz val="11"/>
        <rFont val="Consolas"/>
        <family val="3"/>
      </rPr>
      <t xml:space="preserve"> </t>
    </r>
    <r>
      <rPr>
        <sz val="11"/>
        <rFont val="游ゴシック Medium"/>
        <family val="3"/>
        <charset val="128"/>
      </rPr>
      <t>マヨ</t>
    </r>
    <rPh sb="0" eb="2">
      <t>ミヅキ</t>
    </rPh>
    <phoneticPr fontId="1"/>
  </si>
  <si>
    <r>
      <rPr>
        <sz val="11"/>
        <rFont val="游ゴシック Medium"/>
        <family val="3"/>
        <charset val="128"/>
      </rPr>
      <t>寿司とマヨネーズ─ある愛の記録</t>
    </r>
    <rPh sb="0" eb="2">
      <t>スシ</t>
    </rPh>
    <rPh sb="11" eb="12">
      <t>アイ</t>
    </rPh>
    <rPh sb="13" eb="15">
      <t>キロク</t>
    </rPh>
    <phoneticPr fontId="1"/>
  </si>
  <si>
    <r>
      <rPr>
        <sz val="11"/>
        <rFont val="游ゴシック Medium"/>
        <family val="3"/>
        <charset val="128"/>
      </rPr>
      <t>梁</t>
    </r>
    <r>
      <rPr>
        <sz val="11"/>
        <rFont val="Consolas"/>
        <family val="3"/>
      </rPr>
      <t xml:space="preserve"> </t>
    </r>
    <r>
      <rPr>
        <sz val="11"/>
        <rFont val="游ゴシック Medium"/>
        <family val="3"/>
        <charset val="128"/>
      </rPr>
      <t>石日</t>
    </r>
    <rPh sb="0" eb="1">
      <t>ヤン</t>
    </rPh>
    <rPh sb="2" eb="4">
      <t>ソギル</t>
    </rPh>
    <phoneticPr fontId="1"/>
  </si>
  <si>
    <r>
      <rPr>
        <sz val="11"/>
        <rFont val="游ゴシック Medium"/>
        <family val="3"/>
        <charset val="128"/>
      </rPr>
      <t>睡魔</t>
    </r>
    <rPh sb="0" eb="2">
      <t>スイマ</t>
    </rPh>
    <phoneticPr fontId="1"/>
  </si>
  <si>
    <r>
      <rPr>
        <sz val="11"/>
        <rFont val="游ゴシック Medium"/>
        <family val="3"/>
        <charset val="128"/>
      </rPr>
      <t>カヴァーなし</t>
    </r>
    <phoneticPr fontId="1"/>
  </si>
  <si>
    <r>
      <rPr>
        <sz val="11"/>
        <rFont val="游ゴシック Medium"/>
        <family val="3"/>
        <charset val="128"/>
      </rPr>
      <t>よーこが誰かからもらってしまう</t>
    </r>
    <rPh sb="4" eb="5">
      <t>ダレ</t>
    </rPh>
    <phoneticPr fontId="1"/>
  </si>
  <si>
    <r>
      <rPr>
        <sz val="11"/>
        <rFont val="游ゴシック Medium"/>
        <family val="3"/>
        <charset val="128"/>
      </rPr>
      <t>柳</t>
    </r>
    <r>
      <rPr>
        <sz val="11"/>
        <rFont val="Consolas"/>
        <family val="3"/>
      </rPr>
      <t xml:space="preserve"> </t>
    </r>
    <r>
      <rPr>
        <sz val="11"/>
        <rFont val="游ゴシック Medium"/>
        <family val="3"/>
        <charset val="128"/>
      </rPr>
      <t>美里</t>
    </r>
    <rPh sb="0" eb="1">
      <t>ユウ</t>
    </rPh>
    <rPh sb="2" eb="4">
      <t>ミリ</t>
    </rPh>
    <phoneticPr fontId="1"/>
  </si>
  <si>
    <r>
      <rPr>
        <sz val="11"/>
        <rFont val="游ゴシック Medium"/>
        <family val="3"/>
        <charset val="128"/>
      </rPr>
      <t>男</t>
    </r>
    <rPh sb="0" eb="1">
      <t>オトコ</t>
    </rPh>
    <phoneticPr fontId="1"/>
  </si>
  <si>
    <r>
      <rPr>
        <sz val="11"/>
        <rFont val="游ゴシック Medium"/>
        <family val="3"/>
        <charset val="128"/>
      </rPr>
      <t>柳</t>
    </r>
    <r>
      <rPr>
        <sz val="11"/>
        <rFont val="Consolas"/>
        <family val="3"/>
      </rPr>
      <t xml:space="preserve"> </t>
    </r>
    <r>
      <rPr>
        <sz val="11"/>
        <rFont val="游ゴシック Medium"/>
        <family val="3"/>
        <charset val="128"/>
      </rPr>
      <t>美里・初の性小説</t>
    </r>
    <r>
      <rPr>
        <sz val="11"/>
        <rFont val="Consolas"/>
        <family val="3"/>
      </rPr>
      <t>|</t>
    </r>
    <r>
      <rPr>
        <sz val="11"/>
        <rFont val="游ゴシック Medium"/>
        <family val="3"/>
        <charset val="128"/>
      </rPr>
      <t>「ダ・ヴィンチ」</t>
    </r>
    <r>
      <rPr>
        <sz val="11"/>
        <rFont val="Consolas"/>
        <family val="3"/>
      </rPr>
      <t xml:space="preserve">1998/03 - 2000/03 </t>
    </r>
    <r>
      <rPr>
        <sz val="11"/>
        <rFont val="游ゴシック Medium"/>
        <family val="3"/>
        <charset val="128"/>
      </rPr>
      <t>連載</t>
    </r>
    <rPh sb="0" eb="1">
      <t>ユウ</t>
    </rPh>
    <rPh sb="2" eb="4">
      <t>ミリ</t>
    </rPh>
    <rPh sb="5" eb="6">
      <t>ハツ</t>
    </rPh>
    <rPh sb="7" eb="8">
      <t>セイ</t>
    </rPh>
    <rPh sb="8" eb="10">
      <t>ショウセツ</t>
    </rPh>
    <rPh sb="37" eb="39">
      <t>レンサイ</t>
    </rPh>
    <phoneticPr fontId="1"/>
  </si>
  <si>
    <r>
      <rPr>
        <sz val="11"/>
        <rFont val="游ゴシック Medium"/>
        <family val="3"/>
        <charset val="128"/>
      </rPr>
      <t>メディアファクトリー</t>
    </r>
    <phoneticPr fontId="1"/>
  </si>
  <si>
    <r>
      <rPr>
        <sz val="11"/>
        <rFont val="游ゴシック Medium"/>
        <family val="3"/>
        <charset val="128"/>
      </rPr>
      <t>著者謹呈</t>
    </r>
    <rPh sb="0" eb="2">
      <t>チョシャ</t>
    </rPh>
    <rPh sb="2" eb="4">
      <t>キンテイ</t>
    </rPh>
    <phoneticPr fontId="1"/>
  </si>
  <si>
    <r>
      <rPr>
        <sz val="11"/>
        <rFont val="游ゴシック Medium"/>
        <family val="3"/>
        <charset val="128"/>
      </rPr>
      <t>南相馬メドレー</t>
    </r>
    <rPh sb="0" eb="3">
      <t>ミナミソウマ</t>
    </rPh>
    <phoneticPr fontId="1"/>
  </si>
  <si>
    <r>
      <t>2015/12-2020/02</t>
    </r>
    <r>
      <rPr>
        <sz val="11"/>
        <rFont val="游ゴシック Medium"/>
        <family val="3"/>
        <charset val="128"/>
      </rPr>
      <t>連載</t>
    </r>
    <r>
      <rPr>
        <sz val="11"/>
        <rFont val="Consolas"/>
        <family val="3"/>
      </rPr>
      <t>|2020/03/11</t>
    </r>
    <r>
      <rPr>
        <sz val="11"/>
        <rFont val="游ゴシック Medium"/>
        <family val="3"/>
        <charset val="128"/>
      </rPr>
      <t>加筆・修正・刊行</t>
    </r>
    <rPh sb="15" eb="17">
      <t>レンサイ</t>
    </rPh>
    <rPh sb="28" eb="30">
      <t>カヒツ</t>
    </rPh>
    <rPh sb="31" eb="33">
      <t>シュウセイ</t>
    </rPh>
    <rPh sb="34" eb="36">
      <t>カンコウ</t>
    </rPh>
    <phoneticPr fontId="1"/>
  </si>
  <si>
    <r>
      <rPr>
        <sz val="11"/>
        <rFont val="游ゴシック Medium"/>
        <family val="3"/>
        <charset val="128"/>
      </rPr>
      <t>第三文明社</t>
    </r>
    <rPh sb="0" eb="5">
      <t>ダイサンブンメイシャ</t>
    </rPh>
    <phoneticPr fontId="1"/>
  </si>
  <si>
    <r>
      <rPr>
        <sz val="11"/>
        <rFont val="游ゴシック Medium"/>
        <family val="3"/>
        <charset val="128"/>
      </rPr>
      <t>よーこの漬物袋から発掘</t>
    </r>
    <r>
      <rPr>
        <sz val="11"/>
        <rFont val="Consolas"/>
        <family val="3"/>
      </rPr>
      <t>|</t>
    </r>
    <r>
      <rPr>
        <sz val="11"/>
        <rFont val="游ゴシック Medium"/>
        <family val="3"/>
        <charset val="128"/>
      </rPr>
      <t>著者謹呈</t>
    </r>
    <r>
      <rPr>
        <sz val="11"/>
        <rFont val="Consolas"/>
        <family val="3"/>
      </rPr>
      <t xml:space="preserve"> ?</t>
    </r>
    <rPh sb="4" eb="6">
      <t>ツケモノ</t>
    </rPh>
    <rPh sb="6" eb="7">
      <t>ブクロ</t>
    </rPh>
    <rPh sb="9" eb="11">
      <t>ハックツ</t>
    </rPh>
    <rPh sb="12" eb="14">
      <t>チョシャ</t>
    </rPh>
    <rPh sb="14" eb="16">
      <t>キンテイ</t>
    </rPh>
    <phoneticPr fontId="1"/>
  </si>
  <si>
    <r>
      <rPr>
        <sz val="11"/>
        <rFont val="游ゴシック Medium"/>
        <family val="3"/>
        <charset val="128"/>
      </rPr>
      <t>領家髙子</t>
    </r>
    <rPh sb="0" eb="2">
      <t>リョウケ</t>
    </rPh>
    <rPh sb="2" eb="4">
      <t>タカコ</t>
    </rPh>
    <phoneticPr fontId="1"/>
  </si>
  <si>
    <r>
      <rPr>
        <sz val="11"/>
        <rFont val="游ゴシック Medium"/>
        <family val="3"/>
        <charset val="128"/>
      </rPr>
      <t>夏のピューマ</t>
    </r>
    <rPh sb="0" eb="1">
      <t>ナツ</t>
    </rPh>
    <phoneticPr fontId="1"/>
  </si>
  <si>
    <r>
      <rPr>
        <sz val="11"/>
        <rFont val="游ゴシック Medium"/>
        <family val="3"/>
        <charset val="128"/>
      </rPr>
      <t>吉行淳之介</t>
    </r>
    <rPh sb="0" eb="2">
      <t>ヨシユキ</t>
    </rPh>
    <rPh sb="2" eb="5">
      <t>ジュンノスケ</t>
    </rPh>
    <phoneticPr fontId="1"/>
  </si>
  <si>
    <r>
      <rPr>
        <sz val="11"/>
        <rFont val="游ゴシック Medium"/>
        <family val="3"/>
        <charset val="128"/>
      </rPr>
      <t>吉行淳之介による吉行淳之介</t>
    </r>
    <rPh sb="0" eb="2">
      <t>ヨシユキ</t>
    </rPh>
    <rPh sb="2" eb="5">
      <t>ジュンノスケ</t>
    </rPh>
    <rPh sb="8" eb="10">
      <t>ヨシユキ</t>
    </rPh>
    <rPh sb="10" eb="13">
      <t>ジュンノスケ</t>
    </rPh>
    <phoneticPr fontId="1"/>
  </si>
  <si>
    <r>
      <rPr>
        <sz val="11"/>
        <rFont val="游ゴシック Medium"/>
        <family val="3"/>
        <charset val="128"/>
      </rPr>
      <t>青銅社</t>
    </r>
    <rPh sb="0" eb="2">
      <t>セイドウ</t>
    </rPh>
    <rPh sb="2" eb="3">
      <t>シャ</t>
    </rPh>
    <phoneticPr fontId="1"/>
  </si>
  <si>
    <r>
      <rPr>
        <sz val="11"/>
        <rFont val="游ゴシック Medium"/>
        <family val="3"/>
        <charset val="128"/>
      </rPr>
      <t>世田谷文学館</t>
    </r>
    <rPh sb="0" eb="3">
      <t>セタガヤ</t>
    </rPh>
    <rPh sb="3" eb="6">
      <t>ブンガクカン</t>
    </rPh>
    <phoneticPr fontId="1"/>
  </si>
  <si>
    <r>
      <rPr>
        <sz val="11"/>
        <rFont val="游ゴシック Medium"/>
        <family val="3"/>
        <charset val="128"/>
      </rPr>
      <t>吉行淳之介展</t>
    </r>
    <rPh sb="0" eb="2">
      <t>ヨシユキ</t>
    </rPh>
    <rPh sb="2" eb="5">
      <t>ジュンノスケ</t>
    </rPh>
    <rPh sb="5" eb="6">
      <t>テン</t>
    </rPh>
    <phoneticPr fontId="1"/>
  </si>
  <si>
    <r>
      <rPr>
        <sz val="11"/>
        <rFont val="游ゴシック Medium"/>
        <family val="3"/>
        <charset val="128"/>
      </rPr>
      <t>写真集</t>
    </r>
    <r>
      <rPr>
        <sz val="11"/>
        <rFont val="Consolas"/>
        <family val="3"/>
      </rPr>
      <t>/</t>
    </r>
    <r>
      <rPr>
        <sz val="11"/>
        <rFont val="游ゴシック Medium"/>
        <family val="3"/>
        <charset val="128"/>
      </rPr>
      <t>文学</t>
    </r>
    <r>
      <rPr>
        <sz val="11"/>
        <rFont val="Consolas"/>
        <family val="3"/>
      </rPr>
      <t>/</t>
    </r>
    <r>
      <rPr>
        <sz val="11"/>
        <rFont val="游ゴシック Medium"/>
        <family val="3"/>
        <charset val="128"/>
      </rPr>
      <t>作家論</t>
    </r>
    <rPh sb="0" eb="3">
      <t>シャシンシュウ</t>
    </rPh>
    <rPh sb="4" eb="6">
      <t>ブンガク</t>
    </rPh>
    <rPh sb="7" eb="9">
      <t>サッカ</t>
    </rPh>
    <rPh sb="9" eb="10">
      <t>ロン</t>
    </rPh>
    <phoneticPr fontId="1"/>
  </si>
  <si>
    <r>
      <rPr>
        <sz val="11"/>
        <rFont val="游ゴシック Medium"/>
        <family val="3"/>
        <charset val="128"/>
      </rPr>
      <t>新潮日本文学アルバム</t>
    </r>
    <rPh sb="0" eb="2">
      <t>シンチョウ</t>
    </rPh>
    <rPh sb="2" eb="4">
      <t>ニホン</t>
    </rPh>
    <rPh sb="4" eb="6">
      <t>ブンガク</t>
    </rPh>
    <phoneticPr fontId="1"/>
  </si>
  <si>
    <r>
      <rPr>
        <sz val="11"/>
        <rFont val="游ゴシック Medium"/>
        <family val="3"/>
        <charset val="128"/>
      </rPr>
      <t>安部公房</t>
    </r>
    <rPh sb="0" eb="4">
      <t>アベコウボウ</t>
    </rPh>
    <phoneticPr fontId="1"/>
  </si>
  <si>
    <r>
      <rPr>
        <sz val="11"/>
        <rFont val="游ゴシック Medium"/>
        <family val="3"/>
        <charset val="128"/>
      </rPr>
      <t>写真で実証する作家の劇的な生涯</t>
    </r>
    <rPh sb="0" eb="2">
      <t>シャシン</t>
    </rPh>
    <rPh sb="3" eb="5">
      <t>ジッショウ</t>
    </rPh>
    <rPh sb="7" eb="9">
      <t>サッカ</t>
    </rPh>
    <rPh sb="10" eb="12">
      <t>ゲキテキ</t>
    </rPh>
    <rPh sb="13" eb="15">
      <t>ショウガイ</t>
    </rPh>
    <phoneticPr fontId="1"/>
  </si>
  <si>
    <r>
      <rPr>
        <sz val="11"/>
        <rFont val="游ゴシック Medium"/>
        <family val="3"/>
        <charset val="128"/>
      </rPr>
      <t>泉</t>
    </r>
    <r>
      <rPr>
        <sz val="11"/>
        <rFont val="Consolas"/>
        <family val="3"/>
      </rPr>
      <t xml:space="preserve"> </t>
    </r>
    <r>
      <rPr>
        <sz val="11"/>
        <rFont val="游ゴシック Medium"/>
        <family val="3"/>
        <charset val="128"/>
      </rPr>
      <t>鏡花</t>
    </r>
    <rPh sb="0" eb="4">
      <t>イズミキョウカ</t>
    </rPh>
    <phoneticPr fontId="1"/>
  </si>
  <si>
    <r>
      <rPr>
        <sz val="11"/>
        <rFont val="游ゴシック Medium"/>
        <family val="3"/>
        <charset val="128"/>
      </rPr>
      <t>横光利一</t>
    </r>
    <rPh sb="0" eb="2">
      <t>ヨコミツ</t>
    </rPh>
    <rPh sb="2" eb="4">
      <t>リイチ</t>
    </rPh>
    <phoneticPr fontId="1"/>
  </si>
  <si>
    <r>
      <rPr>
        <sz val="11"/>
        <rFont val="游ゴシック Medium"/>
        <family val="3"/>
        <charset val="128"/>
      </rPr>
      <t>小泉八雲</t>
    </r>
    <r>
      <rPr>
        <sz val="11"/>
        <rFont val="Consolas"/>
        <family val="3"/>
      </rPr>
      <t xml:space="preserve"> Hearn,Lafcadio/Dickens,Charles/</t>
    </r>
    <r>
      <rPr>
        <sz val="11"/>
        <rFont val="游ゴシック Medium"/>
        <family val="3"/>
        <charset val="128"/>
      </rPr>
      <t>ビアス</t>
    </r>
    <r>
      <rPr>
        <sz val="11"/>
        <rFont val="Consolas"/>
        <family val="3"/>
      </rPr>
      <t>,</t>
    </r>
    <r>
      <rPr>
        <sz val="11"/>
        <rFont val="游ゴシック Medium"/>
        <family val="3"/>
        <charset val="128"/>
      </rPr>
      <t>アンブローズ</t>
    </r>
    <r>
      <rPr>
        <sz val="11"/>
        <rFont val="Consolas"/>
        <family val="3"/>
      </rPr>
      <t>/</t>
    </r>
    <r>
      <rPr>
        <sz val="11"/>
        <rFont val="游ゴシック Medium"/>
        <family val="3"/>
        <charset val="128"/>
      </rPr>
      <t>ジェイコブス</t>
    </r>
    <r>
      <rPr>
        <sz val="11"/>
        <rFont val="Consolas"/>
        <family val="3"/>
      </rPr>
      <t>,W.W./</t>
    </r>
    <r>
      <rPr>
        <sz val="11"/>
        <rFont val="游ゴシック Medium"/>
        <family val="3"/>
        <charset val="128"/>
      </rPr>
      <t>サキ</t>
    </r>
    <r>
      <rPr>
        <sz val="11"/>
        <rFont val="Consolas"/>
        <family val="3"/>
      </rPr>
      <t>:</t>
    </r>
    <r>
      <rPr>
        <sz val="11"/>
        <rFont val="游ゴシック Medium"/>
        <family val="3"/>
        <charset val="128"/>
      </rPr>
      <t>マンロウ</t>
    </r>
    <r>
      <rPr>
        <sz val="11"/>
        <rFont val="Consolas"/>
        <family val="3"/>
      </rPr>
      <t>,</t>
    </r>
    <r>
      <rPr>
        <sz val="11"/>
        <rFont val="游ゴシック Medium"/>
        <family val="3"/>
        <charset val="128"/>
      </rPr>
      <t>ヘクター･ヒュー</t>
    </r>
    <r>
      <rPr>
        <sz val="11"/>
        <rFont val="Consolas"/>
        <family val="3"/>
      </rPr>
      <t>/</t>
    </r>
    <r>
      <rPr>
        <sz val="11"/>
        <rFont val="游ゴシック Medium"/>
        <family val="3"/>
        <charset val="128"/>
      </rPr>
      <t>上田</t>
    </r>
    <r>
      <rPr>
        <sz val="11"/>
        <rFont val="Consolas"/>
        <family val="3"/>
      </rPr>
      <t xml:space="preserve"> </t>
    </r>
    <r>
      <rPr>
        <sz val="11"/>
        <rFont val="游ゴシック Medium"/>
        <family val="3"/>
        <charset val="128"/>
      </rPr>
      <t>秋成</t>
    </r>
    <r>
      <rPr>
        <sz val="11"/>
        <rFont val="Consolas"/>
        <family val="3"/>
      </rPr>
      <t>/</t>
    </r>
    <r>
      <rPr>
        <sz val="11"/>
        <rFont val="游ゴシック Medium"/>
        <family val="3"/>
        <charset val="128"/>
      </rPr>
      <t>岡本</t>
    </r>
    <r>
      <rPr>
        <sz val="11"/>
        <rFont val="Consolas"/>
        <family val="3"/>
      </rPr>
      <t xml:space="preserve"> </t>
    </r>
    <r>
      <rPr>
        <sz val="11"/>
        <rFont val="游ゴシック Medium"/>
        <family val="3"/>
        <charset val="128"/>
      </rPr>
      <t>綺堂</t>
    </r>
    <rPh sb="0" eb="2">
      <t>コイズミ</t>
    </rPh>
    <rPh sb="2" eb="4">
      <t>ヤクモ</t>
    </rPh>
    <rPh sb="5" eb="10">
      <t>ハーン</t>
    </rPh>
    <rPh sb="11" eb="19">
      <t>ラフカディオ</t>
    </rPh>
    <rPh sb="20" eb="27">
      <t>ディケンズ</t>
    </rPh>
    <rPh sb="28" eb="35">
      <t>チャールズ</t>
    </rPh>
    <rPh sb="76" eb="78">
      <t>ウエダ</t>
    </rPh>
    <rPh sb="79" eb="81">
      <t>アキナリ</t>
    </rPh>
    <rPh sb="82" eb="84">
      <t>オカモト</t>
    </rPh>
    <rPh sb="85" eb="87">
      <t>キドウ</t>
    </rPh>
    <phoneticPr fontId="1"/>
  </si>
  <si>
    <r>
      <rPr>
        <sz val="11"/>
        <rFont val="游ゴシック Medium"/>
        <family val="3"/>
        <charset val="128"/>
      </rPr>
      <t>保永</t>
    </r>
    <r>
      <rPr>
        <sz val="11"/>
        <rFont val="Consolas"/>
        <family val="3"/>
      </rPr>
      <t xml:space="preserve"> </t>
    </r>
    <r>
      <rPr>
        <sz val="11"/>
        <rFont val="游ゴシック Medium"/>
        <family val="3"/>
        <charset val="128"/>
      </rPr>
      <t>貞夫</t>
    </r>
    <r>
      <rPr>
        <sz val="11"/>
        <rFont val="Consolas"/>
        <family val="3"/>
      </rPr>
      <t>,</t>
    </r>
    <r>
      <rPr>
        <sz val="11"/>
        <rFont val="游ゴシック Medium"/>
        <family val="3"/>
        <charset val="128"/>
      </rPr>
      <t>白木</t>
    </r>
    <r>
      <rPr>
        <sz val="11"/>
        <rFont val="Consolas"/>
        <family val="3"/>
      </rPr>
      <t xml:space="preserve"> </t>
    </r>
    <r>
      <rPr>
        <sz val="11"/>
        <rFont val="游ゴシック Medium"/>
        <family val="3"/>
        <charset val="128"/>
      </rPr>
      <t>茂</t>
    </r>
    <r>
      <rPr>
        <sz val="11"/>
        <rFont val="Consolas"/>
        <family val="3"/>
      </rPr>
      <t>,</t>
    </r>
    <r>
      <rPr>
        <sz val="11"/>
        <rFont val="游ゴシック Medium"/>
        <family val="3"/>
        <charset val="128"/>
      </rPr>
      <t>都筑</t>
    </r>
    <r>
      <rPr>
        <sz val="11"/>
        <rFont val="Consolas"/>
        <family val="3"/>
      </rPr>
      <t xml:space="preserve"> </t>
    </r>
    <r>
      <rPr>
        <sz val="11"/>
        <rFont val="游ゴシック Medium"/>
        <family val="3"/>
        <charset val="128"/>
      </rPr>
      <t>道夫</t>
    </r>
    <r>
      <rPr>
        <sz val="11"/>
        <rFont val="Consolas"/>
        <family val="3"/>
      </rPr>
      <t>,</t>
    </r>
    <r>
      <rPr>
        <sz val="11"/>
        <rFont val="游ゴシック Medium"/>
        <family val="3"/>
        <charset val="128"/>
      </rPr>
      <t>村松</t>
    </r>
    <r>
      <rPr>
        <sz val="11"/>
        <rFont val="Consolas"/>
        <family val="3"/>
      </rPr>
      <t xml:space="preserve"> </t>
    </r>
    <r>
      <rPr>
        <sz val="11"/>
        <rFont val="游ゴシック Medium"/>
        <family val="3"/>
        <charset val="128"/>
      </rPr>
      <t>定孝</t>
    </r>
    <r>
      <rPr>
        <sz val="11"/>
        <rFont val="Consolas"/>
        <family val="3"/>
      </rPr>
      <t>/</t>
    </r>
    <r>
      <rPr>
        <sz val="11"/>
        <rFont val="游ゴシック Medium"/>
        <family val="3"/>
        <charset val="128"/>
      </rPr>
      <t>司</t>
    </r>
    <r>
      <rPr>
        <sz val="11"/>
        <rFont val="Consolas"/>
        <family val="3"/>
      </rPr>
      <t xml:space="preserve"> </t>
    </r>
    <r>
      <rPr>
        <sz val="11"/>
        <rFont val="游ゴシック Medium"/>
        <family val="3"/>
        <charset val="128"/>
      </rPr>
      <t>修</t>
    </r>
    <rPh sb="0" eb="2">
      <t>ヤスナガ</t>
    </rPh>
    <rPh sb="3" eb="5">
      <t>サダオ</t>
    </rPh>
    <rPh sb="6" eb="8">
      <t>シラキ</t>
    </rPh>
    <rPh sb="9" eb="10">
      <t>シゲル</t>
    </rPh>
    <rPh sb="11" eb="13">
      <t>ツヅキ</t>
    </rPh>
    <rPh sb="14" eb="16">
      <t>ミチオ</t>
    </rPh>
    <rPh sb="17" eb="19">
      <t>ムラマツ</t>
    </rPh>
    <rPh sb="20" eb="22">
      <t>サダタカ</t>
    </rPh>
    <rPh sb="23" eb="24">
      <t>ツカサ</t>
    </rPh>
    <rPh sb="25" eb="26">
      <t>オサム</t>
    </rPh>
    <phoneticPr fontId="1"/>
  </si>
  <si>
    <r>
      <rPr>
        <sz val="11"/>
        <rFont val="游ゴシック Medium"/>
        <family val="3"/>
        <charset val="128"/>
      </rPr>
      <t>怪談</t>
    </r>
    <r>
      <rPr>
        <sz val="11"/>
        <rFont val="Consolas"/>
        <family val="3"/>
      </rPr>
      <t xml:space="preserve"> </t>
    </r>
    <r>
      <rPr>
        <sz val="11"/>
        <rFont val="游ゴシック Medium"/>
        <family val="3"/>
        <charset val="128"/>
      </rPr>
      <t>ほか</t>
    </r>
    <r>
      <rPr>
        <sz val="11"/>
        <rFont val="Consolas"/>
        <family val="3"/>
      </rPr>
      <t>/Kwaidan/etc.</t>
    </r>
    <rPh sb="0" eb="2">
      <t>カイダン</t>
    </rPh>
    <phoneticPr fontId="1"/>
  </si>
  <si>
    <r>
      <t xml:space="preserve">A09 908 </t>
    </r>
    <r>
      <rPr>
        <sz val="11"/>
        <rFont val="游ゴシック Medium"/>
        <family val="3"/>
        <charset val="128"/>
      </rPr>
      <t>ふくろうの本</t>
    </r>
    <rPh sb="13" eb="14">
      <t>ホン</t>
    </rPh>
    <phoneticPr fontId="1"/>
  </si>
  <si>
    <r>
      <t>Poe,Edgar Allan/Lovecraft/</t>
    </r>
    <r>
      <rPr>
        <sz val="11"/>
        <rFont val="游ゴシック Medium"/>
        <family val="3"/>
        <charset val="128"/>
      </rPr>
      <t>小泉八雲</t>
    </r>
    <r>
      <rPr>
        <sz val="11"/>
        <rFont val="Consolas"/>
        <family val="3"/>
      </rPr>
      <t>Hearn,Lafcadio/Bradbury,Ray/Christie,Agatha/</t>
    </r>
    <r>
      <rPr>
        <sz val="11"/>
        <rFont val="游ゴシック Medium"/>
        <family val="3"/>
        <charset val="128"/>
      </rPr>
      <t>瞿佑</t>
    </r>
    <r>
      <rPr>
        <sz val="11"/>
        <rFont val="Consolas"/>
        <family val="3"/>
      </rPr>
      <t>/</t>
    </r>
    <r>
      <rPr>
        <sz val="11"/>
        <rFont val="游ゴシック Medium"/>
        <family val="3"/>
        <charset val="128"/>
      </rPr>
      <t>マリヤット</t>
    </r>
    <r>
      <rPr>
        <sz val="11"/>
        <rFont val="Consolas"/>
        <family val="3"/>
      </rPr>
      <t>,Frederick</t>
    </r>
    <rPh sb="0" eb="3">
      <t>ポー</t>
    </rPh>
    <rPh sb="4" eb="9">
      <t>エドガー</t>
    </rPh>
    <rPh sb="10" eb="15">
      <t>アラン</t>
    </rPh>
    <rPh sb="16" eb="25">
      <t>ラヴクラフト</t>
    </rPh>
    <rPh sb="26" eb="28">
      <t>コイズミ</t>
    </rPh>
    <rPh sb="28" eb="30">
      <t>ヤクモ</t>
    </rPh>
    <rPh sb="30" eb="35">
      <t>ハーン</t>
    </rPh>
    <rPh sb="36" eb="44">
      <t>ラフカディオ</t>
    </rPh>
    <rPh sb="45" eb="53">
      <t>ブラッドベリー</t>
    </rPh>
    <rPh sb="54" eb="57">
      <t>レイ</t>
    </rPh>
    <rPh sb="58" eb="66">
      <t>クリスティ</t>
    </rPh>
    <rPh sb="67" eb="73">
      <t>アガサ</t>
    </rPh>
    <rPh sb="74" eb="76">
      <t>クユウ</t>
    </rPh>
    <rPh sb="83" eb="92">
      <t>フレデリック</t>
    </rPh>
    <phoneticPr fontId="1"/>
  </si>
  <si>
    <r>
      <rPr>
        <sz val="11"/>
        <rFont val="游ゴシック Medium"/>
        <family val="3"/>
        <charset val="128"/>
      </rPr>
      <t>白木</t>
    </r>
    <r>
      <rPr>
        <sz val="11"/>
        <rFont val="Consolas"/>
        <family val="3"/>
      </rPr>
      <t xml:space="preserve"> </t>
    </r>
    <r>
      <rPr>
        <sz val="11"/>
        <rFont val="游ゴシック Medium"/>
        <family val="3"/>
        <charset val="128"/>
      </rPr>
      <t>茂</t>
    </r>
    <r>
      <rPr>
        <sz val="11"/>
        <rFont val="Consolas"/>
        <family val="3"/>
      </rPr>
      <t>,</t>
    </r>
    <r>
      <rPr>
        <sz val="11"/>
        <rFont val="游ゴシック Medium"/>
        <family val="3"/>
        <charset val="128"/>
      </rPr>
      <t>保永</t>
    </r>
    <r>
      <rPr>
        <sz val="11"/>
        <rFont val="Consolas"/>
        <family val="3"/>
      </rPr>
      <t xml:space="preserve"> </t>
    </r>
    <r>
      <rPr>
        <sz val="11"/>
        <rFont val="游ゴシック Medium"/>
        <family val="3"/>
        <charset val="128"/>
      </rPr>
      <t>貞夫</t>
    </r>
    <r>
      <rPr>
        <sz val="11"/>
        <rFont val="Consolas"/>
        <family val="3"/>
      </rPr>
      <t>,</t>
    </r>
    <r>
      <rPr>
        <sz val="11"/>
        <rFont val="游ゴシック Medium"/>
        <family val="3"/>
        <charset val="128"/>
      </rPr>
      <t>福島</t>
    </r>
    <r>
      <rPr>
        <sz val="11"/>
        <rFont val="Consolas"/>
        <family val="3"/>
      </rPr>
      <t xml:space="preserve"> </t>
    </r>
    <r>
      <rPr>
        <sz val="11"/>
        <rFont val="游ゴシック Medium"/>
        <family val="3"/>
        <charset val="128"/>
      </rPr>
      <t>正実</t>
    </r>
    <r>
      <rPr>
        <sz val="11"/>
        <rFont val="Consolas"/>
        <family val="3"/>
      </rPr>
      <t>,</t>
    </r>
    <r>
      <rPr>
        <sz val="11"/>
        <rFont val="游ゴシック Medium"/>
        <family val="3"/>
        <charset val="128"/>
      </rPr>
      <t>宮脇</t>
    </r>
    <r>
      <rPr>
        <sz val="11"/>
        <rFont val="Consolas"/>
        <family val="3"/>
      </rPr>
      <t xml:space="preserve"> </t>
    </r>
    <r>
      <rPr>
        <sz val="11"/>
        <rFont val="游ゴシック Medium"/>
        <family val="3"/>
        <charset val="128"/>
      </rPr>
      <t>紀雄</t>
    </r>
    <r>
      <rPr>
        <sz val="11"/>
        <rFont val="Consolas"/>
        <family val="3"/>
      </rPr>
      <t>/</t>
    </r>
    <r>
      <rPr>
        <sz val="11"/>
        <rFont val="游ゴシック Medium"/>
        <family val="3"/>
        <charset val="128"/>
      </rPr>
      <t>辰巳</t>
    </r>
    <r>
      <rPr>
        <sz val="11"/>
        <rFont val="Consolas"/>
        <family val="3"/>
      </rPr>
      <t xml:space="preserve"> </t>
    </r>
    <r>
      <rPr>
        <sz val="11"/>
        <rFont val="游ゴシック Medium"/>
        <family val="3"/>
        <charset val="128"/>
      </rPr>
      <t>四郎</t>
    </r>
    <rPh sb="0" eb="2">
      <t>シラキ</t>
    </rPh>
    <rPh sb="3" eb="4">
      <t>シゲル</t>
    </rPh>
    <rPh sb="5" eb="7">
      <t>ヤスナガ</t>
    </rPh>
    <rPh sb="8" eb="10">
      <t>サダオ</t>
    </rPh>
    <rPh sb="11" eb="13">
      <t>フクシマ</t>
    </rPh>
    <rPh sb="14" eb="16">
      <t>マサミ</t>
    </rPh>
    <rPh sb="17" eb="19">
      <t>ミヤワキ</t>
    </rPh>
    <rPh sb="20" eb="22">
      <t>トシオ</t>
    </rPh>
    <rPh sb="23" eb="25">
      <t>タツミ</t>
    </rPh>
    <rPh sb="26" eb="28">
      <t>シロウ</t>
    </rPh>
    <phoneticPr fontId="1"/>
  </si>
  <si>
    <r>
      <rPr>
        <sz val="11"/>
        <rFont val="游ゴシック Medium"/>
        <family val="3"/>
        <charset val="128"/>
      </rPr>
      <t>怪談</t>
    </r>
    <r>
      <rPr>
        <sz val="11"/>
        <rFont val="Consolas"/>
        <family val="3"/>
      </rPr>
      <t xml:space="preserve"> (2)/The Black Cat/etc.</t>
    </r>
    <rPh sb="0" eb="2">
      <t>カイダン</t>
    </rPh>
    <phoneticPr fontId="1"/>
  </si>
  <si>
    <r>
      <t xml:space="preserve">A24 908 </t>
    </r>
    <r>
      <rPr>
        <sz val="11"/>
        <rFont val="游ゴシック Medium"/>
        <family val="3"/>
        <charset val="128"/>
      </rPr>
      <t>ふくろうの本</t>
    </r>
    <rPh sb="13" eb="14">
      <t>ホン</t>
    </rPh>
    <phoneticPr fontId="1"/>
  </si>
  <si>
    <r>
      <t>Lovecraft/</t>
    </r>
    <r>
      <rPr>
        <sz val="11"/>
        <rFont val="游ゴシック Medium"/>
        <family val="3"/>
        <charset val="128"/>
      </rPr>
      <t>ゴーチェ</t>
    </r>
    <r>
      <rPr>
        <sz val="11"/>
        <rFont val="Consolas"/>
        <family val="3"/>
      </rPr>
      <t>,</t>
    </r>
    <r>
      <rPr>
        <sz val="11"/>
        <rFont val="游ゴシック Medium"/>
        <family val="3"/>
        <charset val="128"/>
      </rPr>
      <t>テオフィール</t>
    </r>
    <r>
      <rPr>
        <sz val="11"/>
        <rFont val="Consolas"/>
        <family val="3"/>
      </rPr>
      <t>/</t>
    </r>
    <r>
      <rPr>
        <sz val="11"/>
        <rFont val="游ゴシック Medium"/>
        <family val="3"/>
        <charset val="128"/>
      </rPr>
      <t>エーメ</t>
    </r>
    <r>
      <rPr>
        <sz val="11"/>
        <rFont val="Consolas"/>
        <family val="3"/>
      </rPr>
      <t>,</t>
    </r>
    <r>
      <rPr>
        <sz val="11"/>
        <rFont val="游ゴシック Medium"/>
        <family val="3"/>
        <charset val="128"/>
      </rPr>
      <t>マルセル</t>
    </r>
    <r>
      <rPr>
        <sz val="11"/>
        <rFont val="Consolas"/>
        <family val="3"/>
      </rPr>
      <t>/Hoffmann,Ernst Theodor Amadeaus/</t>
    </r>
    <r>
      <rPr>
        <sz val="11"/>
        <rFont val="游ゴシック Medium"/>
        <family val="3"/>
        <charset val="128"/>
      </rPr>
      <t>ブラックウッド</t>
    </r>
    <r>
      <rPr>
        <sz val="11"/>
        <rFont val="Consolas"/>
        <family val="3"/>
      </rPr>
      <t>,</t>
    </r>
    <r>
      <rPr>
        <sz val="11"/>
        <rFont val="游ゴシック Medium"/>
        <family val="3"/>
        <charset val="128"/>
      </rPr>
      <t>アルジャーノン</t>
    </r>
    <r>
      <rPr>
        <sz val="11"/>
        <rFont val="Consolas"/>
        <family val="3"/>
      </rPr>
      <t>/</t>
    </r>
    <r>
      <rPr>
        <sz val="11"/>
        <rFont val="游ゴシック Medium"/>
        <family val="3"/>
        <charset val="128"/>
      </rPr>
      <t>上田</t>
    </r>
    <r>
      <rPr>
        <sz val="11"/>
        <rFont val="Consolas"/>
        <family val="3"/>
      </rPr>
      <t xml:space="preserve"> </t>
    </r>
    <r>
      <rPr>
        <sz val="11"/>
        <rFont val="游ゴシック Medium"/>
        <family val="3"/>
        <charset val="128"/>
      </rPr>
      <t>秋成</t>
    </r>
    <rPh sb="0" eb="9">
      <t>ラヴクラフト</t>
    </rPh>
    <rPh sb="31" eb="39">
      <t>ホフマン</t>
    </rPh>
    <rPh sb="40" eb="45">
      <t>エルンスト</t>
    </rPh>
    <rPh sb="46" eb="53">
      <t>テオドール</t>
    </rPh>
    <rPh sb="54" eb="62">
      <t>アマデウス</t>
    </rPh>
    <rPh sb="79" eb="81">
      <t>ウエダ</t>
    </rPh>
    <rPh sb="82" eb="84">
      <t>アキナリ</t>
    </rPh>
    <phoneticPr fontId="1"/>
  </si>
  <si>
    <r>
      <rPr>
        <sz val="11"/>
        <rFont val="游ゴシック Medium"/>
        <family val="3"/>
        <charset val="128"/>
      </rPr>
      <t>都筑</t>
    </r>
    <r>
      <rPr>
        <sz val="11"/>
        <rFont val="Consolas"/>
        <family val="3"/>
      </rPr>
      <t xml:space="preserve"> </t>
    </r>
    <r>
      <rPr>
        <sz val="11"/>
        <rFont val="游ゴシック Medium"/>
        <family val="3"/>
        <charset val="128"/>
      </rPr>
      <t>道夫</t>
    </r>
    <r>
      <rPr>
        <sz val="11"/>
        <rFont val="Consolas"/>
        <family val="3"/>
      </rPr>
      <t>,</t>
    </r>
    <r>
      <rPr>
        <sz val="11"/>
        <rFont val="游ゴシック Medium"/>
        <family val="3"/>
        <charset val="128"/>
      </rPr>
      <t>川崎</t>
    </r>
    <r>
      <rPr>
        <sz val="11"/>
        <rFont val="Consolas"/>
        <family val="3"/>
      </rPr>
      <t xml:space="preserve"> </t>
    </r>
    <r>
      <rPr>
        <sz val="11"/>
        <rFont val="游ゴシック Medium"/>
        <family val="3"/>
        <charset val="128"/>
      </rPr>
      <t>竹一</t>
    </r>
    <r>
      <rPr>
        <sz val="11"/>
        <rFont val="Consolas"/>
        <family val="3"/>
      </rPr>
      <t>,</t>
    </r>
    <r>
      <rPr>
        <sz val="11"/>
        <rFont val="游ゴシック Medium"/>
        <family val="3"/>
        <charset val="128"/>
      </rPr>
      <t>石上</t>
    </r>
    <r>
      <rPr>
        <sz val="11"/>
        <rFont val="Consolas"/>
        <family val="3"/>
      </rPr>
      <t xml:space="preserve"> </t>
    </r>
    <r>
      <rPr>
        <sz val="11"/>
        <rFont val="游ゴシック Medium"/>
        <family val="3"/>
        <charset val="128"/>
      </rPr>
      <t>三登志</t>
    </r>
    <r>
      <rPr>
        <sz val="11"/>
        <rFont val="Consolas"/>
        <family val="3"/>
      </rPr>
      <t>,</t>
    </r>
    <r>
      <rPr>
        <sz val="11"/>
        <rFont val="游ゴシック Medium"/>
        <family val="3"/>
        <charset val="128"/>
      </rPr>
      <t>村松</t>
    </r>
    <r>
      <rPr>
        <sz val="11"/>
        <rFont val="Consolas"/>
        <family val="3"/>
      </rPr>
      <t xml:space="preserve"> </t>
    </r>
    <r>
      <rPr>
        <sz val="11"/>
        <rFont val="游ゴシック Medium"/>
        <family val="3"/>
        <charset val="128"/>
      </rPr>
      <t>定孝</t>
    </r>
    <r>
      <rPr>
        <sz val="11"/>
        <rFont val="Consolas"/>
        <family val="3"/>
      </rPr>
      <t>/</t>
    </r>
    <r>
      <rPr>
        <sz val="11"/>
        <rFont val="游ゴシック Medium"/>
        <family val="3"/>
        <charset val="128"/>
      </rPr>
      <t>秋吉</t>
    </r>
    <r>
      <rPr>
        <sz val="11"/>
        <rFont val="Consolas"/>
        <family val="3"/>
      </rPr>
      <t xml:space="preserve"> </t>
    </r>
    <r>
      <rPr>
        <sz val="11"/>
        <rFont val="游ゴシック Medium"/>
        <family val="3"/>
        <charset val="128"/>
      </rPr>
      <t>巒</t>
    </r>
    <r>
      <rPr>
        <sz val="11"/>
        <rFont val="Consolas"/>
        <family val="3"/>
      </rPr>
      <t>,</t>
    </r>
    <r>
      <rPr>
        <sz val="11"/>
        <rFont val="游ゴシック Medium"/>
        <family val="3"/>
        <charset val="128"/>
      </rPr>
      <t>橋本</t>
    </r>
    <r>
      <rPr>
        <sz val="11"/>
        <rFont val="Consolas"/>
        <family val="3"/>
      </rPr>
      <t xml:space="preserve"> </t>
    </r>
    <r>
      <rPr>
        <sz val="11"/>
        <rFont val="游ゴシック Medium"/>
        <family val="3"/>
        <charset val="128"/>
      </rPr>
      <t>治</t>
    </r>
    <r>
      <rPr>
        <sz val="11"/>
        <rFont val="Consolas"/>
        <family val="3"/>
      </rPr>
      <t>,</t>
    </r>
    <r>
      <rPr>
        <sz val="11"/>
        <rFont val="游ゴシック Medium"/>
        <family val="3"/>
        <charset val="128"/>
      </rPr>
      <t>山田</t>
    </r>
    <r>
      <rPr>
        <sz val="11"/>
        <rFont val="Consolas"/>
        <family val="3"/>
      </rPr>
      <t xml:space="preserve"> </t>
    </r>
    <r>
      <rPr>
        <sz val="11"/>
        <rFont val="游ゴシック Medium"/>
        <family val="3"/>
        <charset val="128"/>
      </rPr>
      <t>維史</t>
    </r>
    <rPh sb="0" eb="2">
      <t>ツヅキ</t>
    </rPh>
    <rPh sb="3" eb="5">
      <t>ミチオ</t>
    </rPh>
    <rPh sb="6" eb="8">
      <t>カワサキ</t>
    </rPh>
    <rPh sb="9" eb="11">
      <t>タケイチ</t>
    </rPh>
    <rPh sb="12" eb="14">
      <t>イシガミ</t>
    </rPh>
    <rPh sb="15" eb="18">
      <t>ミツトシ</t>
    </rPh>
    <rPh sb="19" eb="21">
      <t>ムラマツ</t>
    </rPh>
    <rPh sb="22" eb="24">
      <t>サダタカ</t>
    </rPh>
    <rPh sb="25" eb="27">
      <t>アキヨシ　</t>
    </rPh>
    <rPh sb="28" eb="29">
      <t>ミネ</t>
    </rPh>
    <rPh sb="30" eb="32">
      <t>ハシモト　</t>
    </rPh>
    <rPh sb="33" eb="34">
      <t>オサム</t>
    </rPh>
    <rPh sb="35" eb="37">
      <t>ヤマダ　</t>
    </rPh>
    <rPh sb="38" eb="40">
      <t>コレフミ</t>
    </rPh>
    <phoneticPr fontId="1"/>
  </si>
  <si>
    <r>
      <rPr>
        <sz val="11"/>
        <rFont val="游ゴシック Medium"/>
        <family val="3"/>
        <charset val="128"/>
      </rPr>
      <t>怪談</t>
    </r>
    <r>
      <rPr>
        <sz val="11"/>
        <rFont val="Consolas"/>
        <family val="3"/>
      </rPr>
      <t xml:space="preserve"> (3)/The Dunwich Horror/etc.</t>
    </r>
    <rPh sb="0" eb="2">
      <t>カイダン</t>
    </rPh>
    <phoneticPr fontId="1"/>
  </si>
  <si>
    <r>
      <t xml:space="preserve">A43 908 </t>
    </r>
    <r>
      <rPr>
        <sz val="11"/>
        <rFont val="游ゴシック Medium"/>
        <family val="3"/>
        <charset val="128"/>
      </rPr>
      <t>ふくろうの本</t>
    </r>
    <rPh sb="13" eb="14">
      <t>ホン</t>
    </rPh>
    <phoneticPr fontId="1"/>
  </si>
  <si>
    <r>
      <rPr>
        <sz val="11"/>
        <rFont val="游ゴシック Medium"/>
        <family val="3"/>
        <charset val="128"/>
      </rPr>
      <t>山室</t>
    </r>
    <r>
      <rPr>
        <sz val="11"/>
        <rFont val="Consolas"/>
        <family val="3"/>
      </rPr>
      <t xml:space="preserve"> </t>
    </r>
    <r>
      <rPr>
        <sz val="11"/>
        <rFont val="游ゴシック Medium"/>
        <family val="3"/>
        <charset val="128"/>
      </rPr>
      <t>靜</t>
    </r>
    <r>
      <rPr>
        <sz val="11"/>
        <rFont val="Consolas"/>
        <family val="3"/>
      </rPr>
      <t>/Jansson,Tove</t>
    </r>
    <rPh sb="0" eb="2">
      <t>ヤマムロ</t>
    </rPh>
    <rPh sb="3" eb="4">
      <t>シズカ</t>
    </rPh>
    <rPh sb="5" eb="12">
      <t>ヤンソン</t>
    </rPh>
    <rPh sb="13" eb="17">
      <t>トーヴェ</t>
    </rPh>
    <phoneticPr fontId="1"/>
  </si>
  <si>
    <r>
      <t>Trollkarlens Hatt/</t>
    </r>
    <r>
      <rPr>
        <sz val="11"/>
        <rFont val="游ゴシック Medium"/>
        <family val="3"/>
        <charset val="128"/>
      </rPr>
      <t>たのしいムーミン一家</t>
    </r>
    <rPh sb="26" eb="28">
      <t>イッカ</t>
    </rPh>
    <phoneticPr fontId="1"/>
  </si>
  <si>
    <r>
      <t xml:space="preserve">A02 949 </t>
    </r>
    <r>
      <rPr>
        <sz val="11"/>
        <rFont val="游ゴシック Medium"/>
        <family val="3"/>
        <charset val="128"/>
      </rPr>
      <t>ふくろうの本</t>
    </r>
    <rPh sb="13" eb="14">
      <t>ホン</t>
    </rPh>
    <phoneticPr fontId="1"/>
  </si>
  <si>
    <r>
      <rPr>
        <sz val="11"/>
        <rFont val="游ゴシック Medium"/>
        <family val="3"/>
        <charset val="128"/>
      </rPr>
      <t>榎林</t>
    </r>
    <r>
      <rPr>
        <sz val="11"/>
        <rFont val="Consolas"/>
        <family val="3"/>
      </rPr>
      <t xml:space="preserve"> </t>
    </r>
    <r>
      <rPr>
        <sz val="11"/>
        <rFont val="游ゴシック Medium"/>
        <family val="3"/>
        <charset val="128"/>
      </rPr>
      <t>哲</t>
    </r>
    <r>
      <rPr>
        <sz val="11"/>
        <rFont val="Consolas"/>
        <family val="3"/>
      </rPr>
      <t>/</t>
    </r>
    <r>
      <rPr>
        <sz val="11"/>
        <rFont val="游ゴシック Medium"/>
        <family val="3"/>
        <charset val="128"/>
      </rPr>
      <t>上本</t>
    </r>
    <r>
      <rPr>
        <sz val="11"/>
        <rFont val="Consolas"/>
        <family val="3"/>
      </rPr>
      <t xml:space="preserve"> </t>
    </r>
    <r>
      <rPr>
        <sz val="11"/>
        <rFont val="游ゴシック Medium"/>
        <family val="3"/>
        <charset val="128"/>
      </rPr>
      <t>善美</t>
    </r>
    <rPh sb="0" eb="1">
      <t>エノキ</t>
    </rPh>
    <rPh sb="1" eb="2">
      <t>ハヤシ</t>
    </rPh>
    <rPh sb="3" eb="4">
      <t>テツ</t>
    </rPh>
    <rPh sb="5" eb="7">
      <t>ウエモト</t>
    </rPh>
    <rPh sb="8" eb="10">
      <t>ヨシミ</t>
    </rPh>
    <phoneticPr fontId="1"/>
  </si>
  <si>
    <r>
      <t>The Magic Walking Stick/</t>
    </r>
    <r>
      <rPr>
        <sz val="11"/>
        <rFont val="游ゴシック Medium"/>
        <family val="3"/>
        <charset val="128"/>
      </rPr>
      <t>魔法のつえ</t>
    </r>
    <rPh sb="24" eb="26">
      <t>マホウ</t>
    </rPh>
    <phoneticPr fontId="1"/>
  </si>
  <si>
    <r>
      <t xml:space="preserve">A06 930 </t>
    </r>
    <r>
      <rPr>
        <sz val="11"/>
        <rFont val="游ゴシック Medium"/>
        <family val="3"/>
        <charset val="128"/>
      </rPr>
      <t>ふくろうの本</t>
    </r>
    <rPh sb="13" eb="14">
      <t>ホン</t>
    </rPh>
    <phoneticPr fontId="1"/>
  </si>
  <si>
    <r>
      <rPr>
        <sz val="11"/>
        <rFont val="游ゴシック Medium"/>
        <family val="3"/>
        <charset val="128"/>
      </rPr>
      <t>亀山</t>
    </r>
    <r>
      <rPr>
        <sz val="11"/>
        <rFont val="Consolas"/>
        <family val="3"/>
      </rPr>
      <t xml:space="preserve"> </t>
    </r>
    <r>
      <rPr>
        <sz val="11"/>
        <rFont val="游ゴシック Medium"/>
        <family val="3"/>
        <charset val="128"/>
      </rPr>
      <t>龍樹</t>
    </r>
    <r>
      <rPr>
        <sz val="11"/>
        <rFont val="Consolas"/>
        <family val="3"/>
      </rPr>
      <t>/</t>
    </r>
    <r>
      <rPr>
        <sz val="11"/>
        <rFont val="游ゴシック Medium"/>
        <family val="3"/>
        <charset val="128"/>
      </rPr>
      <t>金森</t>
    </r>
    <r>
      <rPr>
        <sz val="11"/>
        <rFont val="Consolas"/>
        <family val="3"/>
      </rPr>
      <t xml:space="preserve"> </t>
    </r>
    <r>
      <rPr>
        <sz val="11"/>
        <rFont val="游ゴシック Medium"/>
        <family val="3"/>
        <charset val="128"/>
      </rPr>
      <t>達</t>
    </r>
    <rPh sb="0" eb="2">
      <t>カメヤマ</t>
    </rPh>
    <rPh sb="3" eb="5">
      <t>タツキ</t>
    </rPh>
    <rPh sb="6" eb="8">
      <t>カナモリ</t>
    </rPh>
    <phoneticPr fontId="1"/>
  </si>
  <si>
    <r>
      <t>When worlds collide/</t>
    </r>
    <r>
      <rPr>
        <sz val="11"/>
        <rFont val="游ゴシック Medium"/>
        <family val="3"/>
        <charset val="128"/>
      </rPr>
      <t>地球さいごの日</t>
    </r>
    <rPh sb="20" eb="22">
      <t>チキュウ</t>
    </rPh>
    <rPh sb="26" eb="27">
      <t>ヒ</t>
    </rPh>
    <phoneticPr fontId="1"/>
  </si>
  <si>
    <r>
      <t xml:space="preserve">A13 930 </t>
    </r>
    <r>
      <rPr>
        <sz val="11"/>
        <rFont val="游ゴシック Medium"/>
        <family val="3"/>
        <charset val="128"/>
      </rPr>
      <t>ふくろうの本</t>
    </r>
    <rPh sb="13" eb="14">
      <t>ホン</t>
    </rPh>
    <phoneticPr fontId="1"/>
  </si>
  <si>
    <r>
      <rPr>
        <sz val="11"/>
        <rFont val="游ゴシック Medium"/>
        <family val="3"/>
        <charset val="128"/>
      </rPr>
      <t>内田</t>
    </r>
    <r>
      <rPr>
        <sz val="11"/>
        <rFont val="Consolas"/>
        <family val="3"/>
      </rPr>
      <t xml:space="preserve"> </t>
    </r>
    <r>
      <rPr>
        <sz val="11"/>
        <rFont val="游ゴシック Medium"/>
        <family val="3"/>
        <charset val="128"/>
      </rPr>
      <t>庶</t>
    </r>
    <r>
      <rPr>
        <sz val="11"/>
        <rFont val="Consolas"/>
        <family val="3"/>
      </rPr>
      <t>/</t>
    </r>
    <r>
      <rPr>
        <sz val="11"/>
        <rFont val="游ゴシック Medium"/>
        <family val="3"/>
        <charset val="128"/>
      </rPr>
      <t>橘田</t>
    </r>
    <r>
      <rPr>
        <sz val="11"/>
        <rFont val="Consolas"/>
        <family val="3"/>
      </rPr>
      <t xml:space="preserve"> </t>
    </r>
    <r>
      <rPr>
        <sz val="11"/>
        <rFont val="游ゴシック Medium"/>
        <family val="3"/>
        <charset val="128"/>
      </rPr>
      <t>幸雄</t>
    </r>
    <rPh sb="0" eb="2">
      <t>ウチダ</t>
    </rPh>
    <rPh sb="5" eb="7">
      <t>キツタ</t>
    </rPh>
    <rPh sb="8" eb="10">
      <t>ユキオ</t>
    </rPh>
    <phoneticPr fontId="1"/>
  </si>
  <si>
    <r>
      <t>Face au drapeau/</t>
    </r>
    <r>
      <rPr>
        <sz val="11"/>
        <rFont val="游ゴシック Medium"/>
        <family val="3"/>
        <charset val="128"/>
      </rPr>
      <t>悪魔の発明</t>
    </r>
    <r>
      <rPr>
        <sz val="11"/>
        <rFont val="Consolas"/>
        <family val="3"/>
      </rPr>
      <t>(</t>
    </r>
    <r>
      <rPr>
        <sz val="11"/>
        <rFont val="游ゴシック Medium"/>
        <family val="3"/>
        <charset val="128"/>
      </rPr>
      <t>国旗にむかって</t>
    </r>
    <r>
      <rPr>
        <sz val="11"/>
        <rFont val="Consolas"/>
        <family val="3"/>
      </rPr>
      <t>)</t>
    </r>
    <rPh sb="16" eb="18">
      <t>アクマ</t>
    </rPh>
    <rPh sb="19" eb="21">
      <t>ハツメイ</t>
    </rPh>
    <rPh sb="22" eb="24">
      <t>コッキ</t>
    </rPh>
    <phoneticPr fontId="1"/>
  </si>
  <si>
    <r>
      <t xml:space="preserve">A14 930 </t>
    </r>
    <r>
      <rPr>
        <sz val="11"/>
        <rFont val="游ゴシック Medium"/>
        <family val="3"/>
        <charset val="128"/>
      </rPr>
      <t>ふくろうの本</t>
    </r>
    <rPh sb="13" eb="14">
      <t>ホン</t>
    </rPh>
    <phoneticPr fontId="1"/>
  </si>
  <si>
    <r>
      <rPr>
        <sz val="11"/>
        <rFont val="游ゴシック Medium"/>
        <family val="3"/>
        <charset val="128"/>
      </rPr>
      <t>少年時代の秀樹</t>
    </r>
    <r>
      <rPr>
        <sz val="11"/>
        <rFont val="Consolas"/>
        <family val="3"/>
      </rPr>
      <t>/</t>
    </r>
    <r>
      <rPr>
        <sz val="11"/>
        <rFont val="游ゴシック Medium"/>
        <family val="3"/>
        <charset val="128"/>
      </rPr>
      <t>祖母からプレゼント</t>
    </r>
    <rPh sb="0" eb="2">
      <t>ショウネン</t>
    </rPh>
    <rPh sb="2" eb="4">
      <t>ジダイ</t>
    </rPh>
    <rPh sb="5" eb="7">
      <t>ヒデキ</t>
    </rPh>
    <rPh sb="8" eb="10">
      <t>ソボ</t>
    </rPh>
    <phoneticPr fontId="1"/>
  </si>
  <si>
    <r>
      <rPr>
        <sz val="11"/>
        <rFont val="游ゴシック Medium"/>
        <family val="3"/>
        <charset val="128"/>
      </rPr>
      <t>福島</t>
    </r>
    <r>
      <rPr>
        <sz val="11"/>
        <rFont val="Consolas"/>
        <family val="3"/>
      </rPr>
      <t xml:space="preserve"> </t>
    </r>
    <r>
      <rPr>
        <sz val="11"/>
        <rFont val="游ゴシック Medium"/>
        <family val="3"/>
        <charset val="128"/>
      </rPr>
      <t>正実</t>
    </r>
    <r>
      <rPr>
        <sz val="11"/>
        <rFont val="Consolas"/>
        <family val="3"/>
      </rPr>
      <t>/</t>
    </r>
    <r>
      <rPr>
        <sz val="11"/>
        <rFont val="游ゴシック Medium"/>
        <family val="3"/>
        <charset val="128"/>
      </rPr>
      <t>松井</t>
    </r>
    <r>
      <rPr>
        <sz val="11"/>
        <rFont val="Consolas"/>
        <family val="3"/>
      </rPr>
      <t xml:space="preserve"> </t>
    </r>
    <r>
      <rPr>
        <sz val="11"/>
        <rFont val="游ゴシック Medium"/>
        <family val="3"/>
        <charset val="128"/>
      </rPr>
      <t>豊</t>
    </r>
    <rPh sb="0" eb="2">
      <t>フクシマ</t>
    </rPh>
    <rPh sb="3" eb="5">
      <t>マサミ</t>
    </rPh>
    <rPh sb="6" eb="8">
      <t>マツイ</t>
    </rPh>
    <rPh sb="9" eb="10">
      <t>ユタカ</t>
    </rPh>
    <phoneticPr fontId="1"/>
  </si>
  <si>
    <r>
      <t>The Invisible Man/</t>
    </r>
    <r>
      <rPr>
        <sz val="11"/>
        <rFont val="游ゴシック Medium"/>
        <family val="3"/>
        <charset val="128"/>
      </rPr>
      <t>透明人間</t>
    </r>
    <rPh sb="18" eb="20">
      <t>トウメイ</t>
    </rPh>
    <rPh sb="20" eb="22">
      <t>ニンゲン</t>
    </rPh>
    <phoneticPr fontId="1"/>
  </si>
  <si>
    <r>
      <t xml:space="preserve">A15 930 </t>
    </r>
    <r>
      <rPr>
        <sz val="11"/>
        <rFont val="游ゴシック Medium"/>
        <family val="3"/>
        <charset val="128"/>
      </rPr>
      <t>ふくろうの本</t>
    </r>
    <rPh sb="13" eb="14">
      <t>ホン</t>
    </rPh>
    <phoneticPr fontId="1"/>
  </si>
  <si>
    <r>
      <rPr>
        <sz val="11"/>
        <rFont val="游ゴシック Medium"/>
        <family val="3"/>
        <charset val="128"/>
      </rPr>
      <t>久米</t>
    </r>
    <r>
      <rPr>
        <sz val="11"/>
        <rFont val="Consolas"/>
        <family val="3"/>
      </rPr>
      <t xml:space="preserve"> </t>
    </r>
    <r>
      <rPr>
        <sz val="11"/>
        <rFont val="游ゴシック Medium"/>
        <family val="3"/>
        <charset val="128"/>
      </rPr>
      <t>元一</t>
    </r>
    <r>
      <rPr>
        <sz val="11"/>
        <rFont val="Consolas"/>
        <family val="3"/>
      </rPr>
      <t>/</t>
    </r>
    <r>
      <rPr>
        <sz val="11"/>
        <rFont val="游ゴシック Medium"/>
        <family val="3"/>
        <charset val="128"/>
      </rPr>
      <t>山本</t>
    </r>
    <r>
      <rPr>
        <sz val="11"/>
        <rFont val="Consolas"/>
        <family val="3"/>
      </rPr>
      <t xml:space="preserve"> </t>
    </r>
    <r>
      <rPr>
        <sz val="11"/>
        <rFont val="游ゴシック Medium"/>
        <family val="3"/>
        <charset val="128"/>
      </rPr>
      <t>耀也</t>
    </r>
    <rPh sb="0" eb="2">
      <t>クメ</t>
    </rPh>
    <rPh sb="3" eb="5">
      <t>モトカズ</t>
    </rPh>
    <rPh sb="6" eb="8">
      <t>ヤマモト</t>
    </rPh>
    <rPh sb="9" eb="11">
      <t>ヨウヤ</t>
    </rPh>
    <phoneticPr fontId="1"/>
  </si>
  <si>
    <r>
      <rPr>
        <sz val="11"/>
        <rFont val="游ゴシック Medium"/>
        <family val="3"/>
        <charset val="128"/>
      </rPr>
      <t>死にかけたホーム</t>
    </r>
    <r>
      <rPr>
        <sz val="11"/>
        <rFont val="Consolas"/>
        <family val="3"/>
      </rPr>
      <t>/</t>
    </r>
    <r>
      <rPr>
        <sz val="11"/>
        <rFont val="游ゴシック Medium"/>
        <family val="3"/>
        <charset val="128"/>
      </rPr>
      <t>赤毛クラブ</t>
    </r>
    <r>
      <rPr>
        <sz val="11"/>
        <rFont val="Consolas"/>
        <family val="3"/>
      </rPr>
      <t>/</t>
    </r>
    <r>
      <rPr>
        <sz val="11"/>
        <rFont val="游ゴシック Medium"/>
        <family val="3"/>
        <charset val="128"/>
      </rPr>
      <t>まだらのひも</t>
    </r>
    <r>
      <rPr>
        <sz val="11"/>
        <rFont val="Consolas"/>
        <family val="3"/>
      </rPr>
      <t>/</t>
    </r>
    <r>
      <rPr>
        <sz val="11"/>
        <rFont val="游ゴシック Medium"/>
        <family val="3"/>
        <charset val="128"/>
      </rPr>
      <t>六つのナポレオン</t>
    </r>
    <rPh sb="0" eb="1">
      <t>シ</t>
    </rPh>
    <rPh sb="9" eb="11">
      <t>アカゲ</t>
    </rPh>
    <rPh sb="22" eb="23">
      <t>ムッ</t>
    </rPh>
    <phoneticPr fontId="1"/>
  </si>
  <si>
    <r>
      <t xml:space="preserve">A18 930 </t>
    </r>
    <r>
      <rPr>
        <sz val="11"/>
        <rFont val="游ゴシック Medium"/>
        <family val="3"/>
        <charset val="128"/>
      </rPr>
      <t>ふくろうの本</t>
    </r>
    <rPh sb="13" eb="14">
      <t>ホン</t>
    </rPh>
    <phoneticPr fontId="1"/>
  </si>
  <si>
    <r>
      <rPr>
        <sz val="11"/>
        <rFont val="游ゴシック Medium"/>
        <family val="3"/>
        <charset val="128"/>
      </rPr>
      <t>アダモフ</t>
    </r>
    <r>
      <rPr>
        <sz val="11"/>
        <rFont val="Consolas"/>
        <family val="3"/>
      </rPr>
      <t>,</t>
    </r>
    <r>
      <rPr>
        <sz val="11"/>
        <rFont val="游ゴシック Medium"/>
        <family val="3"/>
        <charset val="128"/>
      </rPr>
      <t>グリゴーリー</t>
    </r>
    <phoneticPr fontId="1"/>
  </si>
  <si>
    <r>
      <rPr>
        <sz val="11"/>
        <rFont val="游ゴシック Medium"/>
        <family val="3"/>
        <charset val="128"/>
      </rPr>
      <t>工藤</t>
    </r>
    <r>
      <rPr>
        <sz val="11"/>
        <rFont val="Consolas"/>
        <family val="3"/>
      </rPr>
      <t xml:space="preserve"> </t>
    </r>
    <r>
      <rPr>
        <sz val="11"/>
        <rFont val="游ゴシック Medium"/>
        <family val="3"/>
        <charset val="128"/>
      </rPr>
      <t>精一郎</t>
    </r>
    <r>
      <rPr>
        <sz val="11"/>
        <rFont val="Consolas"/>
        <family val="3"/>
      </rPr>
      <t>/</t>
    </r>
    <r>
      <rPr>
        <sz val="11"/>
        <rFont val="游ゴシック Medium"/>
        <family val="3"/>
        <charset val="128"/>
      </rPr>
      <t>前村</t>
    </r>
    <r>
      <rPr>
        <sz val="11"/>
        <rFont val="Consolas"/>
        <family val="3"/>
      </rPr>
      <t xml:space="preserve"> </t>
    </r>
    <r>
      <rPr>
        <sz val="11"/>
        <rFont val="游ゴシック Medium"/>
        <family val="3"/>
        <charset val="128"/>
      </rPr>
      <t>教綱</t>
    </r>
    <rPh sb="0" eb="2">
      <t>クドウ</t>
    </rPh>
    <rPh sb="3" eb="6">
      <t>セイイチロウ</t>
    </rPh>
    <rPh sb="7" eb="9">
      <t>マエムラ</t>
    </rPh>
    <rPh sb="10" eb="12">
      <t>ノリツナ</t>
    </rPh>
    <phoneticPr fontId="1"/>
  </si>
  <si>
    <r>
      <rPr>
        <sz val="11"/>
        <rFont val="游ゴシック Medium"/>
        <family val="3"/>
        <charset val="128"/>
      </rPr>
      <t>海底五万マイル</t>
    </r>
    <r>
      <rPr>
        <sz val="11"/>
        <rFont val="Consolas"/>
        <family val="3"/>
      </rPr>
      <t>(</t>
    </r>
    <r>
      <rPr>
        <sz val="11"/>
        <rFont val="游ゴシック Medium"/>
        <family val="3"/>
        <charset val="128"/>
      </rPr>
      <t>二つの大洋の秘密</t>
    </r>
    <r>
      <rPr>
        <sz val="11"/>
        <rFont val="Consolas"/>
        <family val="3"/>
      </rPr>
      <t>)</t>
    </r>
    <rPh sb="0" eb="2">
      <t>カイテイ</t>
    </rPh>
    <rPh sb="2" eb="4">
      <t>ゴマン</t>
    </rPh>
    <rPh sb="8" eb="9">
      <t>フタ</t>
    </rPh>
    <rPh sb="11" eb="13">
      <t>タイヨウ</t>
    </rPh>
    <rPh sb="14" eb="16">
      <t>ヒミツ</t>
    </rPh>
    <phoneticPr fontId="1"/>
  </si>
  <si>
    <r>
      <t xml:space="preserve">A20 930 </t>
    </r>
    <r>
      <rPr>
        <sz val="11"/>
        <rFont val="游ゴシック Medium"/>
        <family val="3"/>
        <charset val="128"/>
      </rPr>
      <t>ふくろうの本</t>
    </r>
    <rPh sb="13" eb="14">
      <t>ホン</t>
    </rPh>
    <phoneticPr fontId="1"/>
  </si>
  <si>
    <r>
      <rPr>
        <sz val="11"/>
        <rFont val="游ゴシック Medium"/>
        <family val="3"/>
        <charset val="128"/>
      </rPr>
      <t>村岡</t>
    </r>
    <r>
      <rPr>
        <sz val="11"/>
        <rFont val="Consolas"/>
        <family val="3"/>
      </rPr>
      <t xml:space="preserve"> </t>
    </r>
    <r>
      <rPr>
        <sz val="11"/>
        <rFont val="游ゴシック Medium"/>
        <family val="3"/>
        <charset val="128"/>
      </rPr>
      <t>花子</t>
    </r>
    <r>
      <rPr>
        <sz val="11"/>
        <rFont val="Consolas"/>
        <family val="3"/>
      </rPr>
      <t>/</t>
    </r>
    <r>
      <rPr>
        <sz val="11"/>
        <rFont val="游ゴシック Medium"/>
        <family val="3"/>
        <charset val="128"/>
      </rPr>
      <t>新井</t>
    </r>
    <r>
      <rPr>
        <sz val="11"/>
        <rFont val="Consolas"/>
        <family val="3"/>
      </rPr>
      <t xml:space="preserve"> </t>
    </r>
    <r>
      <rPr>
        <sz val="11"/>
        <rFont val="游ゴシック Medium"/>
        <family val="3"/>
        <charset val="128"/>
      </rPr>
      <t>苑子</t>
    </r>
    <rPh sb="0" eb="2">
      <t>ムラオカ</t>
    </rPh>
    <rPh sb="3" eb="5">
      <t>ハナコ</t>
    </rPh>
    <rPh sb="6" eb="8">
      <t>アライ</t>
    </rPh>
    <rPh sb="9" eb="11">
      <t>ソノコ</t>
    </rPh>
    <phoneticPr fontId="1"/>
  </si>
  <si>
    <r>
      <t>Anne of Green Gables/</t>
    </r>
    <r>
      <rPr>
        <sz val="11"/>
        <rFont val="游ゴシック Medium"/>
        <family val="3"/>
        <charset val="128"/>
      </rPr>
      <t>赤毛のアン</t>
    </r>
    <rPh sb="21" eb="23">
      <t>アカゲ</t>
    </rPh>
    <phoneticPr fontId="1"/>
  </si>
  <si>
    <r>
      <t xml:space="preserve">A29 930 </t>
    </r>
    <r>
      <rPr>
        <sz val="11"/>
        <rFont val="游ゴシック Medium"/>
        <family val="3"/>
        <charset val="128"/>
      </rPr>
      <t>ふくろうの本</t>
    </r>
    <rPh sb="13" eb="14">
      <t>ホン</t>
    </rPh>
    <phoneticPr fontId="1"/>
  </si>
  <si>
    <r>
      <rPr>
        <sz val="11"/>
        <rFont val="游ゴシック Medium"/>
        <family val="3"/>
        <charset val="128"/>
      </rPr>
      <t>氷川</t>
    </r>
    <r>
      <rPr>
        <sz val="11"/>
        <rFont val="Consolas"/>
        <family val="3"/>
      </rPr>
      <t xml:space="preserve"> </t>
    </r>
    <r>
      <rPr>
        <sz val="11"/>
        <rFont val="游ゴシック Medium"/>
        <family val="3"/>
        <charset val="128"/>
      </rPr>
      <t>瓏</t>
    </r>
    <r>
      <rPr>
        <sz val="11"/>
        <rFont val="Consolas"/>
        <family val="3"/>
      </rPr>
      <t>/</t>
    </r>
    <r>
      <rPr>
        <sz val="11"/>
        <rFont val="游ゴシック Medium"/>
        <family val="3"/>
        <charset val="128"/>
      </rPr>
      <t>石原</t>
    </r>
    <r>
      <rPr>
        <sz val="11"/>
        <rFont val="Consolas"/>
        <family val="3"/>
      </rPr>
      <t xml:space="preserve"> </t>
    </r>
    <r>
      <rPr>
        <sz val="11"/>
        <rFont val="游ゴシック Medium"/>
        <family val="3"/>
        <charset val="128"/>
      </rPr>
      <t>豪人</t>
    </r>
    <rPh sb="0" eb="2">
      <t>ヒカワ</t>
    </rPh>
    <rPh sb="3" eb="4">
      <t>ロウ</t>
    </rPh>
    <rPh sb="5" eb="7">
      <t>イシハラ</t>
    </rPh>
    <rPh sb="8" eb="10">
      <t>ゴウト</t>
    </rPh>
    <phoneticPr fontId="1"/>
  </si>
  <si>
    <r>
      <t>Castle Skull/</t>
    </r>
    <r>
      <rPr>
        <sz val="11"/>
        <rFont val="游ゴシック Medium"/>
        <family val="3"/>
        <charset val="128"/>
      </rPr>
      <t>どくろ城</t>
    </r>
    <rPh sb="16" eb="17">
      <t>ジョウ</t>
    </rPh>
    <phoneticPr fontId="1"/>
  </si>
  <si>
    <r>
      <t xml:space="preserve">A30 930 </t>
    </r>
    <r>
      <rPr>
        <sz val="11"/>
        <rFont val="游ゴシック Medium"/>
        <family val="3"/>
        <charset val="128"/>
      </rPr>
      <t>ふくろうの本</t>
    </r>
    <rPh sb="13" eb="14">
      <t>ホン</t>
    </rPh>
    <phoneticPr fontId="1"/>
  </si>
  <si>
    <r>
      <rPr>
        <sz val="11"/>
        <rFont val="游ゴシック Medium"/>
        <family val="3"/>
        <charset val="128"/>
      </rPr>
      <t>亀山</t>
    </r>
    <r>
      <rPr>
        <sz val="11"/>
        <rFont val="Consolas"/>
        <family val="3"/>
      </rPr>
      <t xml:space="preserve"> </t>
    </r>
    <r>
      <rPr>
        <sz val="11"/>
        <rFont val="游ゴシック Medium"/>
        <family val="3"/>
        <charset val="128"/>
      </rPr>
      <t>龍樹</t>
    </r>
    <r>
      <rPr>
        <sz val="11"/>
        <rFont val="Consolas"/>
        <family val="3"/>
      </rPr>
      <t>/</t>
    </r>
    <r>
      <rPr>
        <sz val="11"/>
        <rFont val="游ゴシック Medium"/>
        <family val="3"/>
        <charset val="128"/>
      </rPr>
      <t>杉尾</t>
    </r>
    <r>
      <rPr>
        <sz val="11"/>
        <rFont val="Consolas"/>
        <family val="3"/>
      </rPr>
      <t xml:space="preserve"> </t>
    </r>
    <r>
      <rPr>
        <sz val="11"/>
        <rFont val="游ゴシック Medium"/>
        <family val="3"/>
        <charset val="128"/>
      </rPr>
      <t>輝利</t>
    </r>
    <rPh sb="0" eb="2">
      <t>カメヤマ</t>
    </rPh>
    <rPh sb="3" eb="5">
      <t>タツキ</t>
    </rPh>
    <rPh sb="6" eb="8">
      <t>スギオ</t>
    </rPh>
    <rPh sb="9" eb="11">
      <t>テルトシ</t>
    </rPh>
    <phoneticPr fontId="1"/>
  </si>
  <si>
    <r>
      <t>Mrs. Harris goes to Paris/</t>
    </r>
    <r>
      <rPr>
        <sz val="11"/>
        <rFont val="游ゴシック Medium"/>
        <family val="3"/>
        <charset val="128"/>
      </rPr>
      <t>ハリスおばさんパリへ行く</t>
    </r>
    <rPh sb="36" eb="37">
      <t>ユ</t>
    </rPh>
    <phoneticPr fontId="1"/>
  </si>
  <si>
    <r>
      <t xml:space="preserve">A31 930 </t>
    </r>
    <r>
      <rPr>
        <sz val="11"/>
        <rFont val="游ゴシック Medium"/>
        <family val="3"/>
        <charset val="128"/>
      </rPr>
      <t>ふくろうの本</t>
    </r>
    <rPh sb="13" eb="14">
      <t>ホン</t>
    </rPh>
    <phoneticPr fontId="1"/>
  </si>
  <si>
    <r>
      <rPr>
        <sz val="11"/>
        <rFont val="游ゴシック Medium"/>
        <family val="3"/>
        <charset val="128"/>
      </rPr>
      <t>仁賀</t>
    </r>
    <r>
      <rPr>
        <sz val="11"/>
        <rFont val="Consolas"/>
        <family val="3"/>
      </rPr>
      <t xml:space="preserve"> </t>
    </r>
    <r>
      <rPr>
        <sz val="11"/>
        <rFont val="游ゴシック Medium"/>
        <family val="3"/>
        <charset val="128"/>
      </rPr>
      <t>克雄</t>
    </r>
    <r>
      <rPr>
        <sz val="11"/>
        <rFont val="Consolas"/>
        <family val="3"/>
      </rPr>
      <t>/</t>
    </r>
    <r>
      <rPr>
        <sz val="11"/>
        <rFont val="游ゴシック Medium"/>
        <family val="3"/>
        <charset val="128"/>
      </rPr>
      <t>生頼</t>
    </r>
    <r>
      <rPr>
        <sz val="11"/>
        <rFont val="Consolas"/>
        <family val="3"/>
      </rPr>
      <t xml:space="preserve"> </t>
    </r>
    <r>
      <rPr>
        <sz val="11"/>
        <rFont val="游ゴシック Medium"/>
        <family val="3"/>
        <charset val="128"/>
      </rPr>
      <t>範義</t>
    </r>
    <r>
      <rPr>
        <sz val="11"/>
        <rFont val="Consolas"/>
        <family val="3"/>
      </rPr>
      <t>/</t>
    </r>
    <r>
      <rPr>
        <sz val="11"/>
        <rFont val="游ゴシック Medium"/>
        <family val="3"/>
        <charset val="128"/>
      </rPr>
      <t>原田</t>
    </r>
    <r>
      <rPr>
        <sz val="11"/>
        <rFont val="Consolas"/>
        <family val="3"/>
      </rPr>
      <t xml:space="preserve"> </t>
    </r>
    <r>
      <rPr>
        <sz val="11"/>
        <rFont val="游ゴシック Medium"/>
        <family val="3"/>
        <charset val="128"/>
      </rPr>
      <t>維夫</t>
    </r>
    <r>
      <rPr>
        <sz val="11"/>
        <rFont val="Consolas"/>
        <family val="3"/>
      </rPr>
      <t>/</t>
    </r>
    <r>
      <rPr>
        <sz val="11"/>
        <rFont val="游ゴシック Medium"/>
        <family val="3"/>
        <charset val="128"/>
      </rPr>
      <t>平井</t>
    </r>
    <r>
      <rPr>
        <sz val="11"/>
        <rFont val="Consolas"/>
        <family val="3"/>
      </rPr>
      <t xml:space="preserve"> </t>
    </r>
    <r>
      <rPr>
        <sz val="11"/>
        <rFont val="游ゴシック Medium"/>
        <family val="3"/>
        <charset val="128"/>
      </rPr>
      <t>呈一</t>
    </r>
    <r>
      <rPr>
        <sz val="11"/>
        <rFont val="Consolas"/>
        <family val="3"/>
      </rPr>
      <t>/</t>
    </r>
    <r>
      <rPr>
        <sz val="11"/>
        <rFont val="游ゴシック Medium"/>
        <family val="3"/>
        <charset val="128"/>
      </rPr>
      <t>株式会社タッチ社</t>
    </r>
    <rPh sb="0" eb="2">
      <t>ジンガ</t>
    </rPh>
    <rPh sb="3" eb="5">
      <t>カツオ</t>
    </rPh>
    <rPh sb="6" eb="8">
      <t>オオライ</t>
    </rPh>
    <rPh sb="9" eb="11">
      <t>ノリヨシ</t>
    </rPh>
    <rPh sb="12" eb="14">
      <t>ハラダ</t>
    </rPh>
    <rPh sb="15" eb="17">
      <t>コレオ</t>
    </rPh>
    <rPh sb="18" eb="20">
      <t>ヒライ</t>
    </rPh>
    <rPh sb="21" eb="23">
      <t>テイイチ</t>
    </rPh>
    <rPh sb="24" eb="28">
      <t>カブシキガイシャ</t>
    </rPh>
    <rPh sb="31" eb="32">
      <t>シャ</t>
    </rPh>
    <phoneticPr fontId="1"/>
  </si>
  <si>
    <r>
      <rPr>
        <sz val="11"/>
        <rFont val="游ゴシック Medium"/>
        <family val="3"/>
        <charset val="128"/>
      </rPr>
      <t>訳</t>
    </r>
    <r>
      <rPr>
        <sz val="11"/>
        <rFont val="Consolas"/>
        <family val="3"/>
      </rPr>
      <t>/</t>
    </r>
    <r>
      <rPr>
        <sz val="11"/>
        <rFont val="游ゴシック Medium"/>
        <family val="3"/>
        <charset val="128"/>
      </rPr>
      <t>画</t>
    </r>
    <r>
      <rPr>
        <sz val="11"/>
        <rFont val="Consolas"/>
        <family val="3"/>
      </rPr>
      <t>/</t>
    </r>
    <r>
      <rPr>
        <sz val="11"/>
        <rFont val="游ゴシック Medium"/>
        <family val="3"/>
        <charset val="128"/>
      </rPr>
      <t>装幀</t>
    </r>
    <r>
      <rPr>
        <sz val="11"/>
        <rFont val="Consolas"/>
        <family val="3"/>
      </rPr>
      <t>/</t>
    </r>
    <r>
      <rPr>
        <sz val="11"/>
        <rFont val="游ゴシック Medium"/>
        <family val="3"/>
        <charset val="128"/>
      </rPr>
      <t>監修</t>
    </r>
    <r>
      <rPr>
        <sz val="11"/>
        <rFont val="Consolas"/>
        <family val="3"/>
      </rPr>
      <t>/</t>
    </r>
    <r>
      <rPr>
        <sz val="11"/>
        <rFont val="游ゴシック Medium"/>
        <family val="3"/>
        <charset val="128"/>
      </rPr>
      <t>企画・編集</t>
    </r>
    <rPh sb="0" eb="1">
      <t>ヤク</t>
    </rPh>
    <rPh sb="2" eb="3">
      <t>ガ</t>
    </rPh>
    <rPh sb="4" eb="6">
      <t>ソウテイ</t>
    </rPh>
    <rPh sb="7" eb="9">
      <t>カンシュウ</t>
    </rPh>
    <rPh sb="10" eb="12">
      <t>キカク</t>
    </rPh>
    <rPh sb="13" eb="15">
      <t>ヘンシュウ</t>
    </rPh>
    <phoneticPr fontId="1"/>
  </si>
  <si>
    <r>
      <t>The Haunting of hill house/</t>
    </r>
    <r>
      <rPr>
        <sz val="11"/>
        <rFont val="游ゴシック Medium"/>
        <family val="3"/>
        <charset val="128"/>
      </rPr>
      <t>謎の幽霊屋敷</t>
    </r>
    <rPh sb="27" eb="28">
      <t>ナゾ</t>
    </rPh>
    <rPh sb="29" eb="31">
      <t>ユウレイ</t>
    </rPh>
    <rPh sb="31" eb="33">
      <t>ヤシキ</t>
    </rPh>
    <phoneticPr fontId="1"/>
  </si>
  <si>
    <r>
      <t xml:space="preserve">933 </t>
    </r>
    <r>
      <rPr>
        <sz val="11"/>
        <rFont val="游ゴシック Medium"/>
        <family val="3"/>
        <charset val="128"/>
      </rPr>
      <t>少年少女世界恐怖小説</t>
    </r>
    <r>
      <rPr>
        <sz val="11"/>
        <rFont val="Consolas"/>
        <family val="3"/>
      </rPr>
      <t xml:space="preserve"> 7</t>
    </r>
    <rPh sb="4" eb="6">
      <t>ショウネン</t>
    </rPh>
    <rPh sb="6" eb="8">
      <t>ショウジョ</t>
    </rPh>
    <rPh sb="8" eb="10">
      <t>セカイ</t>
    </rPh>
    <rPh sb="10" eb="12">
      <t>キョウフ</t>
    </rPh>
    <rPh sb="12" eb="14">
      <t>ショウセツ</t>
    </rPh>
    <phoneticPr fontId="1"/>
  </si>
  <si>
    <r>
      <rPr>
        <sz val="11"/>
        <rFont val="游ゴシック Medium"/>
        <family val="3"/>
        <charset val="128"/>
      </rPr>
      <t>朝日ソノラマ</t>
    </r>
    <rPh sb="0" eb="2">
      <t>アサヒ</t>
    </rPh>
    <phoneticPr fontId="1"/>
  </si>
  <si>
    <r>
      <rPr>
        <sz val="11"/>
        <rFont val="游ゴシック Medium"/>
        <family val="3"/>
        <charset val="128"/>
      </rPr>
      <t>フィリップ</t>
    </r>
    <r>
      <rPr>
        <sz val="11"/>
        <rFont val="Consolas"/>
        <family val="3"/>
      </rPr>
      <t>,</t>
    </r>
    <r>
      <rPr>
        <sz val="11"/>
        <rFont val="游ゴシック Medium"/>
        <family val="3"/>
        <charset val="128"/>
      </rPr>
      <t>シャルル･ルイ</t>
    </r>
    <phoneticPr fontId="1"/>
  </si>
  <si>
    <r>
      <rPr>
        <sz val="11"/>
        <rFont val="游ゴシック Medium"/>
        <family val="3"/>
        <charset val="128"/>
      </rPr>
      <t>井上</t>
    </r>
    <r>
      <rPr>
        <sz val="11"/>
        <rFont val="Consolas"/>
        <family val="3"/>
      </rPr>
      <t xml:space="preserve"> </t>
    </r>
    <r>
      <rPr>
        <sz val="11"/>
        <rFont val="游ゴシック Medium"/>
        <family val="3"/>
        <charset val="128"/>
      </rPr>
      <t>勇</t>
    </r>
    <rPh sb="0" eb="2">
      <t>イノウエ</t>
    </rPh>
    <rPh sb="3" eb="4">
      <t>ユウ</t>
    </rPh>
    <phoneticPr fontId="1"/>
  </si>
  <si>
    <r>
      <rPr>
        <sz val="11"/>
        <rFont val="游ゴシック Medium"/>
        <family val="3"/>
        <charset val="128"/>
      </rPr>
      <t>ビュビュ･ドゥ･モンパルナッス</t>
    </r>
    <phoneticPr fontId="1"/>
  </si>
  <si>
    <r>
      <rPr>
        <sz val="11"/>
        <rFont val="游ゴシック Medium"/>
        <family val="3"/>
        <charset val="128"/>
      </rPr>
      <t>現代仏蘭西文藝叢書</t>
    </r>
    <r>
      <rPr>
        <sz val="11"/>
        <rFont val="Consolas"/>
        <family val="3"/>
      </rPr>
      <t>#07</t>
    </r>
    <rPh sb="0" eb="2">
      <t>ゲンダイ</t>
    </rPh>
    <rPh sb="2" eb="5">
      <t>フランス</t>
    </rPh>
    <rPh sb="5" eb="7">
      <t>ブンゲイ</t>
    </rPh>
    <rPh sb="7" eb="9">
      <t>ソウショ</t>
    </rPh>
    <phoneticPr fontId="1"/>
  </si>
  <si>
    <r>
      <t>1</t>
    </r>
    <r>
      <rPr>
        <sz val="11"/>
        <rFont val="游ゴシック Medium"/>
        <family val="3"/>
        <charset val="128"/>
      </rPr>
      <t>圓</t>
    </r>
    <r>
      <rPr>
        <sz val="11"/>
        <rFont val="Consolas"/>
        <family val="3"/>
      </rPr>
      <t>40</t>
    </r>
    <r>
      <rPr>
        <sz val="11"/>
        <rFont val="游ゴシック Medium"/>
        <family val="3"/>
        <charset val="128"/>
      </rPr>
      <t>銭</t>
    </r>
    <rPh sb="1" eb="2">
      <t>エン</t>
    </rPh>
    <rPh sb="4" eb="5">
      <t>セン</t>
    </rPh>
    <phoneticPr fontId="1"/>
  </si>
  <si>
    <r>
      <rPr>
        <sz val="11"/>
        <rFont val="游ゴシック Medium"/>
        <family val="3"/>
        <charset val="128"/>
      </rPr>
      <t>田中昌太郎</t>
    </r>
    <rPh sb="0" eb="2">
      <t>タナカ</t>
    </rPh>
    <rPh sb="2" eb="5">
      <t>ショウタロウ</t>
    </rPh>
    <phoneticPr fontId="1"/>
  </si>
  <si>
    <r>
      <rPr>
        <sz val="11"/>
        <rFont val="游ゴシック Medium"/>
        <family val="3"/>
        <charset val="128"/>
      </rPr>
      <t>蛇と虹</t>
    </r>
    <r>
      <rPr>
        <sz val="11"/>
        <rFont val="Consolas"/>
        <family val="3"/>
      </rPr>
      <t>/The Serpent and the Rainbow/Zombie</t>
    </r>
    <r>
      <rPr>
        <sz val="11"/>
        <rFont val="游ゴシック Medium"/>
        <family val="3"/>
        <charset val="128"/>
      </rPr>
      <t>の謎に挑む</t>
    </r>
    <rPh sb="0" eb="1">
      <t>ヘビ</t>
    </rPh>
    <rPh sb="2" eb="3">
      <t>ニジ</t>
    </rPh>
    <rPh sb="32" eb="38">
      <t>ゾンビ</t>
    </rPh>
    <rPh sb="39" eb="40">
      <t>ナゾ</t>
    </rPh>
    <rPh sb="41" eb="42">
      <t>イド</t>
    </rPh>
    <phoneticPr fontId="1"/>
  </si>
  <si>
    <r>
      <rPr>
        <sz val="11"/>
        <rFont val="游ゴシック Medium"/>
        <family val="3"/>
        <charset val="128"/>
      </rPr>
      <t>土岐恒二</t>
    </r>
    <rPh sb="0" eb="2">
      <t>トキ</t>
    </rPh>
    <rPh sb="2" eb="4">
      <t>コウジ</t>
    </rPh>
    <phoneticPr fontId="1"/>
  </si>
  <si>
    <r>
      <rPr>
        <sz val="11"/>
        <rFont val="游ゴシック Medium"/>
        <family val="3"/>
        <charset val="128"/>
      </rPr>
      <t>ルー</t>
    </r>
    <r>
      <rPr>
        <sz val="11"/>
        <rFont val="Consolas"/>
        <family val="3"/>
      </rPr>
      <t xml:space="preserve"> Salome' </t>
    </r>
    <r>
      <rPr>
        <sz val="11"/>
        <rFont val="游ゴシック Medium"/>
        <family val="3"/>
        <charset val="128"/>
      </rPr>
      <t>愛と生涯</t>
    </r>
    <r>
      <rPr>
        <sz val="11"/>
        <rFont val="Consolas"/>
        <family val="3"/>
      </rPr>
      <t>/My Sister,My Spouse</t>
    </r>
    <rPh sb="3" eb="10">
      <t>サロメ</t>
    </rPh>
    <rPh sb="11" eb="12">
      <t>アイ</t>
    </rPh>
    <rPh sb="13" eb="15">
      <t>ショウガイ</t>
    </rPh>
    <phoneticPr fontId="1"/>
  </si>
  <si>
    <r>
      <rPr>
        <sz val="11"/>
        <rFont val="游ゴシック Medium"/>
        <family val="3"/>
        <charset val="128"/>
      </rPr>
      <t>石井啓子</t>
    </r>
    <rPh sb="0" eb="2">
      <t>イシイ</t>
    </rPh>
    <rPh sb="2" eb="4">
      <t>ケイコ</t>
    </rPh>
    <phoneticPr fontId="1"/>
  </si>
  <si>
    <r>
      <rPr>
        <sz val="11"/>
        <rFont val="游ゴシック Medium"/>
        <family val="3"/>
        <charset val="128"/>
      </rPr>
      <t>眠りの帝国</t>
    </r>
    <r>
      <rPr>
        <sz val="11"/>
        <rFont val="Consolas"/>
        <family val="3"/>
      </rPr>
      <t>/L'Empire du Sommeil</t>
    </r>
    <rPh sb="0" eb="1">
      <t>ネム</t>
    </rPh>
    <rPh sb="3" eb="5">
      <t>テイコク</t>
    </rPh>
    <phoneticPr fontId="1"/>
  </si>
  <si>
    <r>
      <rPr>
        <sz val="11"/>
        <rFont val="游ゴシック Medium"/>
        <family val="3"/>
        <charset val="128"/>
      </rPr>
      <t>新潮･現代世界の文学</t>
    </r>
    <rPh sb="0" eb="2">
      <t>シンチョウ</t>
    </rPh>
    <rPh sb="3" eb="5">
      <t>ゲンダイ</t>
    </rPh>
    <rPh sb="5" eb="7">
      <t>セカイ</t>
    </rPh>
    <rPh sb="8" eb="10">
      <t>ブンガク</t>
    </rPh>
    <phoneticPr fontId="1"/>
  </si>
  <si>
    <r>
      <rPr>
        <sz val="11"/>
        <rFont val="游ゴシック Medium"/>
        <family val="3"/>
        <charset val="128"/>
      </rPr>
      <t>池内</t>
    </r>
    <r>
      <rPr>
        <sz val="11"/>
        <rFont val="Consolas"/>
        <family val="3"/>
      </rPr>
      <t xml:space="preserve"> </t>
    </r>
    <r>
      <rPr>
        <sz val="11"/>
        <rFont val="游ゴシック Medium"/>
        <family val="3"/>
        <charset val="128"/>
      </rPr>
      <t>紀</t>
    </r>
    <rPh sb="0" eb="4">
      <t>イケウチノリ</t>
    </rPh>
    <phoneticPr fontId="1"/>
  </si>
  <si>
    <r>
      <rPr>
        <sz val="11"/>
        <rFont val="游ゴシック Medium"/>
        <family val="3"/>
        <charset val="128"/>
      </rPr>
      <t>香水─ある人殺しの物語</t>
    </r>
    <r>
      <rPr>
        <sz val="11"/>
        <rFont val="Consolas"/>
        <family val="3"/>
      </rPr>
      <t>/Das Parfum</t>
    </r>
    <rPh sb="0" eb="2">
      <t>コウスイ</t>
    </rPh>
    <rPh sb="5" eb="7">
      <t>ヒトゴロ</t>
    </rPh>
    <rPh sb="9" eb="11">
      <t>モノガタリ</t>
    </rPh>
    <phoneticPr fontId="1"/>
  </si>
  <si>
    <r>
      <rPr>
        <sz val="11"/>
        <rFont val="游ゴシック Medium"/>
        <family val="3"/>
        <charset val="128"/>
      </rPr>
      <t>田中倫郎</t>
    </r>
    <rPh sb="0" eb="2">
      <t>タナカ</t>
    </rPh>
    <rPh sb="2" eb="4">
      <t>ミチオ</t>
    </rPh>
    <phoneticPr fontId="1"/>
  </si>
  <si>
    <r>
      <rPr>
        <sz val="11"/>
        <rFont val="游ゴシック Medium"/>
        <family val="3"/>
        <charset val="128"/>
      </rPr>
      <t>あつかましき人々</t>
    </r>
    <r>
      <rPr>
        <sz val="11"/>
        <rFont val="Consolas"/>
        <family val="3"/>
      </rPr>
      <t>/Les impudents</t>
    </r>
    <rPh sb="6" eb="8">
      <t>ヒトビト</t>
    </rPh>
    <phoneticPr fontId="1"/>
  </si>
  <si>
    <r>
      <rPr>
        <sz val="11"/>
        <rFont val="游ゴシック Medium"/>
        <family val="3"/>
        <charset val="128"/>
      </rPr>
      <t>河出書房新社</t>
    </r>
    <rPh sb="0" eb="6">
      <t>カワデショボウシンシャ</t>
    </rPh>
    <phoneticPr fontId="1"/>
  </si>
  <si>
    <r>
      <rPr>
        <sz val="11"/>
        <rFont val="游ゴシック Medium"/>
        <family val="3"/>
        <charset val="128"/>
      </rPr>
      <t>高本研一･宮原</t>
    </r>
    <r>
      <rPr>
        <sz val="11"/>
        <rFont val="Consolas"/>
        <family val="3"/>
      </rPr>
      <t xml:space="preserve"> </t>
    </r>
    <r>
      <rPr>
        <sz val="11"/>
        <rFont val="游ゴシック Medium"/>
        <family val="3"/>
        <charset val="128"/>
      </rPr>
      <t>朗</t>
    </r>
    <rPh sb="0" eb="2">
      <t>タカモト</t>
    </rPh>
    <rPh sb="2" eb="4">
      <t>ケンイチ</t>
    </rPh>
    <rPh sb="5" eb="7">
      <t>ミヤハラ</t>
    </rPh>
    <rPh sb="8" eb="9">
      <t>ロウ</t>
    </rPh>
    <phoneticPr fontId="1"/>
  </si>
  <si>
    <r>
      <rPr>
        <sz val="11"/>
        <rFont val="游ゴシック Medium"/>
        <family val="3"/>
        <charset val="128"/>
      </rPr>
      <t>ひらめ</t>
    </r>
    <r>
      <rPr>
        <sz val="11"/>
        <rFont val="Consolas"/>
        <family val="3"/>
      </rPr>
      <t>/Der Butt/</t>
    </r>
    <r>
      <rPr>
        <sz val="11"/>
        <rFont val="游ゴシック Medium"/>
        <family val="3"/>
        <charset val="128"/>
      </rPr>
      <t>上</t>
    </r>
    <rPh sb="13" eb="14">
      <t>ジョウ</t>
    </rPh>
    <phoneticPr fontId="1"/>
  </si>
  <si>
    <r>
      <rPr>
        <sz val="11"/>
        <rFont val="游ゴシック Medium"/>
        <family val="3"/>
        <charset val="128"/>
      </rPr>
      <t>現代の世界文学</t>
    </r>
    <rPh sb="0" eb="2">
      <t>ゲンダイ</t>
    </rPh>
    <rPh sb="3" eb="5">
      <t>セカイ</t>
    </rPh>
    <rPh sb="5" eb="7">
      <t>ブンガク</t>
    </rPh>
    <phoneticPr fontId="1"/>
  </si>
  <si>
    <r>
      <t>amazon/</t>
    </r>
    <r>
      <rPr>
        <sz val="11"/>
        <rFont val="游ゴシック Medium"/>
        <family val="3"/>
        <charset val="128"/>
      </rPr>
      <t>全額ギフト券</t>
    </r>
    <rPh sb="7" eb="9">
      <t>ゼンガク</t>
    </rPh>
    <rPh sb="12" eb="13">
      <t>ケン</t>
    </rPh>
    <phoneticPr fontId="1"/>
  </si>
  <si>
    <r>
      <rPr>
        <sz val="11"/>
        <rFont val="游ゴシック Medium"/>
        <family val="3"/>
        <charset val="128"/>
      </rPr>
      <t>ひらめ</t>
    </r>
    <r>
      <rPr>
        <sz val="11"/>
        <rFont val="Consolas"/>
        <family val="3"/>
      </rPr>
      <t>/Der Butt/</t>
    </r>
    <r>
      <rPr>
        <sz val="11"/>
        <rFont val="游ゴシック Medium"/>
        <family val="3"/>
        <charset val="128"/>
      </rPr>
      <t>下</t>
    </r>
    <rPh sb="13" eb="14">
      <t>ゲ</t>
    </rPh>
    <phoneticPr fontId="1"/>
  </si>
  <si>
    <r>
      <rPr>
        <strike/>
        <sz val="11"/>
        <rFont val="游ゴシック Medium"/>
        <family val="3"/>
        <charset val="128"/>
      </rPr>
      <t>高本研一･宮原</t>
    </r>
    <r>
      <rPr>
        <strike/>
        <sz val="11"/>
        <rFont val="Consolas"/>
        <family val="3"/>
      </rPr>
      <t xml:space="preserve"> </t>
    </r>
    <r>
      <rPr>
        <strike/>
        <sz val="11"/>
        <rFont val="游ゴシック Medium"/>
        <family val="3"/>
        <charset val="128"/>
      </rPr>
      <t>朗</t>
    </r>
    <rPh sb="0" eb="2">
      <t>タカモト</t>
    </rPh>
    <rPh sb="2" eb="4">
      <t>ケンイチ</t>
    </rPh>
    <rPh sb="5" eb="7">
      <t>ミヤハラ</t>
    </rPh>
    <rPh sb="8" eb="9">
      <t>ロウ</t>
    </rPh>
    <phoneticPr fontId="1"/>
  </si>
  <si>
    <r>
      <rPr>
        <strike/>
        <sz val="11"/>
        <rFont val="游ゴシック Medium"/>
        <family val="3"/>
        <charset val="128"/>
      </rPr>
      <t>ひらめ</t>
    </r>
    <r>
      <rPr>
        <strike/>
        <sz val="11"/>
        <rFont val="Consolas"/>
        <family val="3"/>
      </rPr>
      <t>/Der Butt/</t>
    </r>
    <r>
      <rPr>
        <strike/>
        <sz val="11"/>
        <rFont val="游ゴシック Medium"/>
        <family val="3"/>
        <charset val="128"/>
      </rPr>
      <t>上</t>
    </r>
    <rPh sb="13" eb="14">
      <t>ジョウ</t>
    </rPh>
    <phoneticPr fontId="1"/>
  </si>
  <si>
    <r>
      <rPr>
        <strike/>
        <sz val="11"/>
        <rFont val="游ゴシック Medium"/>
        <family val="3"/>
        <charset val="128"/>
      </rPr>
      <t>現代の世界文学</t>
    </r>
    <rPh sb="0" eb="2">
      <t>ゲンダイ</t>
    </rPh>
    <rPh sb="3" eb="5">
      <t>セカイ</t>
    </rPh>
    <rPh sb="5" eb="7">
      <t>ブンガク</t>
    </rPh>
    <phoneticPr fontId="1"/>
  </si>
  <si>
    <r>
      <rPr>
        <strike/>
        <sz val="11"/>
        <rFont val="游ゴシック Medium"/>
        <family val="3"/>
        <charset val="128"/>
      </rPr>
      <t>集英社</t>
    </r>
    <rPh sb="0" eb="3">
      <t>シュウエイシャ</t>
    </rPh>
    <phoneticPr fontId="1"/>
  </si>
  <si>
    <r>
      <rPr>
        <strike/>
        <sz val="11"/>
        <rFont val="游ゴシック Medium"/>
        <family val="3"/>
        <charset val="128"/>
      </rPr>
      <t>葛飾区立お花茶屋図書館</t>
    </r>
    <rPh sb="0" eb="2">
      <t>カツシカ</t>
    </rPh>
    <rPh sb="2" eb="4">
      <t>クリツ</t>
    </rPh>
    <rPh sb="4" eb="8">
      <t>オハナヂャヤ</t>
    </rPh>
    <rPh sb="8" eb="11">
      <t>トショカン</t>
    </rPh>
    <phoneticPr fontId="1"/>
  </si>
  <si>
    <r>
      <rPr>
        <sz val="11"/>
        <rFont val="游ゴシック Medium"/>
        <family val="3"/>
        <charset val="128"/>
      </rPr>
      <t>高本研一･依岡隆児</t>
    </r>
    <rPh sb="0" eb="2">
      <t>タカモト</t>
    </rPh>
    <rPh sb="2" eb="4">
      <t>ケンイチ</t>
    </rPh>
    <rPh sb="5" eb="7">
      <t>ヨリオカ</t>
    </rPh>
    <rPh sb="7" eb="9">
      <t>リュウジ</t>
    </rPh>
    <phoneticPr fontId="1"/>
  </si>
  <si>
    <r>
      <rPr>
        <sz val="11"/>
        <rFont val="游ゴシック Medium"/>
        <family val="3"/>
        <charset val="128"/>
      </rPr>
      <t>鈴蛙の呼び声</t>
    </r>
    <r>
      <rPr>
        <sz val="11"/>
        <rFont val="Consolas"/>
        <family val="3"/>
      </rPr>
      <t>/Unkenrufe/Eine Erzahlung</t>
    </r>
    <rPh sb="0" eb="1">
      <t>スズ</t>
    </rPh>
    <rPh sb="1" eb="2">
      <t>ガエル</t>
    </rPh>
    <rPh sb="3" eb="4">
      <t>ヨ</t>
    </rPh>
    <rPh sb="5" eb="6">
      <t>ゴエ</t>
    </rPh>
    <phoneticPr fontId="1"/>
  </si>
  <si>
    <r>
      <rPr>
        <sz val="11"/>
        <rFont val="游ゴシック Medium"/>
        <family val="3"/>
        <charset val="128"/>
      </rPr>
      <t>生田耕作</t>
    </r>
    <rPh sb="0" eb="2">
      <t>イクタ</t>
    </rPh>
    <rPh sb="2" eb="4">
      <t>コウサク</t>
    </rPh>
    <phoneticPr fontId="1"/>
  </si>
  <si>
    <r>
      <rPr>
        <sz val="11"/>
        <rFont val="游ゴシック Medium"/>
        <family val="3"/>
        <charset val="128"/>
      </rPr>
      <t>燠火</t>
    </r>
    <r>
      <rPr>
        <sz val="11"/>
        <rFont val="Consolas"/>
        <family val="3"/>
      </rPr>
      <t>/Feu de Braise/Mandiargues</t>
    </r>
    <r>
      <rPr>
        <sz val="11"/>
        <rFont val="游ゴシック Medium"/>
        <family val="3"/>
        <charset val="128"/>
      </rPr>
      <t>短篇集</t>
    </r>
    <rPh sb="0" eb="1">
      <t>オキ</t>
    </rPh>
    <rPh sb="1" eb="2">
      <t>ビ</t>
    </rPh>
    <rPh sb="17" eb="28">
      <t>マンディアルグ</t>
    </rPh>
    <rPh sb="28" eb="31">
      <t>タンペンシュウ</t>
    </rPh>
    <phoneticPr fontId="1"/>
  </si>
  <si>
    <r>
      <rPr>
        <sz val="11"/>
        <rFont val="游ゴシック Medium"/>
        <family val="3"/>
        <charset val="128"/>
      </rPr>
      <t>安藤哲行</t>
    </r>
    <rPh sb="0" eb="2">
      <t>アンドウ</t>
    </rPh>
    <rPh sb="2" eb="4">
      <t>テツユキ</t>
    </rPh>
    <phoneticPr fontId="1"/>
  </si>
  <si>
    <r>
      <rPr>
        <sz val="11"/>
        <rFont val="游ゴシック Medium"/>
        <family val="3"/>
        <charset val="128"/>
      </rPr>
      <t>天使の恥部</t>
    </r>
    <r>
      <rPr>
        <sz val="11"/>
        <rFont val="Consolas"/>
        <family val="3"/>
      </rPr>
      <t>/Pubis Angelical</t>
    </r>
    <rPh sb="0" eb="2">
      <t>テンシ</t>
    </rPh>
    <rPh sb="3" eb="5">
      <t>チブ</t>
    </rPh>
    <phoneticPr fontId="1"/>
  </si>
  <si>
    <r>
      <rPr>
        <sz val="11"/>
        <rFont val="游ゴシック Medium"/>
        <family val="3"/>
        <charset val="128"/>
      </rPr>
      <t>国書刊行会</t>
    </r>
    <rPh sb="0" eb="5">
      <t>コクショカンコウカイ</t>
    </rPh>
    <phoneticPr fontId="1"/>
  </si>
  <si>
    <r>
      <rPr>
        <sz val="11"/>
        <rFont val="游ゴシック Medium"/>
        <family val="3"/>
        <charset val="128"/>
      </rPr>
      <t>鼓直</t>
    </r>
    <rPh sb="0" eb="1">
      <t>ツヅミ</t>
    </rPh>
    <rPh sb="1" eb="2">
      <t>ナオ</t>
    </rPh>
    <phoneticPr fontId="1"/>
  </si>
  <si>
    <r>
      <rPr>
        <sz val="11"/>
        <rFont val="游ゴシック Medium"/>
        <family val="3"/>
        <charset val="128"/>
      </rPr>
      <t>百年の孤独</t>
    </r>
    <r>
      <rPr>
        <sz val="11"/>
        <rFont val="Consolas"/>
        <family val="3"/>
      </rPr>
      <t>/Cien Anos de Soledad</t>
    </r>
    <rPh sb="0" eb="2">
      <t>ヒャクネン</t>
    </rPh>
    <rPh sb="3" eb="5">
      <t>コドク</t>
    </rPh>
    <phoneticPr fontId="1"/>
  </si>
  <si>
    <r>
      <rPr>
        <sz val="11"/>
        <rFont val="游ゴシック Medium"/>
        <family val="3"/>
        <charset val="128"/>
      </rPr>
      <t>篠田一士</t>
    </r>
    <rPh sb="0" eb="4">
      <t>シノダカズシ</t>
    </rPh>
    <phoneticPr fontId="1"/>
  </si>
  <si>
    <r>
      <rPr>
        <sz val="11"/>
        <rFont val="游ゴシック Medium"/>
        <family val="3"/>
        <charset val="128"/>
      </rPr>
      <t>砂の本</t>
    </r>
    <r>
      <rPr>
        <sz val="11"/>
        <rFont val="Consolas"/>
        <family val="3"/>
      </rPr>
      <t>/El Libro de Arena</t>
    </r>
    <rPh sb="0" eb="1">
      <t>スナ</t>
    </rPh>
    <rPh sb="2" eb="3">
      <t>ホン</t>
    </rPh>
    <phoneticPr fontId="1"/>
  </si>
  <si>
    <r>
      <rPr>
        <sz val="11"/>
        <rFont val="游ゴシック Medium"/>
        <family val="3"/>
        <charset val="128"/>
      </rPr>
      <t>鼓直･清水憲男･篠沢眞理</t>
    </r>
    <rPh sb="0" eb="1">
      <t>ツヅミ</t>
    </rPh>
    <rPh sb="1" eb="2">
      <t>ナオ</t>
    </rPh>
    <rPh sb="3" eb="5">
      <t>シミズ</t>
    </rPh>
    <rPh sb="5" eb="7">
      <t>ノリオ</t>
    </rPh>
    <rPh sb="8" eb="10">
      <t>シノザワ</t>
    </rPh>
    <rPh sb="10" eb="12">
      <t>マリ</t>
    </rPh>
    <phoneticPr fontId="1"/>
  </si>
  <si>
    <r>
      <rPr>
        <sz val="11"/>
        <rFont val="游ゴシック Medium"/>
        <family val="3"/>
        <charset val="128"/>
      </rPr>
      <t>永遠の薔薇･鉄の貨幣</t>
    </r>
    <r>
      <rPr>
        <sz val="11"/>
        <rFont val="Consolas"/>
        <family val="3"/>
      </rPr>
      <t>/La Rosa Profunda/La Moneda de Hierro</t>
    </r>
    <rPh sb="0" eb="2">
      <t>エイエン</t>
    </rPh>
    <rPh sb="3" eb="5">
      <t>バラ</t>
    </rPh>
    <rPh sb="6" eb="7">
      <t>テツ</t>
    </rPh>
    <rPh sb="8" eb="10">
      <t>カヘイ</t>
    </rPh>
    <phoneticPr fontId="1"/>
  </si>
  <si>
    <r>
      <rPr>
        <sz val="11"/>
        <rFont val="游ゴシック Medium"/>
        <family val="3"/>
        <charset val="128"/>
      </rPr>
      <t>池袋古書館</t>
    </r>
    <r>
      <rPr>
        <sz val="11"/>
        <rFont val="Consolas"/>
        <family val="3"/>
      </rPr>
      <t>/</t>
    </r>
    <r>
      <rPr>
        <sz val="11"/>
        <rFont val="游ゴシック Medium"/>
        <family val="3"/>
        <charset val="128"/>
      </rPr>
      <t>有限会社</t>
    </r>
    <r>
      <rPr>
        <sz val="11"/>
        <rFont val="Consolas"/>
        <family val="3"/>
      </rPr>
      <t>/1F</t>
    </r>
    <rPh sb="0" eb="2">
      <t>イケブクロ</t>
    </rPh>
    <rPh sb="2" eb="4">
      <t>コショ</t>
    </rPh>
    <rPh sb="4" eb="5">
      <t>カン</t>
    </rPh>
    <rPh sb="6" eb="10">
      <t>ユウゲンガイシャ</t>
    </rPh>
    <phoneticPr fontId="1"/>
  </si>
  <si>
    <r>
      <t>Marquez,Gabriel Garcia/</t>
    </r>
    <r>
      <rPr>
        <sz val="11"/>
        <rFont val="游ゴシック Medium"/>
        <family val="3"/>
        <charset val="128"/>
      </rPr>
      <t>坂本雅之･竹内和子</t>
    </r>
    <rPh sb="0" eb="7">
      <t>マルケス</t>
    </rPh>
    <rPh sb="8" eb="15">
      <t>ガブリエル</t>
    </rPh>
    <rPh sb="16" eb="22">
      <t>ガルシア＝</t>
    </rPh>
    <rPh sb="23" eb="25">
      <t>サカモト</t>
    </rPh>
    <rPh sb="25" eb="27">
      <t>マサユキ</t>
    </rPh>
    <rPh sb="28" eb="30">
      <t>タケウチ</t>
    </rPh>
    <rPh sb="30" eb="32">
      <t>カズコ</t>
    </rPh>
    <phoneticPr fontId="1"/>
  </si>
  <si>
    <r>
      <rPr>
        <sz val="11"/>
        <rFont val="游ゴシック Medium"/>
        <family val="3"/>
        <charset val="128"/>
      </rPr>
      <t>編纂・序文</t>
    </r>
    <r>
      <rPr>
        <sz val="11"/>
        <rFont val="Consolas"/>
        <family val="3"/>
      </rPr>
      <t>/</t>
    </r>
    <r>
      <rPr>
        <sz val="11"/>
        <rFont val="游ゴシック Medium"/>
        <family val="3"/>
        <charset val="128"/>
      </rPr>
      <t>訳</t>
    </r>
    <rPh sb="0" eb="2">
      <t>ヘンサン</t>
    </rPh>
    <rPh sb="3" eb="5">
      <t>ジョブン</t>
    </rPh>
    <rPh sb="6" eb="7">
      <t>ヤク</t>
    </rPh>
    <phoneticPr fontId="1"/>
  </si>
  <si>
    <r>
      <rPr>
        <sz val="11"/>
        <rFont val="游ゴシック Medium"/>
        <family val="3"/>
        <charset val="128"/>
      </rPr>
      <t>人間の大岩</t>
    </r>
    <r>
      <rPr>
        <sz val="11"/>
        <rFont val="Consolas"/>
        <family val="3"/>
      </rPr>
      <t>/The Great Stone Face</t>
    </r>
    <rPh sb="0" eb="2">
      <t>ニンゲン</t>
    </rPh>
    <rPh sb="3" eb="5">
      <t>オオイワ</t>
    </rPh>
    <phoneticPr fontId="1"/>
  </si>
  <si>
    <r>
      <rPr>
        <sz val="11"/>
        <rFont val="游ゴシック Medium"/>
        <family val="3"/>
        <charset val="128"/>
      </rPr>
      <t>バベルの図書館</t>
    </r>
    <r>
      <rPr>
        <sz val="11"/>
        <rFont val="Consolas"/>
        <family val="3"/>
      </rPr>
      <t xml:space="preserve"> 3/La Biblioteca di Babele/collana di letture fantastiche diretta da Jorge Luis Borges/1979/1988</t>
    </r>
    <rPh sb="4" eb="7">
      <t>トショカン</t>
    </rPh>
    <phoneticPr fontId="1"/>
  </si>
  <si>
    <r>
      <rPr>
        <sz val="11"/>
        <rFont val="游ゴシック Medium"/>
        <family val="3"/>
        <charset val="128"/>
      </rPr>
      <t>小尾芙佐</t>
    </r>
    <rPh sb="0" eb="2">
      <t>オビ</t>
    </rPh>
    <rPh sb="2" eb="4">
      <t>フサ</t>
    </rPh>
    <phoneticPr fontId="1"/>
  </si>
  <si>
    <r>
      <t>Algernon</t>
    </r>
    <r>
      <rPr>
        <sz val="11"/>
        <rFont val="游ゴシック Medium"/>
        <family val="3"/>
        <charset val="128"/>
      </rPr>
      <t>に花束を</t>
    </r>
    <r>
      <rPr>
        <sz val="11"/>
        <rFont val="Consolas"/>
        <family val="3"/>
      </rPr>
      <t>/Flowers for Algernon</t>
    </r>
    <rPh sb="0" eb="8">
      <t>アルジャーノン</t>
    </rPh>
    <rPh sb="9" eb="11">
      <t>ハナタバ</t>
    </rPh>
    <phoneticPr fontId="1"/>
  </si>
  <si>
    <r>
      <rPr>
        <sz val="11"/>
        <rFont val="游ゴシック Medium"/>
        <family val="3"/>
        <charset val="128"/>
      </rPr>
      <t>海外</t>
    </r>
    <r>
      <rPr>
        <sz val="11"/>
        <rFont val="Consolas"/>
        <family val="3"/>
      </rPr>
      <t>SF</t>
    </r>
    <r>
      <rPr>
        <sz val="11"/>
        <rFont val="游ゴシック Medium"/>
        <family val="3"/>
        <charset val="128"/>
      </rPr>
      <t>ノヴェルズ</t>
    </r>
    <r>
      <rPr>
        <sz val="11"/>
        <rFont val="Consolas"/>
        <family val="3"/>
      </rPr>
      <t>/</t>
    </r>
    <r>
      <rPr>
        <sz val="11"/>
        <rFont val="游ゴシック Medium"/>
        <family val="3"/>
        <charset val="128"/>
      </rPr>
      <t>ネビュラ賞</t>
    </r>
    <rPh sb="0" eb="2">
      <t>カイガイ</t>
    </rPh>
    <rPh sb="14" eb="15">
      <t>ショウ</t>
    </rPh>
    <phoneticPr fontId="1"/>
  </si>
  <si>
    <r>
      <rPr>
        <sz val="11"/>
        <rFont val="游ゴシック Medium"/>
        <family val="3"/>
        <charset val="128"/>
      </rPr>
      <t>早川書房</t>
    </r>
    <rPh sb="0" eb="4">
      <t>ハヤカワショボウ</t>
    </rPh>
    <phoneticPr fontId="1"/>
  </si>
  <si>
    <r>
      <rPr>
        <sz val="11"/>
        <rFont val="游ゴシック Medium"/>
        <family val="3"/>
        <charset val="128"/>
      </rPr>
      <t>源</t>
    </r>
    <r>
      <rPr>
        <sz val="11"/>
        <rFont val="Consolas"/>
        <family val="3"/>
      </rPr>
      <t xml:space="preserve"> </t>
    </r>
    <r>
      <rPr>
        <sz val="11"/>
        <rFont val="游ゴシック Medium"/>
        <family val="3"/>
        <charset val="128"/>
      </rPr>
      <t>哲麿</t>
    </r>
    <rPh sb="0" eb="1">
      <t>ミナモト</t>
    </rPh>
    <rPh sb="2" eb="4">
      <t>テツマロ</t>
    </rPh>
    <phoneticPr fontId="1"/>
  </si>
  <si>
    <r>
      <t>Goethe</t>
    </r>
    <r>
      <rPr>
        <sz val="11"/>
        <rFont val="游ゴシック Medium"/>
        <family val="3"/>
        <charset val="128"/>
      </rPr>
      <t>の猫─もしくは､詩と真実</t>
    </r>
    <r>
      <rPr>
        <sz val="11"/>
        <rFont val="Consolas"/>
        <family val="3"/>
      </rPr>
      <t>/Goethes Kat</t>
    </r>
    <rPh sb="0" eb="6">
      <t>ゲーテ</t>
    </rPh>
    <rPh sb="7" eb="8">
      <t>ネコ</t>
    </rPh>
    <rPh sb="14" eb="15">
      <t>シ</t>
    </rPh>
    <rPh sb="16" eb="18">
      <t>シンジツ</t>
    </rPh>
    <phoneticPr fontId="1"/>
  </si>
  <si>
    <r>
      <rPr>
        <sz val="11"/>
        <rFont val="游ゴシック Medium"/>
        <family val="3"/>
        <charset val="128"/>
      </rPr>
      <t>由良君美･富山多佳夫</t>
    </r>
    <rPh sb="0" eb="2">
      <t>ユラ</t>
    </rPh>
    <rPh sb="2" eb="4">
      <t>キミヨシ</t>
    </rPh>
    <rPh sb="5" eb="7">
      <t>トミヤマ</t>
    </rPh>
    <rPh sb="7" eb="10">
      <t>タカオ</t>
    </rPh>
    <phoneticPr fontId="1"/>
  </si>
  <si>
    <r>
      <rPr>
        <sz val="11"/>
        <rFont val="游ゴシック Medium"/>
        <family val="3"/>
        <charset val="128"/>
      </rPr>
      <t>影の獄にて</t>
    </r>
    <r>
      <rPr>
        <sz val="11"/>
        <rFont val="Consolas"/>
        <family val="3"/>
      </rPr>
      <t>/A Bar of Shadow</t>
    </r>
    <rPh sb="0" eb="1">
      <t>カゲ</t>
    </rPh>
    <rPh sb="2" eb="3">
      <t>ゴク</t>
    </rPh>
    <phoneticPr fontId="1"/>
  </si>
  <si>
    <r>
      <t>L</t>
    </r>
    <r>
      <rPr>
        <sz val="11"/>
        <rFont val="游ゴシック Medium"/>
        <family val="3"/>
        <charset val="128"/>
      </rPr>
      <t>･ヴァン･デル･ポスト選集①</t>
    </r>
    <rPh sb="12" eb="14">
      <t>センシュウ</t>
    </rPh>
    <phoneticPr fontId="1"/>
  </si>
  <si>
    <r>
      <rPr>
        <sz val="11"/>
        <rFont val="游ゴシック Medium"/>
        <family val="3"/>
        <charset val="128"/>
      </rPr>
      <t>思索社</t>
    </r>
    <rPh sb="0" eb="2">
      <t>シサク</t>
    </rPh>
    <rPh sb="2" eb="3">
      <t>シャ</t>
    </rPh>
    <phoneticPr fontId="1"/>
  </si>
  <si>
    <r>
      <rPr>
        <sz val="11"/>
        <rFont val="游ゴシック Medium"/>
        <family val="3"/>
        <charset val="128"/>
      </rPr>
      <t>毛皮を着た</t>
    </r>
    <r>
      <rPr>
        <sz val="11"/>
        <rFont val="Consolas"/>
        <family val="3"/>
      </rPr>
      <t>Venus/Venus im Pelz</t>
    </r>
    <rPh sb="0" eb="2">
      <t>ケガワ</t>
    </rPh>
    <rPh sb="3" eb="4">
      <t>キ</t>
    </rPh>
    <rPh sb="5" eb="10">
      <t>ヴィーナス</t>
    </rPh>
    <phoneticPr fontId="1"/>
  </si>
  <si>
    <r>
      <rPr>
        <sz val="11"/>
        <rFont val="游ゴシック Medium"/>
        <family val="3"/>
        <charset val="128"/>
      </rPr>
      <t>ザッヘル</t>
    </r>
    <r>
      <rPr>
        <sz val="11"/>
        <rFont val="Consolas"/>
        <family val="3"/>
      </rPr>
      <t>-</t>
    </r>
    <r>
      <rPr>
        <sz val="11"/>
        <rFont val="游ゴシック Medium"/>
        <family val="3"/>
        <charset val="128"/>
      </rPr>
      <t>マゾッホ選集①</t>
    </r>
    <rPh sb="9" eb="11">
      <t>センシュウ</t>
    </rPh>
    <phoneticPr fontId="1"/>
  </si>
  <si>
    <r>
      <rPr>
        <sz val="11"/>
        <rFont val="游ゴシック Medium"/>
        <family val="3"/>
        <charset val="128"/>
      </rPr>
      <t>桃源社</t>
    </r>
    <rPh sb="0" eb="2">
      <t>トウゲン</t>
    </rPh>
    <rPh sb="2" eb="3">
      <t>シャ</t>
    </rPh>
    <phoneticPr fontId="1"/>
  </si>
  <si>
    <r>
      <rPr>
        <sz val="11"/>
        <rFont val="游ゴシック Medium"/>
        <family val="3"/>
        <charset val="128"/>
      </rPr>
      <t>葛飾区立お花茶屋図書館</t>
    </r>
    <rPh sb="0" eb="2">
      <t>カツシカ</t>
    </rPh>
    <rPh sb="2" eb="4">
      <t>クリツ</t>
    </rPh>
    <rPh sb="4" eb="8">
      <t>オハナヂャヤ</t>
    </rPh>
    <rPh sb="8" eb="11">
      <t>トショカン</t>
    </rPh>
    <phoneticPr fontId="1"/>
  </si>
  <si>
    <r>
      <rPr>
        <sz val="11"/>
        <rFont val="游ゴシック Medium"/>
        <family val="3"/>
        <charset val="128"/>
      </rPr>
      <t>脇</t>
    </r>
    <r>
      <rPr>
        <sz val="11"/>
        <rFont val="Consolas"/>
        <family val="3"/>
      </rPr>
      <t xml:space="preserve"> </t>
    </r>
    <r>
      <rPr>
        <sz val="11"/>
        <rFont val="游ゴシック Medium"/>
        <family val="3"/>
        <charset val="128"/>
      </rPr>
      <t>功</t>
    </r>
    <rPh sb="0" eb="1">
      <t>ワキ</t>
    </rPh>
    <rPh sb="2" eb="3">
      <t>イサオ</t>
    </rPh>
    <phoneticPr fontId="1"/>
  </si>
  <si>
    <r>
      <rPr>
        <sz val="11"/>
        <rFont val="游ゴシック Medium"/>
        <family val="3"/>
        <charset val="128"/>
      </rPr>
      <t>怒りの惑星</t>
    </r>
    <r>
      <rPr>
        <sz val="11"/>
        <rFont val="Consolas"/>
        <family val="3"/>
      </rPr>
      <t>/Il Pianeta Irritabile</t>
    </r>
    <rPh sb="0" eb="1">
      <t>イカ</t>
    </rPh>
    <rPh sb="3" eb="5">
      <t>ワクセイ</t>
    </rPh>
    <phoneticPr fontId="1"/>
  </si>
  <si>
    <r>
      <rPr>
        <sz val="11"/>
        <rFont val="游ゴシック Medium"/>
        <family val="3"/>
        <charset val="128"/>
      </rPr>
      <t>松籟社</t>
    </r>
    <r>
      <rPr>
        <sz val="11"/>
        <rFont val="Consolas"/>
        <family val="3"/>
      </rPr>
      <t>/</t>
    </r>
    <r>
      <rPr>
        <sz val="11"/>
        <rFont val="游ゴシック Medium"/>
        <family val="3"/>
        <charset val="128"/>
      </rPr>
      <t>イタリア叢書</t>
    </r>
    <r>
      <rPr>
        <sz val="11"/>
        <rFont val="Consolas"/>
        <family val="3"/>
      </rPr>
      <t>04</t>
    </r>
    <rPh sb="0" eb="2">
      <t>ショウライ</t>
    </rPh>
    <rPh sb="2" eb="3">
      <t>シャ</t>
    </rPh>
    <rPh sb="8" eb="10">
      <t>ソウショ</t>
    </rPh>
    <phoneticPr fontId="1"/>
  </si>
  <si>
    <r>
      <rPr>
        <sz val="11"/>
        <rFont val="游ゴシック Medium"/>
        <family val="3"/>
        <charset val="128"/>
      </rPr>
      <t>西武池袋</t>
    </r>
    <r>
      <rPr>
        <sz val="11"/>
        <rFont val="Consolas"/>
        <family val="3"/>
      </rPr>
      <t>Libro</t>
    </r>
    <rPh sb="0" eb="2">
      <t>セイブ</t>
    </rPh>
    <rPh sb="2" eb="4">
      <t>イケブクロ</t>
    </rPh>
    <phoneticPr fontId="1"/>
  </si>
  <si>
    <r>
      <rPr>
        <sz val="11"/>
        <rFont val="游ゴシック Medium"/>
        <family val="3"/>
        <charset val="128"/>
      </rPr>
      <t>冬の夜ひとりの旅人が</t>
    </r>
    <r>
      <rPr>
        <sz val="11"/>
        <rFont val="Consolas"/>
        <family val="3"/>
      </rPr>
      <t>/Se una Notte d'Inverno un Viaggiatore</t>
    </r>
    <rPh sb="0" eb="1">
      <t>フユ</t>
    </rPh>
    <rPh sb="2" eb="3">
      <t>ヨル</t>
    </rPh>
    <rPh sb="7" eb="9">
      <t>タビビト</t>
    </rPh>
    <phoneticPr fontId="1"/>
  </si>
  <si>
    <r>
      <rPr>
        <sz val="11"/>
        <rFont val="游ゴシック Medium"/>
        <family val="3"/>
        <charset val="128"/>
      </rPr>
      <t>イタリア叢書</t>
    </r>
    <r>
      <rPr>
        <sz val="11"/>
        <rFont val="Consolas"/>
        <family val="3"/>
      </rPr>
      <t>/1</t>
    </r>
    <rPh sb="4" eb="6">
      <t>ソウショ</t>
    </rPh>
    <phoneticPr fontId="1"/>
  </si>
  <si>
    <r>
      <rPr>
        <sz val="11"/>
        <rFont val="游ゴシック Medium"/>
        <family val="3"/>
        <charset val="128"/>
      </rPr>
      <t>松籟社</t>
    </r>
    <r>
      <rPr>
        <sz val="11"/>
        <rFont val="Consolas"/>
        <family val="3"/>
      </rPr>
      <t>/</t>
    </r>
    <r>
      <rPr>
        <sz val="11"/>
        <rFont val="游ゴシック Medium"/>
        <family val="3"/>
        <charset val="128"/>
      </rPr>
      <t>イタリア叢書</t>
    </r>
    <r>
      <rPr>
        <sz val="11"/>
        <rFont val="Consolas"/>
        <family val="3"/>
      </rPr>
      <t>01</t>
    </r>
    <rPh sb="0" eb="2">
      <t>ショウライ</t>
    </rPh>
    <rPh sb="2" eb="3">
      <t>シャ</t>
    </rPh>
    <rPh sb="8" eb="10">
      <t>ソウショ</t>
    </rPh>
    <phoneticPr fontId="1"/>
  </si>
  <si>
    <r>
      <rPr>
        <sz val="11"/>
        <rFont val="游ゴシック Medium"/>
        <family val="3"/>
        <charset val="128"/>
      </rPr>
      <t>和田忠彦</t>
    </r>
    <rPh sb="0" eb="2">
      <t>ワダ</t>
    </rPh>
    <rPh sb="2" eb="4">
      <t>タダヒコ</t>
    </rPh>
    <phoneticPr fontId="1"/>
  </si>
  <si>
    <r>
      <rPr>
        <sz val="11"/>
        <rFont val="游ゴシック Medium"/>
        <family val="3"/>
        <charset val="128"/>
      </rPr>
      <t>遠ざかる家</t>
    </r>
    <r>
      <rPr>
        <sz val="11"/>
        <rFont val="Consolas"/>
        <family val="3"/>
      </rPr>
      <t>/La Speculazione Edilizia</t>
    </r>
    <rPh sb="0" eb="1">
      <t>トオ</t>
    </rPh>
    <rPh sb="4" eb="5">
      <t>イエ</t>
    </rPh>
    <phoneticPr fontId="1"/>
  </si>
  <si>
    <r>
      <rPr>
        <sz val="11"/>
        <rFont val="游ゴシック Medium"/>
        <family val="3"/>
        <charset val="128"/>
      </rPr>
      <t>イタリア叢書</t>
    </r>
    <r>
      <rPr>
        <sz val="11"/>
        <rFont val="Consolas"/>
        <family val="3"/>
      </rPr>
      <t>/3</t>
    </r>
    <rPh sb="4" eb="6">
      <t>ソウショ</t>
    </rPh>
    <phoneticPr fontId="1"/>
  </si>
  <si>
    <r>
      <rPr>
        <sz val="11"/>
        <rFont val="游ゴシック Medium"/>
        <family val="3"/>
        <charset val="128"/>
      </rPr>
      <t>松籟社</t>
    </r>
    <r>
      <rPr>
        <sz val="11"/>
        <rFont val="Consolas"/>
        <family val="3"/>
      </rPr>
      <t>/</t>
    </r>
    <r>
      <rPr>
        <sz val="11"/>
        <rFont val="游ゴシック Medium"/>
        <family val="3"/>
        <charset val="128"/>
      </rPr>
      <t>イタリア叢書</t>
    </r>
    <r>
      <rPr>
        <sz val="11"/>
        <rFont val="Consolas"/>
        <family val="3"/>
      </rPr>
      <t>03</t>
    </r>
    <rPh sb="0" eb="2">
      <t>ショウライ</t>
    </rPh>
    <rPh sb="2" eb="3">
      <t>シャ</t>
    </rPh>
    <rPh sb="8" eb="10">
      <t>ソウショ</t>
    </rPh>
    <phoneticPr fontId="1"/>
  </si>
  <si>
    <r>
      <rPr>
        <sz val="11"/>
        <rFont val="游ゴシック Medium"/>
        <family val="3"/>
        <charset val="128"/>
      </rPr>
      <t>砂の</t>
    </r>
    <r>
      <rPr>
        <sz val="11"/>
        <rFont val="Consolas"/>
        <family val="3"/>
      </rPr>
      <t>Collezione/Collezione di Sabbia</t>
    </r>
    <rPh sb="0" eb="1">
      <t>スナ</t>
    </rPh>
    <rPh sb="2" eb="12">
      <t>コレクション</t>
    </rPh>
    <phoneticPr fontId="1"/>
  </si>
  <si>
    <r>
      <rPr>
        <sz val="11"/>
        <rFont val="游ゴシック Medium"/>
        <family val="3"/>
        <charset val="128"/>
      </rPr>
      <t>イタリア叢書</t>
    </r>
    <r>
      <rPr>
        <sz val="11"/>
        <rFont val="Consolas"/>
        <family val="3"/>
      </rPr>
      <t>/5</t>
    </r>
    <rPh sb="4" eb="6">
      <t>ソウショ</t>
    </rPh>
    <phoneticPr fontId="1"/>
  </si>
  <si>
    <r>
      <rPr>
        <sz val="11"/>
        <rFont val="游ゴシック Medium"/>
        <family val="3"/>
        <charset val="128"/>
      </rPr>
      <t>松籟社</t>
    </r>
    <r>
      <rPr>
        <sz val="11"/>
        <rFont val="Consolas"/>
        <family val="3"/>
      </rPr>
      <t>/</t>
    </r>
    <r>
      <rPr>
        <sz val="11"/>
        <rFont val="游ゴシック Medium"/>
        <family val="3"/>
        <charset val="128"/>
      </rPr>
      <t>イタリア叢書</t>
    </r>
    <r>
      <rPr>
        <sz val="11"/>
        <rFont val="Consolas"/>
        <family val="3"/>
      </rPr>
      <t>05</t>
    </r>
    <rPh sb="0" eb="2">
      <t>ショウライ</t>
    </rPh>
    <rPh sb="2" eb="3">
      <t>シャ</t>
    </rPh>
    <rPh sb="8" eb="10">
      <t>ソウショ</t>
    </rPh>
    <phoneticPr fontId="1"/>
  </si>
  <si>
    <r>
      <rPr>
        <sz val="11"/>
        <rFont val="游ゴシック Medium"/>
        <family val="3"/>
        <charset val="128"/>
      </rPr>
      <t>林九真理に貸出中</t>
    </r>
    <rPh sb="0" eb="1">
      <t>ハヤシ</t>
    </rPh>
    <rPh sb="1" eb="4">
      <t>クマリ</t>
    </rPh>
    <rPh sb="5" eb="8">
      <t>カシダシチュウ</t>
    </rPh>
    <phoneticPr fontId="1"/>
  </si>
  <si>
    <r>
      <rPr>
        <sz val="11"/>
        <rFont val="游ゴシック Medium"/>
        <family val="3"/>
        <charset val="128"/>
      </rPr>
      <t>イタリア叢書</t>
    </r>
    <r>
      <rPr>
        <sz val="11"/>
        <rFont val="Consolas"/>
        <family val="3"/>
      </rPr>
      <t>/6</t>
    </r>
    <rPh sb="4" eb="6">
      <t>ソウショ</t>
    </rPh>
    <phoneticPr fontId="1"/>
  </si>
  <si>
    <r>
      <rPr>
        <sz val="11"/>
        <rFont val="游ゴシック Medium"/>
        <family val="3"/>
        <charset val="128"/>
      </rPr>
      <t>松籟社</t>
    </r>
    <r>
      <rPr>
        <sz val="11"/>
        <rFont val="Consolas"/>
        <family val="3"/>
      </rPr>
      <t>/</t>
    </r>
    <r>
      <rPr>
        <sz val="11"/>
        <rFont val="游ゴシック Medium"/>
        <family val="3"/>
        <charset val="128"/>
      </rPr>
      <t>イタリア叢書</t>
    </r>
    <r>
      <rPr>
        <sz val="11"/>
        <rFont val="Consolas"/>
        <family val="3"/>
      </rPr>
      <t>06</t>
    </r>
    <rPh sb="0" eb="2">
      <t>ショウライ</t>
    </rPh>
    <rPh sb="2" eb="3">
      <t>シャ</t>
    </rPh>
    <rPh sb="8" eb="10">
      <t>ソウショ</t>
    </rPh>
    <phoneticPr fontId="1"/>
  </si>
  <si>
    <r>
      <rPr>
        <sz val="11"/>
        <rFont val="游ゴシック Medium"/>
        <family val="3"/>
        <charset val="128"/>
      </rPr>
      <t>米川良夫</t>
    </r>
    <rPh sb="0" eb="2">
      <t>ヨネカワ</t>
    </rPh>
    <rPh sb="2" eb="4">
      <t>リョウフ</t>
    </rPh>
    <phoneticPr fontId="1"/>
  </si>
  <si>
    <r>
      <rPr>
        <sz val="11"/>
        <rFont val="游ゴシック Medium"/>
        <family val="3"/>
        <charset val="128"/>
      </rPr>
      <t>不在の騎士</t>
    </r>
    <r>
      <rPr>
        <sz val="11"/>
        <rFont val="Consolas"/>
        <family val="3"/>
      </rPr>
      <t>/Il Caualiere Inesisrente</t>
    </r>
    <rPh sb="0" eb="2">
      <t>フザイ</t>
    </rPh>
    <rPh sb="3" eb="5">
      <t>キシ</t>
    </rPh>
    <phoneticPr fontId="1"/>
  </si>
  <si>
    <r>
      <rPr>
        <sz val="11"/>
        <rFont val="游ゴシック Medium"/>
        <family val="3"/>
        <charset val="128"/>
      </rPr>
      <t>海外</t>
    </r>
    <r>
      <rPr>
        <sz val="11"/>
        <rFont val="Consolas"/>
        <family val="3"/>
      </rPr>
      <t>SF</t>
    </r>
    <r>
      <rPr>
        <sz val="11"/>
        <rFont val="游ゴシック Medium"/>
        <family val="3"/>
        <charset val="128"/>
      </rPr>
      <t>ノヴェルズ</t>
    </r>
    <rPh sb="0" eb="2">
      <t>カイガイ</t>
    </rPh>
    <phoneticPr fontId="1"/>
  </si>
  <si>
    <r>
      <rPr>
        <sz val="11"/>
        <rFont val="游ゴシック Medium"/>
        <family val="3"/>
        <charset val="128"/>
      </rPr>
      <t>見えない都市</t>
    </r>
    <r>
      <rPr>
        <sz val="11"/>
        <rFont val="Consolas"/>
        <family val="3"/>
      </rPr>
      <t>/Marco Polo</t>
    </r>
    <r>
      <rPr>
        <sz val="11"/>
        <rFont val="游ゴシック Medium"/>
        <family val="3"/>
        <charset val="128"/>
      </rPr>
      <t>の</t>
    </r>
    <r>
      <rPr>
        <sz val="11"/>
        <rFont val="Consolas"/>
        <family val="3"/>
      </rPr>
      <t>/Le Citta Invisibili</t>
    </r>
    <rPh sb="0" eb="1">
      <t>ミ</t>
    </rPh>
    <rPh sb="4" eb="6">
      <t>トシ</t>
    </rPh>
    <rPh sb="7" eb="17">
      <t>マルコポーロ</t>
    </rPh>
    <phoneticPr fontId="1"/>
  </si>
  <si>
    <r>
      <rPr>
        <sz val="11"/>
        <rFont val="游ゴシック Medium"/>
        <family val="3"/>
        <charset val="128"/>
      </rPr>
      <t>河島英昭</t>
    </r>
    <rPh sb="0" eb="2">
      <t>カワシマ</t>
    </rPh>
    <rPh sb="2" eb="4">
      <t>ヒデアキ</t>
    </rPh>
    <phoneticPr fontId="1"/>
  </si>
  <si>
    <r>
      <rPr>
        <sz val="11"/>
        <rFont val="游ゴシック Medium"/>
        <family val="3"/>
        <charset val="128"/>
      </rPr>
      <t>宿命の交わる城</t>
    </r>
    <r>
      <rPr>
        <sz val="11"/>
        <rFont val="Consolas"/>
        <family val="3"/>
      </rPr>
      <t>/Il Castello dei Destini Incrociati</t>
    </r>
    <rPh sb="0" eb="2">
      <t>シュクメイ</t>
    </rPh>
    <rPh sb="3" eb="4">
      <t>マジ</t>
    </rPh>
    <rPh sb="6" eb="7">
      <t>シロ</t>
    </rPh>
    <phoneticPr fontId="1"/>
  </si>
  <si>
    <r>
      <rPr>
        <sz val="11"/>
        <rFont val="游ゴシック Medium"/>
        <family val="3"/>
        <charset val="128"/>
      </rPr>
      <t>まっぷたつの子爵</t>
    </r>
    <r>
      <rPr>
        <sz val="11"/>
        <rFont val="Consolas"/>
        <family val="3"/>
      </rPr>
      <t>/Il Visconte Dimezzato</t>
    </r>
    <rPh sb="6" eb="8">
      <t>シシャク</t>
    </rPh>
    <phoneticPr fontId="1"/>
  </si>
  <si>
    <r>
      <rPr>
        <sz val="11"/>
        <rFont val="游ゴシック Medium"/>
        <family val="3"/>
        <charset val="128"/>
      </rPr>
      <t>文学のおくりもの</t>
    </r>
    <r>
      <rPr>
        <sz val="11"/>
        <rFont val="Consolas"/>
        <family val="3"/>
      </rPr>
      <t>/2</t>
    </r>
    <rPh sb="0" eb="2">
      <t>ブンガク</t>
    </rPh>
    <phoneticPr fontId="1"/>
  </si>
  <si>
    <r>
      <rPr>
        <sz val="11"/>
        <rFont val="游ゴシック Medium"/>
        <family val="3"/>
        <charset val="128"/>
      </rPr>
      <t>昌文社</t>
    </r>
    <rPh sb="0" eb="3">
      <t>ショウブンシャ</t>
    </rPh>
    <phoneticPr fontId="1"/>
  </si>
  <si>
    <r>
      <rPr>
        <sz val="11"/>
        <rFont val="游ゴシック Medium"/>
        <family val="3"/>
        <charset val="128"/>
      </rPr>
      <t>木のぼり男爵</t>
    </r>
    <r>
      <rPr>
        <sz val="11"/>
        <rFont val="Consolas"/>
        <family val="3"/>
      </rPr>
      <t>/Il Barone Rampante</t>
    </r>
    <rPh sb="0" eb="1">
      <t>キ</t>
    </rPh>
    <rPh sb="4" eb="6">
      <t>ダンシャク</t>
    </rPh>
    <phoneticPr fontId="1"/>
  </si>
  <si>
    <r>
      <rPr>
        <sz val="11"/>
        <rFont val="游ゴシック Medium"/>
        <family val="3"/>
        <charset val="128"/>
      </rPr>
      <t>世界の文学</t>
    </r>
    <rPh sb="0" eb="2">
      <t>セカイ</t>
    </rPh>
    <rPh sb="3" eb="5">
      <t>ブンガク</t>
    </rPh>
    <phoneticPr fontId="1"/>
  </si>
  <si>
    <r>
      <t>San Giovanni</t>
    </r>
    <r>
      <rPr>
        <sz val="11"/>
        <rFont val="游ゴシック Medium"/>
        <family val="3"/>
        <charset val="128"/>
      </rPr>
      <t>の道</t>
    </r>
    <r>
      <rPr>
        <sz val="11"/>
        <rFont val="Consolas"/>
        <family val="3"/>
      </rPr>
      <t>~</t>
    </r>
    <r>
      <rPr>
        <sz val="11"/>
        <rFont val="游ゴシック Medium"/>
        <family val="3"/>
        <charset val="128"/>
      </rPr>
      <t>書かれなかった</t>
    </r>
    <r>
      <rPr>
        <sz val="11"/>
        <rFont val="Consolas"/>
        <family val="3"/>
      </rPr>
      <t>[</t>
    </r>
    <r>
      <rPr>
        <sz val="11"/>
        <rFont val="游ゴシック Medium"/>
        <family val="3"/>
        <charset val="128"/>
      </rPr>
      <t>自伝</t>
    </r>
    <r>
      <rPr>
        <sz val="11"/>
        <rFont val="Consolas"/>
        <family val="3"/>
      </rPr>
      <t>]/La strada di San Giovanni</t>
    </r>
    <rPh sb="0" eb="12">
      <t>サン･ジョヴァンニ</t>
    </rPh>
    <rPh sb="13" eb="14">
      <t>ミチ</t>
    </rPh>
    <rPh sb="15" eb="16">
      <t>カ</t>
    </rPh>
    <rPh sb="23" eb="25">
      <t>ジデン</t>
    </rPh>
    <rPh sb="40" eb="52">
      <t>サン･ジョヴァンニ</t>
    </rPh>
    <phoneticPr fontId="1"/>
  </si>
  <si>
    <r>
      <rPr>
        <sz val="11"/>
        <rFont val="游ゴシック Medium"/>
        <family val="3"/>
        <charset val="128"/>
      </rPr>
      <t>朝日新聞社</t>
    </r>
    <rPh sb="0" eb="2">
      <t>アサヒ</t>
    </rPh>
    <rPh sb="2" eb="4">
      <t>シンブン</t>
    </rPh>
    <rPh sb="4" eb="5">
      <t>シャ</t>
    </rPh>
    <phoneticPr fontId="1"/>
  </si>
  <si>
    <r>
      <rPr>
        <sz val="11"/>
        <rFont val="游ゴシック Medium"/>
        <family val="3"/>
        <charset val="128"/>
      </rPr>
      <t>野崎</t>
    </r>
    <r>
      <rPr>
        <sz val="11"/>
        <rFont val="Consolas"/>
        <family val="3"/>
      </rPr>
      <t xml:space="preserve"> </t>
    </r>
    <r>
      <rPr>
        <sz val="11"/>
        <rFont val="游ゴシック Medium"/>
        <family val="3"/>
        <charset val="128"/>
      </rPr>
      <t>孝</t>
    </r>
    <rPh sb="0" eb="2">
      <t>ノザキ</t>
    </rPh>
    <rPh sb="3" eb="4">
      <t>タカシ</t>
    </rPh>
    <phoneticPr fontId="1"/>
  </si>
  <si>
    <r>
      <rPr>
        <sz val="11"/>
        <rFont val="游ゴシック Medium"/>
        <family val="3"/>
        <charset val="128"/>
      </rPr>
      <t>ライ麦畑でつかまえて</t>
    </r>
    <r>
      <rPr>
        <sz val="11"/>
        <rFont val="Consolas"/>
        <family val="3"/>
      </rPr>
      <t>/The Catcher in the Rye</t>
    </r>
    <rPh sb="2" eb="3">
      <t>ムギ</t>
    </rPh>
    <rPh sb="3" eb="4">
      <t>バタケ</t>
    </rPh>
    <phoneticPr fontId="1"/>
  </si>
  <si>
    <r>
      <rPr>
        <sz val="11"/>
        <rFont val="游ゴシック Medium"/>
        <family val="3"/>
        <charset val="128"/>
      </rPr>
      <t>雪白姫</t>
    </r>
    <r>
      <rPr>
        <sz val="11"/>
        <rFont val="Consolas"/>
        <family val="3"/>
      </rPr>
      <t>/Snow White</t>
    </r>
    <rPh sb="0" eb="1">
      <t>ユキ</t>
    </rPh>
    <rPh sb="1" eb="2">
      <t>シロ</t>
    </rPh>
    <rPh sb="2" eb="3">
      <t>ヒメ</t>
    </rPh>
    <phoneticPr fontId="1"/>
  </si>
  <si>
    <r>
      <rPr>
        <sz val="11"/>
        <rFont val="游ゴシック Medium"/>
        <family val="3"/>
        <charset val="128"/>
      </rPr>
      <t>豊崎光一</t>
    </r>
    <rPh sb="0" eb="2">
      <t>トヨサキ</t>
    </rPh>
    <rPh sb="2" eb="4">
      <t>コウイチ</t>
    </rPh>
    <phoneticPr fontId="1"/>
  </si>
  <si>
    <r>
      <rPr>
        <sz val="11"/>
        <rFont val="游ゴシック Medium"/>
        <family val="3"/>
        <charset val="128"/>
      </rPr>
      <t>最後の人</t>
    </r>
    <r>
      <rPr>
        <sz val="11"/>
        <rFont val="Consolas"/>
        <family val="3"/>
      </rPr>
      <t>/</t>
    </r>
    <r>
      <rPr>
        <sz val="11"/>
        <rFont val="游ゴシック Medium"/>
        <family val="3"/>
        <charset val="128"/>
      </rPr>
      <t>期待</t>
    </r>
    <r>
      <rPr>
        <sz val="11"/>
        <rFont val="Consolas"/>
        <family val="3"/>
      </rPr>
      <t xml:space="preserve"> </t>
    </r>
    <r>
      <rPr>
        <sz val="11"/>
        <rFont val="游ゴシック Medium"/>
        <family val="3"/>
        <charset val="128"/>
      </rPr>
      <t>忘却</t>
    </r>
    <r>
      <rPr>
        <sz val="11"/>
        <rFont val="Consolas"/>
        <family val="3"/>
      </rPr>
      <t>/Le Dernier Homme/L'Attente L'Oubli</t>
    </r>
    <rPh sb="0" eb="2">
      <t>サイゴ</t>
    </rPh>
    <rPh sb="3" eb="4">
      <t>ヒト</t>
    </rPh>
    <rPh sb="5" eb="7">
      <t>キタイ</t>
    </rPh>
    <rPh sb="8" eb="10">
      <t>ボウキャク</t>
    </rPh>
    <phoneticPr fontId="1"/>
  </si>
  <si>
    <r>
      <t>1957</t>
    </r>
    <r>
      <rPr>
        <sz val="11"/>
        <rFont val="游ゴシック Medium"/>
        <family val="3"/>
        <charset val="128"/>
      </rPr>
      <t>･</t>
    </r>
    <r>
      <rPr>
        <sz val="11"/>
        <rFont val="Consolas"/>
        <family val="3"/>
      </rPr>
      <t>1962, 1979</t>
    </r>
    <phoneticPr fontId="1"/>
  </si>
  <si>
    <r>
      <rPr>
        <b/>
        <sz val="11"/>
        <color indexed="33"/>
        <rFont val="游ゴシック Medium"/>
        <family val="3"/>
        <charset val="128"/>
      </rPr>
      <t>サキ</t>
    </r>
    <r>
      <rPr>
        <sz val="11"/>
        <rFont val="Consolas"/>
        <family val="3"/>
      </rPr>
      <t>:</t>
    </r>
    <r>
      <rPr>
        <sz val="11"/>
        <rFont val="游ゴシック Medium"/>
        <family val="3"/>
        <charset val="128"/>
      </rPr>
      <t>マンロウ</t>
    </r>
    <r>
      <rPr>
        <sz val="11"/>
        <rFont val="Consolas"/>
        <family val="3"/>
      </rPr>
      <t>,</t>
    </r>
    <r>
      <rPr>
        <sz val="11"/>
        <rFont val="游ゴシック Medium"/>
        <family val="3"/>
        <charset val="128"/>
      </rPr>
      <t>ヘクター･ヒュー</t>
    </r>
    <phoneticPr fontId="1"/>
  </si>
  <si>
    <r>
      <rPr>
        <sz val="11"/>
        <rFont val="游ゴシック Medium"/>
        <family val="3"/>
        <charset val="128"/>
      </rPr>
      <t>中村能三</t>
    </r>
    <rPh sb="0" eb="2">
      <t>ナカムラ</t>
    </rPh>
    <rPh sb="2" eb="4">
      <t>ヨシミ</t>
    </rPh>
    <phoneticPr fontId="1"/>
  </si>
  <si>
    <r>
      <rPr>
        <b/>
        <sz val="11"/>
        <color indexed="33"/>
        <rFont val="游ゴシック Medium"/>
        <family val="3"/>
        <charset val="128"/>
      </rPr>
      <t>サキ選集</t>
    </r>
    <rPh sb="2" eb="4">
      <t>センシュウ</t>
    </rPh>
    <phoneticPr fontId="1"/>
  </si>
  <si>
    <r>
      <rPr>
        <sz val="11"/>
        <rFont val="游ゴシック Medium"/>
        <family val="3"/>
        <charset val="128"/>
      </rPr>
      <t>創土社</t>
    </r>
    <rPh sb="0" eb="1">
      <t>ソウ</t>
    </rPh>
    <rPh sb="1" eb="2">
      <t>ド</t>
    </rPh>
    <rPh sb="2" eb="3">
      <t>シャ</t>
    </rPh>
    <phoneticPr fontId="1"/>
  </si>
  <si>
    <r>
      <rPr>
        <sz val="11"/>
        <rFont val="游ゴシック Medium"/>
        <family val="3"/>
        <charset val="128"/>
      </rPr>
      <t>調書</t>
    </r>
    <r>
      <rPr>
        <sz val="11"/>
        <rFont val="Consolas"/>
        <family val="3"/>
      </rPr>
      <t>/Le Proces-Verbal</t>
    </r>
    <rPh sb="0" eb="2">
      <t>チョウショ</t>
    </rPh>
    <phoneticPr fontId="1"/>
  </si>
  <si>
    <r>
      <rPr>
        <sz val="11"/>
        <rFont val="游ゴシック Medium"/>
        <family val="3"/>
        <charset val="128"/>
      </rPr>
      <t>愛する大地</t>
    </r>
    <r>
      <rPr>
        <sz val="11"/>
        <rFont val="Consolas"/>
        <family val="3"/>
      </rPr>
      <t>:Terra Amata</t>
    </r>
    <rPh sb="0" eb="1">
      <t>アイ</t>
    </rPh>
    <rPh sb="3" eb="5">
      <t>ダイチ</t>
    </rPh>
    <rPh sb="6" eb="11">
      <t>テラ</t>
    </rPh>
    <rPh sb="12" eb="17">
      <t>アマータ</t>
    </rPh>
    <phoneticPr fontId="1"/>
  </si>
  <si>
    <r>
      <rPr>
        <sz val="11"/>
        <rFont val="游ゴシック Medium"/>
        <family val="3"/>
        <charset val="128"/>
      </rPr>
      <t>曾根元吉</t>
    </r>
    <rPh sb="0" eb="2">
      <t>ソネ</t>
    </rPh>
    <rPh sb="2" eb="4">
      <t>モトキチ</t>
    </rPh>
    <phoneticPr fontId="1"/>
  </si>
  <si>
    <r>
      <rPr>
        <sz val="11"/>
        <rFont val="游ゴシック Medium"/>
        <family val="3"/>
        <charset val="128"/>
      </rPr>
      <t>日々の泡</t>
    </r>
    <r>
      <rPr>
        <sz val="11"/>
        <rFont val="Consolas"/>
        <family val="3"/>
      </rPr>
      <t>/L'Ecume des Jours</t>
    </r>
    <rPh sb="0" eb="2">
      <t>ヒビ</t>
    </rPh>
    <rPh sb="3" eb="4">
      <t>アワ</t>
    </rPh>
    <phoneticPr fontId="1"/>
  </si>
  <si>
    <r>
      <rPr>
        <sz val="11"/>
        <rFont val="游ゴシック Medium"/>
        <family val="3"/>
        <charset val="128"/>
      </rPr>
      <t>川村二郎･円子修平</t>
    </r>
    <rPh sb="0" eb="2">
      <t>カワムラ</t>
    </rPh>
    <rPh sb="2" eb="4">
      <t>ジロウ</t>
    </rPh>
    <rPh sb="5" eb="7">
      <t>マルコ</t>
    </rPh>
    <rPh sb="7" eb="9">
      <t>シュウヘイ</t>
    </rPh>
    <phoneticPr fontId="1"/>
  </si>
  <si>
    <r>
      <t>Kafka</t>
    </r>
    <r>
      <rPr>
        <sz val="11"/>
        <rFont val="游ゴシック Medium"/>
        <family val="3"/>
        <charset val="128"/>
      </rPr>
      <t>全集</t>
    </r>
    <r>
      <rPr>
        <sz val="11"/>
        <rFont val="Consolas"/>
        <family val="3"/>
      </rPr>
      <t>/</t>
    </r>
    <r>
      <rPr>
        <sz val="11"/>
        <rFont val="游ゴシック Medium"/>
        <family val="3"/>
        <charset val="128"/>
      </rPr>
      <t>決定版</t>
    </r>
    <r>
      <rPr>
        <sz val="11"/>
        <rFont val="Consolas"/>
        <family val="3"/>
      </rPr>
      <t>/1/</t>
    </r>
    <r>
      <rPr>
        <sz val="11"/>
        <rFont val="游ゴシック Medium"/>
        <family val="3"/>
        <charset val="128"/>
      </rPr>
      <t>変身、流刑地にて</t>
    </r>
    <r>
      <rPr>
        <sz val="11"/>
        <rFont val="Consolas"/>
        <family val="3"/>
      </rPr>
      <t>/Die Verwandlung</t>
    </r>
    <rPh sb="0" eb="5">
      <t>カフカ</t>
    </rPh>
    <rPh sb="5" eb="7">
      <t>ゼンシュウ</t>
    </rPh>
    <rPh sb="8" eb="11">
      <t>ケッテイバン</t>
    </rPh>
    <rPh sb="14" eb="16">
      <t>ヘンシン</t>
    </rPh>
    <rPh sb="17" eb="19">
      <t>ルケイ</t>
    </rPh>
    <rPh sb="19" eb="20">
      <t>チ</t>
    </rPh>
    <phoneticPr fontId="1"/>
  </si>
  <si>
    <r>
      <rPr>
        <sz val="11"/>
        <rFont val="游ゴシック Medium"/>
        <family val="3"/>
        <charset val="128"/>
      </rPr>
      <t>新潮文庫</t>
    </r>
    <rPh sb="0" eb="4">
      <t>シンチョウブンコ</t>
    </rPh>
    <phoneticPr fontId="1"/>
  </si>
  <si>
    <r>
      <rPr>
        <sz val="11"/>
        <rFont val="游ゴシック Medium"/>
        <family val="3"/>
        <charset val="128"/>
      </rPr>
      <t>白石</t>
    </r>
    <r>
      <rPr>
        <sz val="11"/>
        <rFont val="Consolas"/>
        <family val="3"/>
      </rPr>
      <t xml:space="preserve"> </t>
    </r>
    <r>
      <rPr>
        <sz val="11"/>
        <rFont val="游ゴシック Medium"/>
        <family val="3"/>
        <charset val="128"/>
      </rPr>
      <t>朗</t>
    </r>
    <rPh sb="0" eb="2">
      <t>シライシ</t>
    </rPh>
    <rPh sb="3" eb="4">
      <t>ロウ</t>
    </rPh>
    <phoneticPr fontId="1"/>
  </si>
  <si>
    <r>
      <rPr>
        <sz val="11"/>
        <rFont val="游ゴシック Medium"/>
        <family val="3"/>
        <charset val="128"/>
      </rPr>
      <t>村松</t>
    </r>
    <r>
      <rPr>
        <sz val="11"/>
        <rFont val="Consolas"/>
        <family val="3"/>
      </rPr>
      <t xml:space="preserve"> </t>
    </r>
    <r>
      <rPr>
        <sz val="11"/>
        <rFont val="游ゴシック Medium"/>
        <family val="3"/>
        <charset val="128"/>
      </rPr>
      <t>潔</t>
    </r>
    <rPh sb="0" eb="2">
      <t>ムラマツ</t>
    </rPh>
    <rPh sb="3" eb="4">
      <t>キヨシ</t>
    </rPh>
    <phoneticPr fontId="1"/>
  </si>
  <si>
    <r>
      <t>foreign/</t>
    </r>
    <r>
      <rPr>
        <sz val="11"/>
        <rFont val="游ゴシック Medium"/>
        <family val="3"/>
        <charset val="128"/>
      </rPr>
      <t>戯曲･三幕</t>
    </r>
    <rPh sb="8" eb="10">
      <t>ギキョク</t>
    </rPh>
    <rPh sb="11" eb="12">
      <t>サン</t>
    </rPh>
    <rPh sb="12" eb="13">
      <t>マク</t>
    </rPh>
    <phoneticPr fontId="1"/>
  </si>
  <si>
    <r>
      <rPr>
        <sz val="11"/>
        <rFont val="游ゴシック Medium"/>
        <family val="3"/>
        <charset val="128"/>
      </rPr>
      <t>近藤耕人</t>
    </r>
    <rPh sb="0" eb="2">
      <t>コンドウ</t>
    </rPh>
    <rPh sb="2" eb="3">
      <t>コウ</t>
    </rPh>
    <rPh sb="3" eb="4">
      <t>ジン</t>
    </rPh>
    <phoneticPr fontId="1"/>
  </si>
  <si>
    <r>
      <rPr>
        <sz val="11"/>
        <rFont val="游ゴシック Medium"/>
        <family val="3"/>
        <charset val="128"/>
      </rPr>
      <t>さまよえる人たち</t>
    </r>
    <r>
      <rPr>
        <sz val="11"/>
        <rFont val="Consolas"/>
        <family val="3"/>
      </rPr>
      <t>/Exiles a Play in Three Acts</t>
    </r>
    <rPh sb="5" eb="6">
      <t>ヒト</t>
    </rPh>
    <phoneticPr fontId="1"/>
  </si>
  <si>
    <r>
      <rPr>
        <sz val="11"/>
        <rFont val="游ゴシック Medium"/>
        <family val="3"/>
        <charset val="128"/>
      </rPr>
      <t>彩流社</t>
    </r>
    <rPh sb="0" eb="3">
      <t>サイリュウシャ</t>
    </rPh>
    <phoneticPr fontId="1"/>
  </si>
  <si>
    <r>
      <t>foreign/essay/</t>
    </r>
    <r>
      <rPr>
        <sz val="11"/>
        <rFont val="游ゴシック Medium"/>
        <family val="3"/>
        <charset val="128"/>
      </rPr>
      <t>自伝</t>
    </r>
    <rPh sb="8" eb="13">
      <t>エッセイ</t>
    </rPh>
    <rPh sb="14" eb="16">
      <t>ジデン</t>
    </rPh>
    <phoneticPr fontId="1"/>
  </si>
  <si>
    <r>
      <rPr>
        <sz val="11"/>
        <rFont val="游ゴシック Medium"/>
        <family val="3"/>
        <charset val="128"/>
      </rPr>
      <t>幸田敦子</t>
    </r>
    <rPh sb="0" eb="2">
      <t>コウダ</t>
    </rPh>
    <rPh sb="2" eb="4">
      <t>アツコ</t>
    </rPh>
    <phoneticPr fontId="1"/>
  </si>
  <si>
    <r>
      <rPr>
        <sz val="11"/>
        <rFont val="游ゴシック Medium"/>
        <family val="3"/>
        <charset val="128"/>
      </rPr>
      <t>私は産む</t>
    </r>
    <r>
      <rPr>
        <sz val="11"/>
        <rFont val="Consolas"/>
        <family val="3"/>
      </rPr>
      <t>/</t>
    </r>
    <r>
      <rPr>
        <sz val="11"/>
        <rFont val="游ゴシック Medium"/>
        <family val="3"/>
        <charset val="128"/>
      </rPr>
      <t>愛と喪失の四年間</t>
    </r>
    <r>
      <rPr>
        <sz val="11"/>
        <rFont val="Consolas"/>
        <family val="3"/>
      </rPr>
      <t>/Family</t>
    </r>
    <rPh sb="0" eb="1">
      <t>ワタシ</t>
    </rPh>
    <rPh sb="2" eb="3">
      <t>ウ</t>
    </rPh>
    <rPh sb="5" eb="6">
      <t>アイ</t>
    </rPh>
    <rPh sb="7" eb="9">
      <t>ソウシツ</t>
    </rPh>
    <rPh sb="10" eb="13">
      <t>ヨネンカン</t>
    </rPh>
    <phoneticPr fontId="1"/>
  </si>
  <si>
    <r>
      <rPr>
        <sz val="11"/>
        <rFont val="游ゴシック Medium"/>
        <family val="3"/>
        <charset val="128"/>
      </rPr>
      <t>若林</t>
    </r>
    <r>
      <rPr>
        <sz val="11"/>
        <rFont val="Consolas"/>
        <family val="3"/>
      </rPr>
      <t xml:space="preserve"> </t>
    </r>
    <r>
      <rPr>
        <sz val="11"/>
        <rFont val="游ゴシック Medium"/>
        <family val="3"/>
        <charset val="128"/>
      </rPr>
      <t>真･永井</t>
    </r>
    <r>
      <rPr>
        <sz val="11"/>
        <rFont val="Consolas"/>
        <family val="3"/>
      </rPr>
      <t xml:space="preserve"> </t>
    </r>
    <r>
      <rPr>
        <sz val="11"/>
        <rFont val="游ゴシック Medium"/>
        <family val="3"/>
        <charset val="128"/>
      </rPr>
      <t>旦</t>
    </r>
    <rPh sb="0" eb="2">
      <t>ワカバヤシ</t>
    </rPh>
    <rPh sb="3" eb="4">
      <t>マコト</t>
    </rPh>
    <rPh sb="5" eb="7">
      <t>ナガイ</t>
    </rPh>
    <phoneticPr fontId="1"/>
  </si>
  <si>
    <r>
      <rPr>
        <sz val="11"/>
        <rFont val="游ゴシック Medium"/>
        <family val="3"/>
        <charset val="128"/>
      </rPr>
      <t>歓待の掟</t>
    </r>
    <r>
      <rPr>
        <sz val="11"/>
        <rFont val="Consolas"/>
        <family val="3"/>
      </rPr>
      <t>/Les Lois de L'Hospitalite</t>
    </r>
    <rPh sb="0" eb="2">
      <t>カンタイ</t>
    </rPh>
    <rPh sb="3" eb="4">
      <t>オキテ</t>
    </rPh>
    <phoneticPr fontId="1"/>
  </si>
  <si>
    <r>
      <t>1953</t>
    </r>
    <r>
      <rPr>
        <sz val="11"/>
        <rFont val="游ゴシック Medium"/>
        <family val="3"/>
        <charset val="128"/>
      </rPr>
      <t>･</t>
    </r>
    <r>
      <rPr>
        <sz val="11"/>
        <rFont val="Consolas"/>
        <family val="3"/>
      </rPr>
      <t>1959</t>
    </r>
    <r>
      <rPr>
        <sz val="11"/>
        <rFont val="游ゴシック Medium"/>
        <family val="3"/>
        <charset val="128"/>
      </rPr>
      <t>･</t>
    </r>
    <r>
      <rPr>
        <sz val="11"/>
        <rFont val="Consolas"/>
        <family val="3"/>
      </rPr>
      <t>1960, 1987</t>
    </r>
    <phoneticPr fontId="1"/>
  </si>
  <si>
    <r>
      <t>[</t>
    </r>
    <r>
      <rPr>
        <sz val="11"/>
        <rFont val="游ゴシック Medium"/>
        <family val="3"/>
        <charset val="128"/>
      </rPr>
      <t>ロベルトは今夜</t>
    </r>
    <r>
      <rPr>
        <sz val="11"/>
        <rFont val="Consolas"/>
        <family val="3"/>
      </rPr>
      <t xml:space="preserve">] </t>
    </r>
    <r>
      <rPr>
        <sz val="11"/>
        <rFont val="游ゴシック Medium"/>
        <family val="3"/>
        <charset val="128"/>
      </rPr>
      <t>も収録</t>
    </r>
    <rPh sb="6" eb="8">
      <t>コンヤ</t>
    </rPh>
    <rPh sb="11" eb="13">
      <t>シュウロク</t>
    </rPh>
    <phoneticPr fontId="1"/>
  </si>
  <si>
    <r>
      <rPr>
        <sz val="11"/>
        <rFont val="游ゴシック Medium"/>
        <family val="3"/>
        <charset val="128"/>
      </rPr>
      <t>鮎川信夫</t>
    </r>
    <rPh sb="0" eb="2">
      <t>アユカワ</t>
    </rPh>
    <rPh sb="2" eb="4">
      <t>ノブオ</t>
    </rPh>
    <phoneticPr fontId="1"/>
  </si>
  <si>
    <r>
      <rPr>
        <sz val="11"/>
        <rFont val="游ゴシック Medium"/>
        <family val="3"/>
        <charset val="128"/>
      </rPr>
      <t>裸の</t>
    </r>
    <r>
      <rPr>
        <sz val="11"/>
        <rFont val="Consolas"/>
        <family val="3"/>
      </rPr>
      <t>Lunch/The Naked Lunch</t>
    </r>
    <rPh sb="0" eb="1">
      <t>ハダカ</t>
    </rPh>
    <rPh sb="2" eb="7">
      <t>ランチ</t>
    </rPh>
    <rPh sb="18" eb="23">
      <t>ランチ</t>
    </rPh>
    <phoneticPr fontId="1"/>
  </si>
  <si>
    <r>
      <t>1959</t>
    </r>
    <r>
      <rPr>
        <sz val="11"/>
        <rFont val="游ゴシック Medium"/>
        <family val="3"/>
        <charset val="128"/>
      </rPr>
      <t>･</t>
    </r>
    <r>
      <rPr>
        <sz val="11"/>
        <rFont val="Consolas"/>
        <family val="3"/>
      </rPr>
      <t>1962-1987</t>
    </r>
    <r>
      <rPr>
        <sz val="11"/>
        <rFont val="游ゴシック Medium"/>
        <family val="3"/>
        <charset val="128"/>
      </rPr>
      <t>･</t>
    </r>
    <r>
      <rPr>
        <sz val="11"/>
        <rFont val="Consolas"/>
        <family val="3"/>
      </rPr>
      <t>1990, 1992</t>
    </r>
    <phoneticPr fontId="1"/>
  </si>
  <si>
    <r>
      <rPr>
        <sz val="11"/>
        <rFont val="游ゴシック Medium"/>
        <family val="3"/>
        <charset val="128"/>
      </rPr>
      <t>堀口大學</t>
    </r>
    <rPh sb="0" eb="4">
      <t>ホリグチダイガク</t>
    </rPh>
    <phoneticPr fontId="1"/>
  </si>
  <si>
    <r>
      <rPr>
        <sz val="11"/>
        <rFont val="游ゴシック Medium"/>
        <family val="3"/>
        <charset val="128"/>
      </rPr>
      <t>花の</t>
    </r>
    <r>
      <rPr>
        <sz val="11"/>
        <rFont val="Consolas"/>
        <family val="3"/>
      </rPr>
      <t>Notre-Dame/Notre-Dame des Fleurs</t>
    </r>
    <rPh sb="0" eb="1">
      <t>ハナ</t>
    </rPh>
    <rPh sb="2" eb="12">
      <t>ノートルダム</t>
    </rPh>
    <rPh sb="13" eb="23">
      <t>ノートルダム</t>
    </rPh>
    <phoneticPr fontId="1"/>
  </si>
  <si>
    <r>
      <rPr>
        <sz val="11"/>
        <rFont val="游ゴシック Medium"/>
        <family val="3"/>
        <charset val="128"/>
      </rPr>
      <t>重版</t>
    </r>
    <rPh sb="0" eb="2">
      <t>ジュウハン</t>
    </rPh>
    <phoneticPr fontId="1"/>
  </si>
  <si>
    <r>
      <rPr>
        <sz val="11"/>
        <rFont val="游ゴシック Medium"/>
        <family val="3"/>
        <charset val="128"/>
      </rPr>
      <t>渡辺守章</t>
    </r>
    <rPh sb="0" eb="2">
      <t>ワタナベ</t>
    </rPh>
    <rPh sb="2" eb="4">
      <t>モリアキ</t>
    </rPh>
    <phoneticPr fontId="1"/>
  </si>
  <si>
    <r>
      <rPr>
        <sz val="11"/>
        <rFont val="游ゴシック Medium"/>
        <family val="3"/>
        <charset val="128"/>
      </rPr>
      <t>女中たち</t>
    </r>
    <r>
      <rPr>
        <sz val="11"/>
        <rFont val="Consolas"/>
        <family val="3"/>
      </rPr>
      <t>/Les Bonnes/Le Balcon/Best of Genet</t>
    </r>
    <rPh sb="0" eb="2">
      <t>ジョチュウ</t>
    </rPh>
    <rPh sb="19" eb="25">
      <t>バルコン</t>
    </rPh>
    <rPh sb="26" eb="39">
      <t>ベスト･オブ　ジュネ</t>
    </rPh>
    <phoneticPr fontId="1"/>
  </si>
  <si>
    <r>
      <rPr>
        <sz val="11"/>
        <rFont val="游ゴシック Medium"/>
        <family val="3"/>
        <charset val="128"/>
      </rPr>
      <t>葬儀</t>
    </r>
    <r>
      <rPr>
        <sz val="11"/>
        <rFont val="Consolas"/>
        <family val="3"/>
      </rPr>
      <t>/Pompes Funebres</t>
    </r>
    <rPh sb="0" eb="2">
      <t>ソウギ</t>
    </rPh>
    <phoneticPr fontId="1"/>
  </si>
  <si>
    <r>
      <rPr>
        <sz val="11"/>
        <rFont val="游ゴシック Medium"/>
        <family val="3"/>
        <charset val="128"/>
      </rPr>
      <t>新装版</t>
    </r>
    <rPh sb="0" eb="2">
      <t>シンソウ</t>
    </rPh>
    <rPh sb="2" eb="3">
      <t>バン</t>
    </rPh>
    <phoneticPr fontId="1"/>
  </si>
  <si>
    <r>
      <t>Brest</t>
    </r>
    <r>
      <rPr>
        <sz val="11"/>
        <rFont val="游ゴシック Medium"/>
        <family val="3"/>
        <charset val="128"/>
      </rPr>
      <t>の乱暴者</t>
    </r>
    <r>
      <rPr>
        <sz val="11"/>
        <rFont val="Consolas"/>
        <family val="3"/>
      </rPr>
      <t>/Querelle de Brest</t>
    </r>
    <rPh sb="0" eb="5">
      <t>ブレスト</t>
    </rPh>
    <rPh sb="6" eb="8">
      <t>ランボウ</t>
    </rPh>
    <rPh sb="8" eb="9">
      <t>モノ</t>
    </rPh>
    <rPh sb="22" eb="27">
      <t>ブレスト</t>
    </rPh>
    <phoneticPr fontId="1"/>
  </si>
  <si>
    <r>
      <rPr>
        <sz val="11"/>
        <rFont val="游ゴシック Medium"/>
        <family val="3"/>
        <charset val="128"/>
      </rPr>
      <t>天沢退二郎</t>
    </r>
    <rPh sb="0" eb="2">
      <t>アマザワ</t>
    </rPh>
    <rPh sb="2" eb="5">
      <t>タイジロウ</t>
    </rPh>
    <phoneticPr fontId="1"/>
  </si>
  <si>
    <r>
      <rPr>
        <sz val="11"/>
        <rFont val="游ゴシック Medium"/>
        <family val="3"/>
        <charset val="128"/>
      </rPr>
      <t>青空</t>
    </r>
    <r>
      <rPr>
        <sz val="11"/>
        <rFont val="Consolas"/>
        <family val="3"/>
      </rPr>
      <t>/Le Bleu du Ciel</t>
    </r>
    <rPh sb="0" eb="2">
      <t>アオゾラ</t>
    </rPh>
    <phoneticPr fontId="1"/>
  </si>
  <si>
    <r>
      <rPr>
        <sz val="11"/>
        <rFont val="游ゴシック Medium"/>
        <family val="3"/>
        <charset val="128"/>
      </rPr>
      <t>まんが市文化堂</t>
    </r>
    <rPh sb="3" eb="4">
      <t>イチ</t>
    </rPh>
    <rPh sb="4" eb="6">
      <t>ブンカ</t>
    </rPh>
    <rPh sb="6" eb="7">
      <t>ドウ</t>
    </rPh>
    <phoneticPr fontId="1"/>
  </si>
  <si>
    <r>
      <rPr>
        <sz val="11"/>
        <rFont val="游ゴシック Medium"/>
        <family val="3"/>
        <charset val="128"/>
      </rPr>
      <t>湯浅博雄</t>
    </r>
    <rPh sb="0" eb="2">
      <t>ユアサ</t>
    </rPh>
    <rPh sb="2" eb="4">
      <t>ヒロオ</t>
    </rPh>
    <phoneticPr fontId="1"/>
  </si>
  <si>
    <r>
      <rPr>
        <sz val="11"/>
        <rFont val="游ゴシック Medium"/>
        <family val="3"/>
        <charset val="128"/>
      </rPr>
      <t>宗教の理論</t>
    </r>
    <r>
      <rPr>
        <sz val="11"/>
        <rFont val="Consolas"/>
        <family val="3"/>
      </rPr>
      <t>/Theorie de la Religion</t>
    </r>
    <rPh sb="0" eb="2">
      <t>シュウキョウ</t>
    </rPh>
    <rPh sb="3" eb="5">
      <t>リロン</t>
    </rPh>
    <phoneticPr fontId="1"/>
  </si>
  <si>
    <r>
      <rPr>
        <sz val="11"/>
        <rFont val="游ゴシック Medium"/>
        <family val="3"/>
        <charset val="128"/>
      </rPr>
      <t>人文書院</t>
    </r>
    <rPh sb="0" eb="2">
      <t>ジンブン</t>
    </rPh>
    <rPh sb="2" eb="4">
      <t>ショイン</t>
    </rPh>
    <phoneticPr fontId="1"/>
  </si>
  <si>
    <r>
      <rPr>
        <sz val="11"/>
        <rFont val="游ゴシック Medium"/>
        <family val="3"/>
        <charset val="128"/>
      </rPr>
      <t>森本和夫</t>
    </r>
    <rPh sb="0" eb="2">
      <t>モリモト</t>
    </rPh>
    <rPh sb="2" eb="4">
      <t>カズオ</t>
    </rPh>
    <phoneticPr fontId="1"/>
  </si>
  <si>
    <r>
      <t>Eros</t>
    </r>
    <r>
      <rPr>
        <sz val="11"/>
        <rFont val="游ゴシック Medium"/>
        <family val="3"/>
        <charset val="128"/>
      </rPr>
      <t>の涙</t>
    </r>
    <r>
      <rPr>
        <sz val="11"/>
        <rFont val="Consolas"/>
        <family val="3"/>
      </rPr>
      <t>/Les Larmes d'Eros</t>
    </r>
    <rPh sb="0" eb="4">
      <t>エロス</t>
    </rPh>
    <rPh sb="5" eb="6">
      <t>ナミダ</t>
    </rPh>
    <phoneticPr fontId="1"/>
  </si>
  <si>
    <r>
      <rPr>
        <sz val="11"/>
        <rFont val="游ゴシック Medium"/>
        <family val="3"/>
        <charset val="128"/>
      </rPr>
      <t>現代思潮社</t>
    </r>
    <rPh sb="0" eb="4">
      <t>ゲンダイシチョウ</t>
    </rPh>
    <rPh sb="4" eb="5">
      <t>シャ</t>
    </rPh>
    <phoneticPr fontId="1"/>
  </si>
  <si>
    <r>
      <rPr>
        <sz val="11"/>
        <rFont val="游ゴシック Medium"/>
        <family val="3"/>
        <charset val="128"/>
      </rPr>
      <t>司書房</t>
    </r>
    <r>
      <rPr>
        <sz val="11"/>
        <rFont val="Consolas"/>
        <family val="3"/>
      </rPr>
      <t>/Parco 7F</t>
    </r>
    <rPh sb="0" eb="1">
      <t>ツカサ</t>
    </rPh>
    <rPh sb="1" eb="3">
      <t>ショボウ</t>
    </rPh>
    <rPh sb="4" eb="9">
      <t>バルコ</t>
    </rPh>
    <phoneticPr fontId="1"/>
  </si>
  <si>
    <r>
      <rPr>
        <sz val="11"/>
        <rFont val="游ゴシック Medium"/>
        <family val="3"/>
        <charset val="128"/>
      </rPr>
      <t>飯田隆昭</t>
    </r>
    <rPh sb="0" eb="2">
      <t>イイダ</t>
    </rPh>
    <rPh sb="2" eb="4">
      <t>タカアキ</t>
    </rPh>
    <phoneticPr fontId="1"/>
  </si>
  <si>
    <r>
      <rPr>
        <sz val="11"/>
        <rFont val="游ゴシック Medium"/>
        <family val="3"/>
        <charset val="128"/>
      </rPr>
      <t>戦争熱</t>
    </r>
    <r>
      <rPr>
        <sz val="11"/>
        <rFont val="Consolas"/>
        <family val="3"/>
      </rPr>
      <t>/War Fever</t>
    </r>
    <rPh sb="0" eb="2">
      <t>センソウ</t>
    </rPh>
    <rPh sb="2" eb="3">
      <t>ネツ</t>
    </rPh>
    <rPh sb="4" eb="13">
      <t>ウォー･フィーバー</t>
    </rPh>
    <phoneticPr fontId="1"/>
  </si>
  <si>
    <r>
      <rPr>
        <sz val="11"/>
        <rFont val="游ゴシック Medium"/>
        <family val="3"/>
        <charset val="128"/>
      </rPr>
      <t>高橋和久</t>
    </r>
    <rPh sb="0" eb="2">
      <t>タカハシ</t>
    </rPh>
    <rPh sb="2" eb="4">
      <t>カズヒサ</t>
    </rPh>
    <phoneticPr fontId="1"/>
  </si>
  <si>
    <r>
      <rPr>
        <sz val="11"/>
        <rFont val="游ゴシック Medium"/>
        <family val="3"/>
        <charset val="128"/>
      </rPr>
      <t>女たちのやさしさ</t>
    </r>
    <r>
      <rPr>
        <sz val="11"/>
        <rFont val="Consolas"/>
        <family val="3"/>
      </rPr>
      <t>/The Kindness of Women</t>
    </r>
    <rPh sb="0" eb="1">
      <t>オンナ</t>
    </rPh>
    <phoneticPr fontId="1"/>
  </si>
  <si>
    <r>
      <rPr>
        <sz val="11"/>
        <rFont val="游ゴシック Medium"/>
        <family val="3"/>
        <charset val="128"/>
      </rPr>
      <t>山田順子</t>
    </r>
    <r>
      <rPr>
        <sz val="11"/>
        <rFont val="Consolas"/>
        <family val="3"/>
      </rPr>
      <t>/</t>
    </r>
    <r>
      <rPr>
        <sz val="11"/>
        <rFont val="游ゴシック Medium"/>
        <family val="3"/>
        <charset val="128"/>
      </rPr>
      <t>柳下毅一郎</t>
    </r>
    <rPh sb="0" eb="2">
      <t>ヤマダ</t>
    </rPh>
    <rPh sb="2" eb="4">
      <t>ジュンコ</t>
    </rPh>
    <rPh sb="5" eb="7">
      <t>ヤナシタ</t>
    </rPh>
    <rPh sb="7" eb="10">
      <t>キイチロウ</t>
    </rPh>
    <phoneticPr fontId="1"/>
  </si>
  <si>
    <r>
      <rPr>
        <sz val="11"/>
        <rFont val="游ゴシック Medium"/>
        <family val="3"/>
        <charset val="128"/>
      </rPr>
      <t>訳</t>
    </r>
    <r>
      <rPr>
        <sz val="11"/>
        <rFont val="Consolas"/>
        <family val="3"/>
      </rPr>
      <t>/</t>
    </r>
    <r>
      <rPr>
        <sz val="11"/>
        <rFont val="游ゴシック Medium"/>
        <family val="3"/>
        <charset val="128"/>
      </rPr>
      <t>解説</t>
    </r>
    <rPh sb="0" eb="1">
      <t>ヤク</t>
    </rPh>
    <rPh sb="2" eb="4">
      <t>カイセツ</t>
    </rPh>
    <phoneticPr fontId="1"/>
  </si>
  <si>
    <r>
      <rPr>
        <sz val="11"/>
        <rFont val="游ゴシック Medium"/>
        <family val="3"/>
        <charset val="128"/>
      </rPr>
      <t>殺す</t>
    </r>
    <r>
      <rPr>
        <sz val="11"/>
        <rFont val="Consolas"/>
        <family val="3"/>
      </rPr>
      <t>/Running Wild</t>
    </r>
    <rPh sb="0" eb="1">
      <t>コロ</t>
    </rPh>
    <phoneticPr fontId="1"/>
  </si>
  <si>
    <r>
      <rPr>
        <sz val="11"/>
        <rFont val="游ゴシック Medium"/>
        <family val="3"/>
        <charset val="128"/>
      </rPr>
      <t>海外文学セレクション</t>
    </r>
    <rPh sb="0" eb="2">
      <t>カイガイ</t>
    </rPh>
    <rPh sb="2" eb="4">
      <t>ブンガク</t>
    </rPh>
    <phoneticPr fontId="1"/>
  </si>
  <si>
    <r>
      <rPr>
        <sz val="11"/>
        <rFont val="游ゴシック Medium"/>
        <family val="3"/>
        <charset val="128"/>
      </rPr>
      <t>東京創元社</t>
    </r>
    <rPh sb="0" eb="5">
      <t>トウキョウソウゲンシャ</t>
    </rPh>
    <phoneticPr fontId="1"/>
  </si>
  <si>
    <r>
      <t>Ballard,J.G/</t>
    </r>
    <r>
      <rPr>
        <sz val="11"/>
        <rFont val="游ゴシック Medium"/>
        <family val="3"/>
        <charset val="128"/>
      </rPr>
      <t>松岡正剛</t>
    </r>
    <rPh sb="0" eb="7">
      <t>バラード</t>
    </rPh>
    <rPh sb="12" eb="14">
      <t>マツオカ</t>
    </rPh>
    <rPh sb="14" eb="16">
      <t>セイゴウ</t>
    </rPh>
    <phoneticPr fontId="1"/>
  </si>
  <si>
    <r>
      <t>writer/</t>
    </r>
    <r>
      <rPr>
        <sz val="11"/>
        <rFont val="游ゴシック Medium"/>
        <family val="3"/>
        <charset val="128"/>
      </rPr>
      <t>対談者</t>
    </r>
    <rPh sb="7" eb="10">
      <t>タイダンシャ</t>
    </rPh>
    <phoneticPr fontId="1"/>
  </si>
  <si>
    <r>
      <rPr>
        <sz val="11"/>
        <rFont val="游ゴシック Medium"/>
        <family val="3"/>
        <charset val="128"/>
      </rPr>
      <t>法水金太郎</t>
    </r>
    <rPh sb="0" eb="1">
      <t>ノリ</t>
    </rPh>
    <rPh sb="1" eb="2">
      <t>ミズ</t>
    </rPh>
    <rPh sb="2" eb="5">
      <t>キンタロウ</t>
    </rPh>
    <phoneticPr fontId="1"/>
  </si>
  <si>
    <r>
      <rPr>
        <sz val="11"/>
        <rFont val="游ゴシック Medium"/>
        <family val="3"/>
        <charset val="128"/>
      </rPr>
      <t>残虐行為展覧会</t>
    </r>
    <r>
      <rPr>
        <sz val="11"/>
        <rFont val="Consolas"/>
        <family val="3"/>
      </rPr>
      <t>/The Atrocity Exhibition</t>
    </r>
    <rPh sb="0" eb="4">
      <t>ザンギャクコウイ</t>
    </rPh>
    <rPh sb="4" eb="7">
      <t>テンランカイ</t>
    </rPh>
    <phoneticPr fontId="1"/>
  </si>
  <si>
    <r>
      <t>Bockris,Victor/</t>
    </r>
    <r>
      <rPr>
        <sz val="11"/>
        <rFont val="游ゴシック Medium"/>
        <family val="3"/>
        <charset val="128"/>
      </rPr>
      <t>梅沢葉子･山形浩生</t>
    </r>
    <rPh sb="0" eb="7">
      <t>ボクリス</t>
    </rPh>
    <rPh sb="8" eb="14">
      <t>ヴィクター</t>
    </rPh>
    <rPh sb="15" eb="17">
      <t>ウメザワ</t>
    </rPh>
    <rPh sb="17" eb="19">
      <t>ヨウコ</t>
    </rPh>
    <rPh sb="20" eb="22">
      <t>ヤマガタ</t>
    </rPh>
    <rPh sb="22" eb="24">
      <t>ヒロオ</t>
    </rPh>
    <phoneticPr fontId="1"/>
  </si>
  <si>
    <r>
      <rPr>
        <sz val="11"/>
        <rFont val="游ゴシック Medium"/>
        <family val="3"/>
        <charset val="128"/>
      </rPr>
      <t>編</t>
    </r>
    <r>
      <rPr>
        <sz val="11"/>
        <rFont val="Consolas"/>
        <family val="3"/>
      </rPr>
      <t>/</t>
    </r>
    <r>
      <rPr>
        <sz val="11"/>
        <rFont val="游ゴシック Medium"/>
        <family val="3"/>
        <charset val="128"/>
      </rPr>
      <t>訳</t>
    </r>
    <rPh sb="0" eb="1">
      <t>ヘン</t>
    </rPh>
    <rPh sb="2" eb="3">
      <t>ヤク</t>
    </rPh>
    <phoneticPr fontId="1"/>
  </si>
  <si>
    <r>
      <t>William Burroughs</t>
    </r>
    <r>
      <rPr>
        <sz val="11"/>
        <rFont val="游ゴシック Medium"/>
        <family val="3"/>
        <charset val="128"/>
      </rPr>
      <t>と夕食を─バンカーからの報告─</t>
    </r>
    <r>
      <rPr>
        <sz val="11"/>
        <rFont val="Consolas"/>
        <family val="3"/>
      </rPr>
      <t>/With William Burroughs</t>
    </r>
    <rPh sb="0" eb="17">
      <t>ウィリアム･バロウズ</t>
    </rPh>
    <rPh sb="18" eb="20">
      <t>ユウショク</t>
    </rPh>
    <rPh sb="29" eb="31">
      <t>ホウコク</t>
    </rPh>
    <phoneticPr fontId="1"/>
  </si>
  <si>
    <r>
      <rPr>
        <sz val="11"/>
        <rFont val="游ゴシック Medium"/>
        <family val="3"/>
        <charset val="128"/>
      </rPr>
      <t>清水アリカ</t>
    </r>
    <r>
      <rPr>
        <sz val="11"/>
        <rFont val="Consolas"/>
        <family val="3"/>
      </rPr>
      <t>/</t>
    </r>
    <r>
      <rPr>
        <sz val="11"/>
        <rFont val="游ゴシック Medium"/>
        <family val="3"/>
        <charset val="128"/>
      </rPr>
      <t>大竹伸朗</t>
    </r>
    <r>
      <rPr>
        <sz val="11"/>
        <rFont val="Consolas"/>
        <family val="3"/>
      </rPr>
      <t>/</t>
    </r>
    <r>
      <rPr>
        <sz val="11"/>
        <rFont val="游ゴシック Medium"/>
        <family val="3"/>
        <charset val="128"/>
      </rPr>
      <t>椹木野衣</t>
    </r>
    <rPh sb="0" eb="2">
      <t>シミズ</t>
    </rPh>
    <rPh sb="6" eb="8">
      <t>オオタケ</t>
    </rPh>
    <rPh sb="8" eb="10">
      <t>ノブオ</t>
    </rPh>
    <rPh sb="11" eb="13">
      <t>サワラギ</t>
    </rPh>
    <rPh sb="13" eb="15">
      <t>ノエ</t>
    </rPh>
    <phoneticPr fontId="1"/>
  </si>
  <si>
    <r>
      <rPr>
        <sz val="11"/>
        <rFont val="游ゴシック Medium"/>
        <family val="3"/>
        <charset val="128"/>
      </rPr>
      <t>訳</t>
    </r>
    <r>
      <rPr>
        <sz val="11"/>
        <rFont val="Consolas"/>
        <family val="3"/>
      </rPr>
      <t>/</t>
    </r>
    <r>
      <rPr>
        <sz val="11"/>
        <rFont val="游ゴシック Medium"/>
        <family val="3"/>
        <charset val="128"/>
      </rPr>
      <t>装画</t>
    </r>
    <r>
      <rPr>
        <sz val="11"/>
        <rFont val="Consolas"/>
        <family val="3"/>
      </rPr>
      <t>/</t>
    </r>
    <r>
      <rPr>
        <sz val="11"/>
        <rFont val="游ゴシック Medium"/>
        <family val="3"/>
        <charset val="128"/>
      </rPr>
      <t>解説</t>
    </r>
    <rPh sb="0" eb="1">
      <t>ヤク</t>
    </rPh>
    <rPh sb="2" eb="4">
      <t>ソウガ</t>
    </rPh>
    <rPh sb="5" eb="7">
      <t>カイセツ</t>
    </rPh>
    <phoneticPr fontId="1"/>
  </si>
  <si>
    <r>
      <t>Serie</t>
    </r>
    <r>
      <rPr>
        <sz val="11"/>
        <rFont val="游ゴシック Medium"/>
        <family val="3"/>
        <charset val="128"/>
      </rPr>
      <t>《</t>
    </r>
    <r>
      <rPr>
        <sz val="11"/>
        <rFont val="Consolas"/>
        <family val="3"/>
      </rPr>
      <t>Fantastique</t>
    </r>
    <r>
      <rPr>
        <sz val="11"/>
        <rFont val="游ゴシック Medium"/>
        <family val="3"/>
        <charset val="128"/>
      </rPr>
      <t>》</t>
    </r>
    <rPh sb="6" eb="17">
      <t>ファンタスティーク</t>
    </rPh>
    <phoneticPr fontId="1"/>
  </si>
  <si>
    <r>
      <rPr>
        <sz val="11"/>
        <rFont val="游ゴシック Medium"/>
        <family val="3"/>
        <charset val="128"/>
      </rPr>
      <t>飯田隆昭･諏訪</t>
    </r>
    <r>
      <rPr>
        <sz val="11"/>
        <rFont val="Consolas"/>
        <family val="3"/>
      </rPr>
      <t xml:space="preserve"> </t>
    </r>
    <r>
      <rPr>
        <sz val="11"/>
        <rFont val="游ゴシック Medium"/>
        <family val="3"/>
        <charset val="128"/>
      </rPr>
      <t>優</t>
    </r>
    <rPh sb="0" eb="2">
      <t>イイダ</t>
    </rPh>
    <rPh sb="2" eb="4">
      <t>タカアキ</t>
    </rPh>
    <rPh sb="5" eb="7">
      <t>スワ</t>
    </rPh>
    <rPh sb="8" eb="9">
      <t>ユウ</t>
    </rPh>
    <phoneticPr fontId="1"/>
  </si>
  <si>
    <r>
      <rPr>
        <sz val="11"/>
        <rFont val="游ゴシック Medium"/>
        <family val="3"/>
        <charset val="128"/>
      </rPr>
      <t>麻薬書簡</t>
    </r>
    <r>
      <rPr>
        <sz val="11"/>
        <rFont val="Consolas"/>
        <family val="3"/>
      </rPr>
      <t>/The Yage Leters</t>
    </r>
    <rPh sb="0" eb="2">
      <t>マヤク</t>
    </rPh>
    <rPh sb="2" eb="4">
      <t>ショカン</t>
    </rPh>
    <phoneticPr fontId="1"/>
  </si>
  <si>
    <r>
      <t>1953</t>
    </r>
    <r>
      <rPr>
        <sz val="11"/>
        <rFont val="游ゴシック Medium"/>
        <family val="3"/>
        <charset val="128"/>
      </rPr>
      <t>･</t>
    </r>
    <r>
      <rPr>
        <sz val="11"/>
        <rFont val="Consolas"/>
        <family val="3"/>
      </rPr>
      <t>1960</t>
    </r>
    <r>
      <rPr>
        <sz val="11"/>
        <rFont val="游ゴシック Medium"/>
        <family val="3"/>
        <charset val="128"/>
      </rPr>
      <t>･</t>
    </r>
    <r>
      <rPr>
        <sz val="11"/>
        <rFont val="Consolas"/>
        <family val="3"/>
      </rPr>
      <t>1963,1994</t>
    </r>
    <phoneticPr fontId="1"/>
  </si>
  <si>
    <r>
      <rPr>
        <sz val="11"/>
        <rFont val="游ゴシック Medium"/>
        <family val="3"/>
        <charset val="128"/>
      </rPr>
      <t>篠田知和基</t>
    </r>
    <rPh sb="0" eb="2">
      <t>シノダ</t>
    </rPh>
    <phoneticPr fontId="1"/>
  </si>
  <si>
    <r>
      <rPr>
        <sz val="11"/>
        <rFont val="游ゴシック Medium"/>
        <family val="3"/>
        <charset val="128"/>
      </rPr>
      <t>阿呆の王</t>
    </r>
    <r>
      <rPr>
        <sz val="11"/>
        <rFont val="Consolas"/>
        <family val="3"/>
      </rPr>
      <t>/Le Prince des Sots</t>
    </r>
    <rPh sb="0" eb="2">
      <t>アホウ</t>
    </rPh>
    <rPh sb="3" eb="4">
      <t>オウ</t>
    </rPh>
    <phoneticPr fontId="1"/>
  </si>
  <si>
    <r>
      <rPr>
        <sz val="11"/>
        <rFont val="游ゴシック Medium"/>
        <family val="3"/>
        <charset val="128"/>
      </rPr>
      <t>夜</t>
    </r>
    <rPh sb="0" eb="1">
      <t>ヨル</t>
    </rPh>
    <phoneticPr fontId="1"/>
  </si>
  <si>
    <r>
      <rPr>
        <sz val="11"/>
        <rFont val="游ゴシック Medium"/>
        <family val="3"/>
        <charset val="128"/>
      </rPr>
      <t>笹本</t>
    </r>
    <r>
      <rPr>
        <sz val="11"/>
        <rFont val="Consolas"/>
        <family val="3"/>
      </rPr>
      <t xml:space="preserve"> </t>
    </r>
    <r>
      <rPr>
        <sz val="11"/>
        <rFont val="游ゴシック Medium"/>
        <family val="3"/>
        <charset val="128"/>
      </rPr>
      <t>孝</t>
    </r>
    <rPh sb="0" eb="2">
      <t>ササモト</t>
    </rPh>
    <rPh sb="3" eb="4">
      <t>タカシ</t>
    </rPh>
    <phoneticPr fontId="1"/>
  </si>
  <si>
    <r>
      <rPr>
        <strike/>
        <sz val="11"/>
        <rFont val="游ゴシック Medium"/>
        <family val="3"/>
        <charset val="128"/>
      </rPr>
      <t>ラーゲルクヴィスト</t>
    </r>
    <phoneticPr fontId="1"/>
  </si>
  <si>
    <r>
      <rPr>
        <strike/>
        <sz val="11"/>
        <rFont val="游ゴシック Medium"/>
        <family val="3"/>
        <charset val="128"/>
      </rPr>
      <t>尾崎　義</t>
    </r>
    <phoneticPr fontId="1"/>
  </si>
  <si>
    <r>
      <rPr>
        <strike/>
        <sz val="11"/>
        <rFont val="游ゴシック Medium"/>
        <family val="3"/>
        <charset val="128"/>
      </rPr>
      <t>バラバ</t>
    </r>
    <phoneticPr fontId="1"/>
  </si>
  <si>
    <r>
      <rPr>
        <strike/>
        <sz val="11"/>
        <rFont val="游ゴシック Medium"/>
        <family val="3"/>
        <charset val="128"/>
      </rPr>
      <t>岩波文庫</t>
    </r>
    <r>
      <rPr>
        <strike/>
        <sz val="11"/>
        <rFont val="Consolas"/>
        <family val="3"/>
      </rPr>
      <t>32-757-1</t>
    </r>
    <rPh sb="0" eb="2">
      <t>イワナミ</t>
    </rPh>
    <rPh sb="2" eb="4">
      <t>ブンコ</t>
    </rPh>
    <phoneticPr fontId="1"/>
  </si>
  <si>
    <r>
      <t>ancient/</t>
    </r>
    <r>
      <rPr>
        <strike/>
        <sz val="11"/>
        <rFont val="游ゴシック Medium"/>
        <family val="3"/>
        <charset val="128"/>
      </rPr>
      <t>童話</t>
    </r>
    <rPh sb="8" eb="10">
      <t>ドウワ</t>
    </rPh>
    <phoneticPr fontId="1"/>
  </si>
  <si>
    <r>
      <rPr>
        <strike/>
        <sz val="11"/>
        <rFont val="游ゴシック Medium"/>
        <family val="3"/>
        <charset val="128"/>
      </rPr>
      <t>矢島文夫</t>
    </r>
    <rPh sb="0" eb="2">
      <t>ヤジマ</t>
    </rPh>
    <rPh sb="2" eb="4">
      <t>フミオ</t>
    </rPh>
    <phoneticPr fontId="1"/>
  </si>
  <si>
    <r>
      <rPr>
        <strike/>
        <sz val="11"/>
        <rFont val="游ゴシック Medium"/>
        <family val="3"/>
        <charset val="128"/>
      </rPr>
      <t>ギルガメシュ叙事詩</t>
    </r>
    <r>
      <rPr>
        <strike/>
        <sz val="11"/>
        <rFont val="Consolas"/>
        <family val="3"/>
      </rPr>
      <t>/</t>
    </r>
    <r>
      <rPr>
        <strike/>
        <sz val="11"/>
        <rFont val="游ゴシック Medium"/>
        <family val="3"/>
        <charset val="128"/>
      </rPr>
      <t>原典訳</t>
    </r>
    <rPh sb="6" eb="9">
      <t>ジョジシ</t>
    </rPh>
    <rPh sb="10" eb="12">
      <t>ゲンテン</t>
    </rPh>
    <rPh sb="12" eb="13">
      <t>ヤク</t>
    </rPh>
    <phoneticPr fontId="1"/>
  </si>
  <si>
    <r>
      <rPr>
        <strike/>
        <sz val="11"/>
        <rFont val="游ゴシック Medium"/>
        <family val="3"/>
        <charset val="128"/>
      </rPr>
      <t>山本書店</t>
    </r>
    <rPh sb="0" eb="2">
      <t>ヤマモト</t>
    </rPh>
    <rPh sb="2" eb="4">
      <t>ショテン</t>
    </rPh>
    <phoneticPr fontId="1"/>
  </si>
  <si>
    <r>
      <t>Parco</t>
    </r>
    <r>
      <rPr>
        <strike/>
        <sz val="11"/>
        <rFont val="游ゴシック Medium"/>
        <family val="3"/>
        <charset val="128"/>
      </rPr>
      <t>池袋古本市</t>
    </r>
    <rPh sb="0" eb="5">
      <t>パルコ</t>
    </rPh>
    <rPh sb="5" eb="7">
      <t>イケブクロ</t>
    </rPh>
    <rPh sb="7" eb="9">
      <t>フルホン</t>
    </rPh>
    <rPh sb="9" eb="10">
      <t>イチ</t>
    </rPh>
    <phoneticPr fontId="1"/>
  </si>
  <si>
    <r>
      <rPr>
        <strike/>
        <sz val="11"/>
        <rFont val="游ゴシック Medium"/>
        <family val="3"/>
        <charset val="128"/>
      </rPr>
      <t>よみた屋</t>
    </r>
    <r>
      <rPr>
        <strike/>
        <sz val="11"/>
        <rFont val="Consolas"/>
        <family val="3"/>
      </rPr>
      <t>/Holyday/</t>
    </r>
    <r>
      <rPr>
        <strike/>
        <sz val="11"/>
        <rFont val="游ゴシック Medium"/>
        <family val="3"/>
        <charset val="128"/>
      </rPr>
      <t>神山姫余に贈与</t>
    </r>
    <rPh sb="3" eb="4">
      <t>ヤ</t>
    </rPh>
    <rPh sb="13" eb="15">
      <t>カミヤマ</t>
    </rPh>
    <rPh sb="15" eb="17">
      <t>ヒメヨ</t>
    </rPh>
    <rPh sb="18" eb="20">
      <t>ゾウヨ</t>
    </rPh>
    <phoneticPr fontId="1"/>
  </si>
  <si>
    <r>
      <rPr>
        <sz val="11"/>
        <rFont val="游ゴシック Medium"/>
        <family val="3"/>
        <charset val="128"/>
      </rPr>
      <t>絵本</t>
    </r>
    <rPh sb="0" eb="2">
      <t>エホン</t>
    </rPh>
    <phoneticPr fontId="1"/>
  </si>
  <si>
    <r>
      <t xml:space="preserve">Bastille </t>
    </r>
    <r>
      <rPr>
        <sz val="11"/>
        <rFont val="游ゴシック Medium"/>
        <family val="3"/>
        <charset val="128"/>
      </rPr>
      <t>の古本屋</t>
    </r>
    <rPh sb="0" eb="8">
      <t>バスティーユ</t>
    </rPh>
    <rPh sb="10" eb="13">
      <t>フルホンヤ</t>
    </rPh>
    <phoneticPr fontId="1"/>
  </si>
  <si>
    <r>
      <t>N</t>
    </r>
    <r>
      <rPr>
        <sz val="11"/>
        <rFont val="游ゴシック Medium"/>
        <family val="3"/>
        <charset val="128"/>
      </rPr>
      <t>ﾟ</t>
    </r>
    <r>
      <rPr>
        <sz val="11"/>
        <rFont val="Consolas"/>
        <family val="3"/>
      </rPr>
      <t xml:space="preserve"> 260</t>
    </r>
    <phoneticPr fontId="1"/>
  </si>
  <si>
    <r>
      <t>2002/07</t>
    </r>
    <r>
      <rPr>
        <sz val="11"/>
        <rFont val="游ゴシック Medium"/>
        <family val="3"/>
        <charset val="128"/>
      </rPr>
      <t>上旬</t>
    </r>
    <rPh sb="7" eb="9">
      <t>ジョウジュン</t>
    </rPh>
    <phoneticPr fontId="1"/>
  </si>
  <si>
    <r>
      <t xml:space="preserve">Venaley-Les Laumes </t>
    </r>
    <r>
      <rPr>
        <sz val="11"/>
        <rFont val="游ゴシック Medium"/>
        <family val="3"/>
        <charset val="128"/>
      </rPr>
      <t>の</t>
    </r>
    <r>
      <rPr>
        <sz val="11"/>
        <rFont val="Consolas"/>
        <family val="3"/>
      </rPr>
      <t xml:space="preserve"> Super U</t>
    </r>
    <phoneticPr fontId="1"/>
  </si>
  <si>
    <r>
      <rPr>
        <strike/>
        <sz val="11"/>
        <rFont val="游ゴシック Medium"/>
        <family val="3"/>
        <charset val="128"/>
      </rPr>
      <t>絵本</t>
    </r>
    <rPh sb="0" eb="2">
      <t>エホン</t>
    </rPh>
    <phoneticPr fontId="1"/>
  </si>
  <si>
    <r>
      <rPr>
        <strike/>
        <sz val="11"/>
        <rFont val="游ゴシック Medium"/>
        <family val="3"/>
        <charset val="128"/>
      </rPr>
      <t>何か育児</t>
    </r>
    <r>
      <rPr>
        <strike/>
        <sz val="11"/>
        <rFont val="Consolas"/>
        <family val="3"/>
      </rPr>
      <t>album</t>
    </r>
    <rPh sb="0" eb="1">
      <t>ナン</t>
    </rPh>
    <rPh sb="2" eb="4">
      <t>イクジ</t>
    </rPh>
    <rPh sb="4" eb="9">
      <t>アルバム</t>
    </rPh>
    <phoneticPr fontId="1"/>
  </si>
  <si>
    <r>
      <t>2002/07</t>
    </r>
    <r>
      <rPr>
        <strike/>
        <sz val="11"/>
        <rFont val="游ゴシック Medium"/>
        <family val="3"/>
        <charset val="128"/>
      </rPr>
      <t>上旬</t>
    </r>
    <rPh sb="7" eb="9">
      <t>ジョウジュン</t>
    </rPh>
    <phoneticPr fontId="1"/>
  </si>
  <si>
    <r>
      <t xml:space="preserve">Venaley-Les Laumes </t>
    </r>
    <r>
      <rPr>
        <strike/>
        <sz val="11"/>
        <rFont val="游ゴシック Medium"/>
        <family val="3"/>
        <charset val="128"/>
      </rPr>
      <t>の</t>
    </r>
    <r>
      <rPr>
        <strike/>
        <sz val="11"/>
        <rFont val="Consolas"/>
        <family val="3"/>
      </rPr>
      <t xml:space="preserve"> Super U</t>
    </r>
    <phoneticPr fontId="1"/>
  </si>
  <si>
    <r>
      <rPr>
        <strike/>
        <sz val="11"/>
        <rFont val="游ゴシック Medium"/>
        <family val="3"/>
        <charset val="128"/>
      </rPr>
      <t>新しく生まれた子のために千香ちゃんにお土産</t>
    </r>
    <rPh sb="0" eb="1">
      <t>アタラ</t>
    </rPh>
    <rPh sb="3" eb="4">
      <t>ウ</t>
    </rPh>
    <rPh sb="7" eb="8">
      <t>コ</t>
    </rPh>
    <rPh sb="12" eb="14">
      <t>チカ</t>
    </rPh>
    <rPh sb="19" eb="21">
      <t>ミヤゲ</t>
    </rPh>
    <phoneticPr fontId="1"/>
  </si>
  <si>
    <r>
      <rPr>
        <sz val="11"/>
        <rFont val="游ゴシック Medium"/>
        <family val="3"/>
        <charset val="128"/>
      </rPr>
      <t>メモ帳</t>
    </r>
    <rPh sb="2" eb="3">
      <t>チョウ</t>
    </rPh>
    <phoneticPr fontId="1"/>
  </si>
  <si>
    <r>
      <t>EHON HOUSE</t>
    </r>
    <r>
      <rPr>
        <sz val="11"/>
        <rFont val="游ゴシック Medium"/>
        <family val="3"/>
        <charset val="128"/>
      </rPr>
      <t>絵本の家</t>
    </r>
    <r>
      <rPr>
        <sz val="11"/>
        <rFont val="Consolas"/>
        <family val="3"/>
      </rPr>
      <t>_</t>
    </r>
    <r>
      <rPr>
        <sz val="11"/>
        <rFont val="游ゴシック Medium"/>
        <family val="3"/>
        <charset val="128"/>
      </rPr>
      <t>目白</t>
    </r>
    <rPh sb="10" eb="12">
      <t>エホン</t>
    </rPh>
    <rPh sb="13" eb="14">
      <t>イエ</t>
    </rPh>
    <rPh sb="15" eb="17">
      <t>メジロ</t>
    </rPh>
    <phoneticPr fontId="1"/>
  </si>
  <si>
    <r>
      <rPr>
        <sz val="11"/>
        <rFont val="游ゴシック Medium"/>
        <family val="3"/>
        <charset val="128"/>
      </rPr>
      <t>著</t>
    </r>
    <r>
      <rPr>
        <sz val="11"/>
        <rFont val="Consolas"/>
        <family val="3"/>
      </rPr>
      <t/>
    </r>
    <phoneticPr fontId="1"/>
  </si>
  <si>
    <r>
      <t>Wee Sing (</t>
    </r>
    <r>
      <rPr>
        <sz val="11"/>
        <rFont val="游ゴシック Medium"/>
        <family val="3"/>
        <charset val="128"/>
      </rPr>
      <t>ペーパーバック</t>
    </r>
    <r>
      <rPr>
        <sz val="11"/>
        <rFont val="Consolas"/>
        <family val="3"/>
      </rPr>
      <t>)</t>
    </r>
    <phoneticPr fontId="1"/>
  </si>
  <si>
    <r>
      <t>Price Stern Sloan (a); Pap/Com</t>
    </r>
    <r>
      <rPr>
        <sz val="11"/>
        <rFont val="游ゴシック Medium"/>
        <family val="3"/>
        <charset val="128"/>
      </rPr>
      <t>版</t>
    </r>
    <phoneticPr fontId="1"/>
  </si>
  <si>
    <r>
      <t>The Gashlycrumb Tinies</t>
    </r>
    <r>
      <rPr>
        <sz val="8"/>
        <rFont val="Consolas"/>
        <family val="3"/>
      </rPr>
      <t xml:space="preserve"> or, after the Outing</t>
    </r>
    <r>
      <rPr>
        <sz val="11"/>
        <rFont val="Consolas"/>
        <family val="3"/>
      </rPr>
      <t>/</t>
    </r>
    <r>
      <rPr>
        <sz val="11"/>
        <rFont val="游ゴシック Medium"/>
        <family val="3"/>
        <charset val="128"/>
      </rPr>
      <t>ギャシュリークラムのちびっ子たち</t>
    </r>
    <r>
      <rPr>
        <sz val="8"/>
        <rFont val="Consolas"/>
        <family val="3"/>
      </rPr>
      <t xml:space="preserve"> </t>
    </r>
    <r>
      <rPr>
        <sz val="8"/>
        <rFont val="游ゴシック Medium"/>
        <family val="3"/>
        <charset val="128"/>
      </rPr>
      <t>または</t>
    </r>
    <r>
      <rPr>
        <sz val="8"/>
        <rFont val="Consolas"/>
        <family val="3"/>
      </rPr>
      <t xml:space="preserve"> </t>
    </r>
    <r>
      <rPr>
        <sz val="8"/>
        <rFont val="游ゴシック Medium"/>
        <family val="3"/>
        <charset val="128"/>
      </rPr>
      <t>遠出のあとで</t>
    </r>
    <rPh sb="57" eb="58">
      <t>コ</t>
    </rPh>
    <rPh sb="65" eb="67">
      <t>トオデ</t>
    </rPh>
    <phoneticPr fontId="1"/>
  </si>
  <si>
    <r>
      <rPr>
        <sz val="11"/>
        <rFont val="游ゴシック Medium"/>
        <family val="3"/>
        <charset val="128"/>
      </rPr>
      <t>河出書房新社</t>
    </r>
    <rPh sb="0" eb="2">
      <t>カワデ</t>
    </rPh>
    <rPh sb="2" eb="4">
      <t>ショボウ</t>
    </rPh>
    <rPh sb="4" eb="6">
      <t>シンシャ</t>
    </rPh>
    <phoneticPr fontId="1"/>
  </si>
  <si>
    <r>
      <t>The Doubtful Guest/</t>
    </r>
    <r>
      <rPr>
        <sz val="11"/>
        <rFont val="游ゴシック Medium"/>
        <family val="3"/>
        <charset val="128"/>
      </rPr>
      <t>うろんな客</t>
    </r>
    <rPh sb="23" eb="24">
      <t>キャク</t>
    </rPh>
    <phoneticPr fontId="1"/>
  </si>
  <si>
    <r>
      <t>racheal_book</t>
    </r>
    <r>
      <rPr>
        <sz val="11"/>
        <rFont val="游ゴシック Medium"/>
        <family val="3"/>
        <charset val="128"/>
      </rPr>
      <t>こと、坂本理恵</t>
    </r>
    <rPh sb="15" eb="17">
      <t>サカモト</t>
    </rPh>
    <rPh sb="17" eb="19">
      <t>リエ</t>
    </rPh>
    <phoneticPr fontId="1"/>
  </si>
  <si>
    <r>
      <rPr>
        <sz val="11"/>
        <rFont val="游ゴシック Medium"/>
        <family val="3"/>
        <charset val="128"/>
      </rPr>
      <t>キラ本こと、木村</t>
    </r>
    <r>
      <rPr>
        <sz val="11"/>
        <rFont val="Consolas"/>
        <family val="3"/>
      </rPr>
      <t xml:space="preserve"> </t>
    </r>
    <r>
      <rPr>
        <sz val="11"/>
        <rFont val="游ゴシック Medium"/>
        <family val="3"/>
        <charset val="128"/>
      </rPr>
      <t>弥</t>
    </r>
    <rPh sb="2" eb="3">
      <t>ボン</t>
    </rPh>
    <rPh sb="6" eb="8">
      <t>キムラ</t>
    </rPh>
    <rPh sb="9" eb="10">
      <t>ワタル</t>
    </rPh>
    <phoneticPr fontId="1"/>
  </si>
  <si>
    <r>
      <t>The Hapless Child/</t>
    </r>
    <r>
      <rPr>
        <sz val="11"/>
        <rFont val="游ゴシック Medium"/>
        <family val="3"/>
        <charset val="128"/>
      </rPr>
      <t>不幸な子供</t>
    </r>
    <rPh sb="18" eb="20">
      <t>フコウ</t>
    </rPh>
    <rPh sb="21" eb="23">
      <t>コドモ</t>
    </rPh>
    <phoneticPr fontId="1"/>
  </si>
  <si>
    <r>
      <rPr>
        <sz val="11"/>
        <rFont val="游ゴシック Medium"/>
        <family val="3"/>
        <charset val="128"/>
      </rPr>
      <t>メカラウロコ堂こと、祖父江みゆき</t>
    </r>
    <rPh sb="6" eb="7">
      <t>ドウ</t>
    </rPh>
    <rPh sb="10" eb="13">
      <t>ソフエ</t>
    </rPh>
    <phoneticPr fontId="1"/>
  </si>
  <si>
    <r>
      <rPr>
        <sz val="11"/>
        <rFont val="游ゴシック Medium"/>
        <family val="3"/>
        <charset val="128"/>
      </rPr>
      <t>内田莉莎子</t>
    </r>
    <rPh sb="0" eb="2">
      <t>ウチダ</t>
    </rPh>
    <rPh sb="2" eb="5">
      <t>リサコ</t>
    </rPh>
    <phoneticPr fontId="1"/>
  </si>
  <si>
    <r>
      <rPr>
        <sz val="11"/>
        <rFont val="游ゴシック Medium"/>
        <family val="3"/>
        <charset val="128"/>
      </rPr>
      <t>ウクライナの昔話</t>
    </r>
    <r>
      <rPr>
        <sz val="11"/>
        <rFont val="Consolas"/>
        <family val="3"/>
      </rPr>
      <t xml:space="preserve"> </t>
    </r>
    <r>
      <rPr>
        <sz val="11"/>
        <rFont val="游ゴシック Medium"/>
        <family val="3"/>
        <charset val="128"/>
      </rPr>
      <t>セルコ</t>
    </r>
    <r>
      <rPr>
        <sz val="11"/>
        <rFont val="Consolas"/>
        <family val="3"/>
      </rPr>
      <t>/SERUKO - a Ukrainian Folk-tale</t>
    </r>
    <rPh sb="6" eb="8">
      <t>ムカシバナシ</t>
    </rPh>
    <phoneticPr fontId="1"/>
  </si>
  <si>
    <r>
      <rPr>
        <sz val="11"/>
        <rFont val="游ゴシック Medium"/>
        <family val="3"/>
        <charset val="128"/>
      </rPr>
      <t>福音館書店</t>
    </r>
    <rPh sb="0" eb="2">
      <t>フクイン</t>
    </rPh>
    <rPh sb="2" eb="3">
      <t>カン</t>
    </rPh>
    <rPh sb="3" eb="5">
      <t>ショテン</t>
    </rPh>
    <phoneticPr fontId="1"/>
  </si>
  <si>
    <r>
      <t>$1.29</t>
    </r>
    <r>
      <rPr>
        <strike/>
        <sz val="11"/>
        <rFont val="游ゴシック Medium"/>
        <family val="3"/>
        <charset val="128"/>
      </rPr>
      <t>の絵本（</t>
    </r>
    <r>
      <rPr>
        <strike/>
        <sz val="11"/>
        <rFont val="Consolas"/>
        <family val="3"/>
      </rPr>
      <t>a Little Golden Book</t>
    </r>
    <r>
      <rPr>
        <strike/>
        <sz val="11"/>
        <rFont val="游ゴシック Medium"/>
        <family val="3"/>
        <charset val="128"/>
      </rPr>
      <t>）</t>
    </r>
    <r>
      <rPr>
        <strike/>
        <sz val="11"/>
        <rFont val="Consolas"/>
        <family val="3"/>
      </rPr>
      <t>3</t>
    </r>
    <r>
      <rPr>
        <strike/>
        <sz val="11"/>
        <rFont val="游ゴシック Medium"/>
        <family val="3"/>
        <charset val="128"/>
      </rPr>
      <t>冊</t>
    </r>
    <rPh sb="6" eb="8">
      <t>エホン</t>
    </rPh>
    <phoneticPr fontId="1"/>
  </si>
  <si>
    <r>
      <rPr>
        <sz val="11"/>
        <rFont val="游ゴシック Medium"/>
        <family val="3"/>
        <charset val="128"/>
      </rPr>
      <t>戸田幸四郎</t>
    </r>
    <rPh sb="0" eb="2">
      <t>トダ</t>
    </rPh>
    <rPh sb="2" eb="5">
      <t>コウシロウ</t>
    </rPh>
    <phoneticPr fontId="1"/>
  </si>
  <si>
    <r>
      <rPr>
        <sz val="11"/>
        <rFont val="游ゴシック Medium"/>
        <family val="3"/>
        <charset val="128"/>
      </rPr>
      <t>リングカード・あいうえお</t>
    </r>
    <phoneticPr fontId="1"/>
  </si>
  <si>
    <r>
      <rPr>
        <sz val="11"/>
        <rFont val="游ゴシック Medium"/>
        <family val="3"/>
        <charset val="128"/>
      </rPr>
      <t>戸田デザイン研究所</t>
    </r>
    <rPh sb="0" eb="2">
      <t>トダ</t>
    </rPh>
    <rPh sb="6" eb="9">
      <t>ケンキュウジョ</t>
    </rPh>
    <phoneticPr fontId="1"/>
  </si>
  <si>
    <r>
      <rPr>
        <sz val="11"/>
        <rFont val="游ゴシック Medium"/>
        <family val="3"/>
        <charset val="128"/>
      </rPr>
      <t>東武池袋</t>
    </r>
    <rPh sb="0" eb="2">
      <t>トウブ</t>
    </rPh>
    <rPh sb="2" eb="4">
      <t>イケブクロ</t>
    </rPh>
    <phoneticPr fontId="1"/>
  </si>
  <si>
    <r>
      <rPr>
        <sz val="11"/>
        <rFont val="游ゴシック Medium"/>
        <family val="3"/>
        <charset val="128"/>
      </rPr>
      <t>ミルク</t>
    </r>
    <r>
      <rPr>
        <sz val="11"/>
        <rFont val="Consolas"/>
        <family val="3"/>
      </rPr>
      <t>/milk+sakai</t>
    </r>
    <rPh sb="4" eb="8">
      <t>ミルク</t>
    </rPh>
    <rPh sb="9" eb="14">
      <t>サカイ</t>
    </rPh>
    <phoneticPr fontId="1"/>
  </si>
  <si>
    <r>
      <rPr>
        <sz val="11"/>
        <rFont val="游ゴシック Medium"/>
        <family val="3"/>
        <charset val="128"/>
      </rPr>
      <t>さく･え</t>
    </r>
    <r>
      <rPr>
        <sz val="11"/>
        <rFont val="Consolas"/>
        <family val="3"/>
      </rPr>
      <t>/copyrighted</t>
    </r>
    <phoneticPr fontId="1"/>
  </si>
  <si>
    <r>
      <rPr>
        <sz val="8"/>
        <rFont val="游ゴシック Medium"/>
        <family val="3"/>
        <charset val="128"/>
      </rPr>
      <t>はじめまして</t>
    </r>
    <r>
      <rPr>
        <sz val="8"/>
        <rFont val="Consolas"/>
        <family val="3"/>
      </rPr>
      <t xml:space="preserve">! </t>
    </r>
    <r>
      <rPr>
        <sz val="11"/>
        <rFont val="游ゴシック Medium"/>
        <family val="3"/>
        <charset val="128"/>
      </rPr>
      <t>いちごちゃん</t>
    </r>
    <r>
      <rPr>
        <sz val="11"/>
        <rFont val="Consolas"/>
        <family val="3"/>
      </rPr>
      <t>/Hello! Ichigo-chan</t>
    </r>
    <rPh sb="22" eb="33">
      <t>イチゴチャン</t>
    </rPh>
    <phoneticPr fontId="1"/>
  </si>
  <si>
    <r>
      <rPr>
        <sz val="8"/>
        <rFont val="游ゴシック Medium"/>
        <family val="3"/>
        <charset val="128"/>
      </rPr>
      <t>がんばれ</t>
    </r>
    <r>
      <rPr>
        <sz val="8"/>
        <rFont val="Consolas"/>
        <family val="3"/>
      </rPr>
      <t xml:space="preserve">! </t>
    </r>
    <r>
      <rPr>
        <sz val="11"/>
        <rFont val="游ゴシック Medium"/>
        <family val="3"/>
        <charset val="128"/>
      </rPr>
      <t>コプタくん</t>
    </r>
    <r>
      <rPr>
        <sz val="11"/>
        <rFont val="Consolas"/>
        <family val="3"/>
      </rPr>
      <t>/Hurray! Copter-kun</t>
    </r>
    <rPh sb="20" eb="30">
      <t>コプタクン</t>
    </rPh>
    <phoneticPr fontId="1"/>
  </si>
  <si>
    <r>
      <rPr>
        <sz val="11"/>
        <rFont val="游ゴシック Medium"/>
        <family val="3"/>
        <charset val="128"/>
      </rPr>
      <t>こわせ</t>
    </r>
    <r>
      <rPr>
        <sz val="11"/>
        <rFont val="Consolas"/>
        <family val="3"/>
      </rPr>
      <t xml:space="preserve"> </t>
    </r>
    <r>
      <rPr>
        <sz val="11"/>
        <rFont val="游ゴシック Medium"/>
        <family val="3"/>
        <charset val="128"/>
      </rPr>
      <t>たまみ</t>
    </r>
    <r>
      <rPr>
        <sz val="11"/>
        <rFont val="Consolas"/>
        <family val="3"/>
      </rPr>
      <t>/</t>
    </r>
    <r>
      <rPr>
        <sz val="11"/>
        <rFont val="游ゴシック Medium"/>
        <family val="3"/>
        <charset val="128"/>
      </rPr>
      <t>太田次郎</t>
    </r>
    <rPh sb="8" eb="10">
      <t>オオタ</t>
    </rPh>
    <rPh sb="10" eb="12">
      <t>ジロウ</t>
    </rPh>
    <phoneticPr fontId="1"/>
  </si>
  <si>
    <r>
      <rPr>
        <sz val="11"/>
        <rFont val="游ゴシック Medium"/>
        <family val="3"/>
        <charset val="128"/>
      </rPr>
      <t>構成･文</t>
    </r>
    <r>
      <rPr>
        <sz val="11"/>
        <rFont val="Consolas"/>
        <family val="3"/>
      </rPr>
      <t>/</t>
    </r>
    <r>
      <rPr>
        <sz val="11"/>
        <rFont val="游ゴシック Medium"/>
        <family val="3"/>
        <charset val="128"/>
      </rPr>
      <t>お茶の水女子大学教授</t>
    </r>
    <r>
      <rPr>
        <sz val="11"/>
        <rFont val="Consolas"/>
        <family val="3"/>
      </rPr>
      <t>:</t>
    </r>
    <r>
      <rPr>
        <sz val="11"/>
        <rFont val="游ゴシック Medium"/>
        <family val="3"/>
        <charset val="128"/>
      </rPr>
      <t>監修</t>
    </r>
    <rPh sb="0" eb="2">
      <t>コウセイ</t>
    </rPh>
    <rPh sb="3" eb="4">
      <t>ブン</t>
    </rPh>
    <rPh sb="6" eb="7">
      <t>チャ</t>
    </rPh>
    <rPh sb="8" eb="9">
      <t>ミズ</t>
    </rPh>
    <rPh sb="9" eb="11">
      <t>ジョシ</t>
    </rPh>
    <rPh sb="11" eb="13">
      <t>ダイガク</t>
    </rPh>
    <rPh sb="13" eb="15">
      <t>キョウジュ</t>
    </rPh>
    <rPh sb="16" eb="18">
      <t>カンシュウ</t>
    </rPh>
    <phoneticPr fontId="1"/>
  </si>
  <si>
    <r>
      <rPr>
        <sz val="11"/>
        <rFont val="游ゴシック Medium"/>
        <family val="3"/>
        <charset val="128"/>
      </rPr>
      <t>堀</t>
    </r>
    <r>
      <rPr>
        <sz val="11"/>
        <rFont val="Consolas"/>
        <family val="3"/>
      </rPr>
      <t xml:space="preserve"> </t>
    </r>
    <r>
      <rPr>
        <sz val="11"/>
        <rFont val="游ゴシック Medium"/>
        <family val="3"/>
        <charset val="128"/>
      </rPr>
      <t>浩</t>
    </r>
    <rPh sb="0" eb="1">
      <t>ホリ</t>
    </rPh>
    <rPh sb="2" eb="3">
      <t>ヒロシ</t>
    </rPh>
    <phoneticPr fontId="1"/>
  </si>
  <si>
    <r>
      <rPr>
        <sz val="11"/>
        <rFont val="游ゴシック Medium"/>
        <family val="3"/>
        <charset val="128"/>
      </rPr>
      <t>横浜市野毛山動物園</t>
    </r>
    <r>
      <rPr>
        <sz val="11"/>
        <rFont val="Consolas"/>
        <family val="3"/>
      </rPr>
      <t>:</t>
    </r>
    <r>
      <rPr>
        <sz val="11"/>
        <rFont val="游ゴシック Medium"/>
        <family val="3"/>
        <charset val="128"/>
      </rPr>
      <t>指導</t>
    </r>
    <rPh sb="0" eb="3">
      <t>ヨコハマシ</t>
    </rPh>
    <rPh sb="3" eb="5">
      <t>ノゲ</t>
    </rPh>
    <rPh sb="5" eb="6">
      <t>ヤマ</t>
    </rPh>
    <rPh sb="6" eb="9">
      <t>ドウブツエン</t>
    </rPh>
    <rPh sb="10" eb="12">
      <t>シドウ</t>
    </rPh>
    <phoneticPr fontId="1"/>
  </si>
  <si>
    <r>
      <rPr>
        <sz val="11"/>
        <rFont val="游ゴシック Medium"/>
        <family val="3"/>
        <charset val="128"/>
      </rPr>
      <t>きたきつねの　こどもたち</t>
    </r>
    <phoneticPr fontId="1"/>
  </si>
  <si>
    <r>
      <rPr>
        <sz val="11"/>
        <rFont val="游ゴシック Medium"/>
        <family val="3"/>
        <charset val="128"/>
      </rPr>
      <t>チャイルド科学絵本館</t>
    </r>
    <r>
      <rPr>
        <sz val="11"/>
        <rFont val="Consolas"/>
        <family val="3"/>
      </rPr>
      <t>/</t>
    </r>
    <r>
      <rPr>
        <sz val="11"/>
        <rFont val="游ゴシック Medium"/>
        <family val="3"/>
        <charset val="128"/>
      </rPr>
      <t>どうぶつのせかい①</t>
    </r>
    <rPh sb="5" eb="7">
      <t>カガク</t>
    </rPh>
    <rPh sb="7" eb="8">
      <t>エ</t>
    </rPh>
    <rPh sb="8" eb="10">
      <t>ホンカン</t>
    </rPh>
    <phoneticPr fontId="1"/>
  </si>
  <si>
    <r>
      <rPr>
        <sz val="11"/>
        <rFont val="游ゴシック Medium"/>
        <family val="3"/>
        <charset val="128"/>
      </rPr>
      <t>チャイルド本社</t>
    </r>
    <rPh sb="5" eb="7">
      <t>ホンシャ</t>
    </rPh>
    <phoneticPr fontId="1"/>
  </si>
  <si>
    <r>
      <rPr>
        <sz val="11"/>
        <rFont val="游ゴシック Medium"/>
        <family val="3"/>
        <charset val="128"/>
      </rPr>
      <t>えものを　たおす　らいおん</t>
    </r>
    <phoneticPr fontId="1"/>
  </si>
  <si>
    <r>
      <rPr>
        <sz val="11"/>
        <rFont val="游ゴシック Medium"/>
        <family val="3"/>
        <charset val="128"/>
      </rPr>
      <t>チャイルド科学絵本館</t>
    </r>
    <r>
      <rPr>
        <sz val="11"/>
        <rFont val="Consolas"/>
        <family val="3"/>
      </rPr>
      <t>/</t>
    </r>
    <r>
      <rPr>
        <sz val="11"/>
        <rFont val="游ゴシック Medium"/>
        <family val="3"/>
        <charset val="128"/>
      </rPr>
      <t>どうぶつのせかい②</t>
    </r>
    <rPh sb="5" eb="7">
      <t>カガク</t>
    </rPh>
    <rPh sb="7" eb="8">
      <t>エ</t>
    </rPh>
    <rPh sb="8" eb="10">
      <t>ホンカン</t>
    </rPh>
    <phoneticPr fontId="1"/>
  </si>
  <si>
    <r>
      <rPr>
        <sz val="11"/>
        <rFont val="游ゴシック Medium"/>
        <family val="3"/>
        <charset val="128"/>
      </rPr>
      <t>松井</t>
    </r>
    <r>
      <rPr>
        <sz val="11"/>
        <rFont val="Consolas"/>
        <family val="3"/>
      </rPr>
      <t xml:space="preserve"> </t>
    </r>
    <r>
      <rPr>
        <sz val="11"/>
        <rFont val="游ゴシック Medium"/>
        <family val="3"/>
        <charset val="128"/>
      </rPr>
      <t>孝爾</t>
    </r>
    <rPh sb="0" eb="2">
      <t>マツイ</t>
    </rPh>
    <rPh sb="3" eb="5">
      <t>コウジ</t>
    </rPh>
    <phoneticPr fontId="1"/>
  </si>
  <si>
    <r>
      <rPr>
        <sz val="11"/>
        <rFont val="游ゴシック Medium"/>
        <family val="3"/>
        <charset val="128"/>
      </rPr>
      <t>日本両棲爬虫類研究所</t>
    </r>
    <r>
      <rPr>
        <sz val="11"/>
        <rFont val="Consolas"/>
        <family val="3"/>
      </rPr>
      <t>:</t>
    </r>
    <r>
      <rPr>
        <sz val="11"/>
        <rFont val="游ゴシック Medium"/>
        <family val="3"/>
        <charset val="128"/>
      </rPr>
      <t>指導</t>
    </r>
    <rPh sb="0" eb="2">
      <t>ニホン</t>
    </rPh>
    <rPh sb="2" eb="4">
      <t>リョウセイ</t>
    </rPh>
    <rPh sb="4" eb="7">
      <t>ハチュウルイ</t>
    </rPh>
    <rPh sb="7" eb="10">
      <t>ケンキュウショ</t>
    </rPh>
    <rPh sb="11" eb="13">
      <t>シドウ</t>
    </rPh>
    <phoneticPr fontId="1"/>
  </si>
  <si>
    <r>
      <rPr>
        <sz val="11"/>
        <rFont val="游ゴシック Medium"/>
        <family val="3"/>
        <charset val="128"/>
      </rPr>
      <t>あまがえるの　くらし</t>
    </r>
    <phoneticPr fontId="1"/>
  </si>
  <si>
    <r>
      <rPr>
        <sz val="11"/>
        <rFont val="游ゴシック Medium"/>
        <family val="3"/>
        <charset val="128"/>
      </rPr>
      <t>チャイルド科学絵本館</t>
    </r>
    <r>
      <rPr>
        <sz val="11"/>
        <rFont val="Consolas"/>
        <family val="3"/>
      </rPr>
      <t>/</t>
    </r>
    <r>
      <rPr>
        <sz val="11"/>
        <rFont val="游ゴシック Medium"/>
        <family val="3"/>
        <charset val="128"/>
      </rPr>
      <t>どうぶつのせかい③</t>
    </r>
    <rPh sb="5" eb="7">
      <t>カガク</t>
    </rPh>
    <rPh sb="7" eb="8">
      <t>エ</t>
    </rPh>
    <rPh sb="8" eb="10">
      <t>ホンカン</t>
    </rPh>
    <phoneticPr fontId="1"/>
  </si>
  <si>
    <r>
      <rPr>
        <sz val="11"/>
        <rFont val="游ゴシック Medium"/>
        <family val="3"/>
        <charset val="128"/>
      </rPr>
      <t>岸田</t>
    </r>
    <r>
      <rPr>
        <sz val="11"/>
        <rFont val="Consolas"/>
        <family val="3"/>
      </rPr>
      <t xml:space="preserve"> </t>
    </r>
    <r>
      <rPr>
        <sz val="11"/>
        <rFont val="游ゴシック Medium"/>
        <family val="3"/>
        <charset val="128"/>
      </rPr>
      <t>功</t>
    </r>
    <rPh sb="0" eb="2">
      <t>キシダ</t>
    </rPh>
    <rPh sb="3" eb="4">
      <t>イサオ</t>
    </rPh>
    <phoneticPr fontId="1"/>
  </si>
  <si>
    <r>
      <rPr>
        <sz val="11"/>
        <rFont val="游ゴシック Medium"/>
        <family val="3"/>
        <charset val="128"/>
      </rPr>
      <t>日本昆虫学会会員</t>
    </r>
    <r>
      <rPr>
        <sz val="11"/>
        <rFont val="Consolas"/>
        <family val="3"/>
      </rPr>
      <t>:</t>
    </r>
    <r>
      <rPr>
        <sz val="11"/>
        <rFont val="游ゴシック Medium"/>
        <family val="3"/>
        <charset val="128"/>
      </rPr>
      <t>指導</t>
    </r>
    <rPh sb="0" eb="2">
      <t>ニホン</t>
    </rPh>
    <rPh sb="2" eb="4">
      <t>コンチュウ</t>
    </rPh>
    <rPh sb="4" eb="6">
      <t>ガッカイ</t>
    </rPh>
    <rPh sb="6" eb="8">
      <t>カイイン</t>
    </rPh>
    <rPh sb="9" eb="11">
      <t>シドウ</t>
    </rPh>
    <phoneticPr fontId="1"/>
  </si>
  <si>
    <r>
      <rPr>
        <sz val="11"/>
        <rFont val="游ゴシック Medium"/>
        <family val="3"/>
        <charset val="128"/>
      </rPr>
      <t>あぶらぜみの　くらし</t>
    </r>
    <phoneticPr fontId="1"/>
  </si>
  <si>
    <r>
      <rPr>
        <sz val="11"/>
        <rFont val="游ゴシック Medium"/>
        <family val="3"/>
        <charset val="128"/>
      </rPr>
      <t>チャイルド科学絵本館</t>
    </r>
    <r>
      <rPr>
        <sz val="11"/>
        <rFont val="Consolas"/>
        <family val="3"/>
      </rPr>
      <t>/</t>
    </r>
    <r>
      <rPr>
        <sz val="11"/>
        <rFont val="游ゴシック Medium"/>
        <family val="3"/>
        <charset val="128"/>
      </rPr>
      <t>どうぶつのせかい④</t>
    </r>
    <rPh sb="5" eb="7">
      <t>カガク</t>
    </rPh>
    <rPh sb="7" eb="8">
      <t>エ</t>
    </rPh>
    <rPh sb="8" eb="10">
      <t>ホンカン</t>
    </rPh>
    <phoneticPr fontId="1"/>
  </si>
  <si>
    <r>
      <rPr>
        <sz val="11"/>
        <rFont val="游ゴシック Medium"/>
        <family val="3"/>
        <charset val="128"/>
      </rPr>
      <t>磯部</t>
    </r>
    <r>
      <rPr>
        <sz val="11"/>
        <rFont val="Consolas"/>
        <family val="3"/>
      </rPr>
      <t xml:space="preserve"> </t>
    </r>
    <r>
      <rPr>
        <sz val="11"/>
        <rFont val="游ゴシック Medium"/>
        <family val="3"/>
        <charset val="128"/>
      </rPr>
      <t>吉章</t>
    </r>
    <rPh sb="0" eb="2">
      <t>イソベ</t>
    </rPh>
    <rPh sb="3" eb="5">
      <t>ヨシアキ</t>
    </rPh>
    <phoneticPr fontId="1"/>
  </si>
  <si>
    <r>
      <rPr>
        <sz val="11"/>
        <rFont val="游ゴシック Medium"/>
        <family val="3"/>
        <charset val="128"/>
      </rPr>
      <t>東邦大学理学部講師</t>
    </r>
    <r>
      <rPr>
        <sz val="11"/>
        <rFont val="Consolas"/>
        <family val="3"/>
      </rPr>
      <t>:</t>
    </r>
    <r>
      <rPr>
        <sz val="11"/>
        <rFont val="游ゴシック Medium"/>
        <family val="3"/>
        <charset val="128"/>
      </rPr>
      <t>指導</t>
    </r>
    <rPh sb="0" eb="2">
      <t>トウホウ</t>
    </rPh>
    <rPh sb="2" eb="4">
      <t>ダイガク</t>
    </rPh>
    <rPh sb="4" eb="7">
      <t>リガクブ</t>
    </rPh>
    <rPh sb="7" eb="9">
      <t>コウシ</t>
    </rPh>
    <rPh sb="10" eb="12">
      <t>シドウ</t>
    </rPh>
    <phoneticPr fontId="1"/>
  </si>
  <si>
    <r>
      <rPr>
        <sz val="11"/>
        <rFont val="游ゴシック Medium"/>
        <family val="3"/>
        <charset val="128"/>
      </rPr>
      <t>あかてがにの　あかちゃん</t>
    </r>
    <phoneticPr fontId="1"/>
  </si>
  <si>
    <r>
      <rPr>
        <sz val="11"/>
        <rFont val="游ゴシック Medium"/>
        <family val="3"/>
        <charset val="128"/>
      </rPr>
      <t>チャイルド科学絵本館</t>
    </r>
    <r>
      <rPr>
        <sz val="11"/>
        <rFont val="Consolas"/>
        <family val="3"/>
      </rPr>
      <t>/</t>
    </r>
    <r>
      <rPr>
        <sz val="11"/>
        <rFont val="游ゴシック Medium"/>
        <family val="3"/>
        <charset val="128"/>
      </rPr>
      <t>どうぶつのせかい⑤</t>
    </r>
    <rPh sb="5" eb="7">
      <t>カガク</t>
    </rPh>
    <rPh sb="7" eb="8">
      <t>エ</t>
    </rPh>
    <rPh sb="8" eb="10">
      <t>ホンカン</t>
    </rPh>
    <phoneticPr fontId="1"/>
  </si>
  <si>
    <r>
      <rPr>
        <sz val="11"/>
        <rFont val="游ゴシック Medium"/>
        <family val="3"/>
        <charset val="128"/>
      </rPr>
      <t>カンガルーの　くらし</t>
    </r>
    <phoneticPr fontId="1"/>
  </si>
  <si>
    <r>
      <rPr>
        <sz val="11"/>
        <rFont val="游ゴシック Medium"/>
        <family val="3"/>
        <charset val="128"/>
      </rPr>
      <t>チャイルド科学絵本館</t>
    </r>
    <r>
      <rPr>
        <sz val="11"/>
        <rFont val="Consolas"/>
        <family val="3"/>
      </rPr>
      <t>/</t>
    </r>
    <r>
      <rPr>
        <sz val="11"/>
        <rFont val="游ゴシック Medium"/>
        <family val="3"/>
        <charset val="128"/>
      </rPr>
      <t>どうぶつのせかい⑥</t>
    </r>
    <rPh sb="5" eb="7">
      <t>カガク</t>
    </rPh>
    <rPh sb="7" eb="8">
      <t>エ</t>
    </rPh>
    <rPh sb="8" eb="10">
      <t>ホンカン</t>
    </rPh>
    <phoneticPr fontId="1"/>
  </si>
  <si>
    <r>
      <rPr>
        <sz val="11"/>
        <rFont val="游ゴシック Medium"/>
        <family val="3"/>
        <charset val="128"/>
      </rPr>
      <t>りっぱな　つのの　にほんじか</t>
    </r>
    <phoneticPr fontId="1"/>
  </si>
  <si>
    <r>
      <rPr>
        <sz val="11"/>
        <rFont val="游ゴシック Medium"/>
        <family val="3"/>
        <charset val="128"/>
      </rPr>
      <t>チャイルド科学絵本館</t>
    </r>
    <r>
      <rPr>
        <sz val="11"/>
        <rFont val="Consolas"/>
        <family val="3"/>
      </rPr>
      <t>/</t>
    </r>
    <r>
      <rPr>
        <sz val="11"/>
        <rFont val="游ゴシック Medium"/>
        <family val="3"/>
        <charset val="128"/>
      </rPr>
      <t>どうぶつのせかい⑦</t>
    </r>
    <rPh sb="5" eb="7">
      <t>カガク</t>
    </rPh>
    <rPh sb="7" eb="8">
      <t>エ</t>
    </rPh>
    <rPh sb="8" eb="10">
      <t>ホンカン</t>
    </rPh>
    <phoneticPr fontId="1"/>
  </si>
  <si>
    <r>
      <rPr>
        <sz val="11"/>
        <rFont val="游ゴシック Medium"/>
        <family val="3"/>
        <charset val="128"/>
      </rPr>
      <t>柿澤</t>
    </r>
    <r>
      <rPr>
        <sz val="11"/>
        <rFont val="Consolas"/>
        <family val="3"/>
      </rPr>
      <t xml:space="preserve"> </t>
    </r>
    <r>
      <rPr>
        <sz val="11"/>
        <rFont val="游ゴシック Medium"/>
        <family val="3"/>
        <charset val="128"/>
      </rPr>
      <t>亮三</t>
    </r>
    <rPh sb="0" eb="2">
      <t>カキザワ</t>
    </rPh>
    <rPh sb="3" eb="5">
      <t>リョウゾウ</t>
    </rPh>
    <phoneticPr fontId="1"/>
  </si>
  <si>
    <r>
      <rPr>
        <sz val="11"/>
        <rFont val="游ゴシック Medium"/>
        <family val="3"/>
        <charset val="128"/>
      </rPr>
      <t>山階鳥類研究所研究員</t>
    </r>
    <r>
      <rPr>
        <sz val="11"/>
        <rFont val="Consolas"/>
        <family val="3"/>
      </rPr>
      <t>:</t>
    </r>
    <r>
      <rPr>
        <sz val="11"/>
        <rFont val="游ゴシック Medium"/>
        <family val="3"/>
        <charset val="128"/>
      </rPr>
      <t>指導</t>
    </r>
    <rPh sb="0" eb="2">
      <t>ヤマシナ</t>
    </rPh>
    <rPh sb="2" eb="4">
      <t>チョウルイ</t>
    </rPh>
    <rPh sb="4" eb="7">
      <t>ケンキュウショ</t>
    </rPh>
    <rPh sb="7" eb="10">
      <t>ケンキュウイン</t>
    </rPh>
    <rPh sb="11" eb="13">
      <t>シドウ</t>
    </rPh>
    <phoneticPr fontId="1"/>
  </si>
  <si>
    <r>
      <rPr>
        <sz val="11"/>
        <rFont val="游ゴシック Medium"/>
        <family val="3"/>
        <charset val="128"/>
      </rPr>
      <t>わたりどり　はくちょう</t>
    </r>
    <phoneticPr fontId="1"/>
  </si>
  <si>
    <r>
      <rPr>
        <sz val="11"/>
        <rFont val="游ゴシック Medium"/>
        <family val="3"/>
        <charset val="128"/>
      </rPr>
      <t>チャイルド科学絵本館</t>
    </r>
    <r>
      <rPr>
        <sz val="11"/>
        <rFont val="Consolas"/>
        <family val="3"/>
      </rPr>
      <t>/</t>
    </r>
    <r>
      <rPr>
        <sz val="11"/>
        <rFont val="游ゴシック Medium"/>
        <family val="3"/>
        <charset val="128"/>
      </rPr>
      <t>どうぶつのせかい⑧</t>
    </r>
    <rPh sb="5" eb="7">
      <t>カガク</t>
    </rPh>
    <rPh sb="7" eb="8">
      <t>エ</t>
    </rPh>
    <rPh sb="8" eb="10">
      <t>ホンカン</t>
    </rPh>
    <phoneticPr fontId="1"/>
  </si>
  <si>
    <r>
      <rPr>
        <sz val="11"/>
        <rFont val="游ゴシック Medium"/>
        <family val="3"/>
        <charset val="128"/>
      </rPr>
      <t>さけを　とる　アラスカひぐま</t>
    </r>
    <phoneticPr fontId="1"/>
  </si>
  <si>
    <r>
      <rPr>
        <sz val="11"/>
        <rFont val="游ゴシック Medium"/>
        <family val="3"/>
        <charset val="128"/>
      </rPr>
      <t>チャイルド科学絵本館</t>
    </r>
    <r>
      <rPr>
        <sz val="11"/>
        <rFont val="Consolas"/>
        <family val="3"/>
      </rPr>
      <t>/</t>
    </r>
    <r>
      <rPr>
        <sz val="11"/>
        <rFont val="游ゴシック Medium"/>
        <family val="3"/>
        <charset val="128"/>
      </rPr>
      <t>どうぶつのせかい⑨</t>
    </r>
    <rPh sb="5" eb="7">
      <t>カガク</t>
    </rPh>
    <rPh sb="7" eb="8">
      <t>エ</t>
    </rPh>
    <rPh sb="8" eb="10">
      <t>ホンカン</t>
    </rPh>
    <phoneticPr fontId="1"/>
  </si>
  <si>
    <r>
      <rPr>
        <sz val="11"/>
        <rFont val="游ゴシック Medium"/>
        <family val="3"/>
        <charset val="128"/>
      </rPr>
      <t>上島</t>
    </r>
    <r>
      <rPr>
        <sz val="11"/>
        <rFont val="Consolas"/>
        <family val="3"/>
      </rPr>
      <t xml:space="preserve"> </t>
    </r>
    <r>
      <rPr>
        <sz val="11"/>
        <rFont val="游ゴシック Medium"/>
        <family val="3"/>
        <charset val="128"/>
      </rPr>
      <t>励</t>
    </r>
    <rPh sb="0" eb="2">
      <t>ウエシマ</t>
    </rPh>
    <rPh sb="3" eb="4">
      <t>レイ</t>
    </rPh>
    <phoneticPr fontId="1"/>
  </si>
  <si>
    <r>
      <rPr>
        <sz val="11"/>
        <rFont val="游ゴシック Medium"/>
        <family val="3"/>
        <charset val="128"/>
      </rPr>
      <t>指導</t>
    </r>
    <rPh sb="0" eb="2">
      <t>シドウ</t>
    </rPh>
    <phoneticPr fontId="1"/>
  </si>
  <si>
    <r>
      <rPr>
        <sz val="11"/>
        <rFont val="游ゴシック Medium"/>
        <family val="3"/>
        <charset val="128"/>
      </rPr>
      <t>かたつむり</t>
    </r>
    <phoneticPr fontId="1"/>
  </si>
  <si>
    <r>
      <rPr>
        <sz val="11"/>
        <rFont val="游ゴシック Medium"/>
        <family val="3"/>
        <charset val="128"/>
      </rPr>
      <t>しぜん</t>
    </r>
    <r>
      <rPr>
        <sz val="11"/>
        <rFont val="Consolas"/>
        <family val="3"/>
      </rPr>
      <t>/6/</t>
    </r>
    <r>
      <rPr>
        <sz val="11"/>
        <rFont val="游ゴシック Medium"/>
        <family val="3"/>
        <charset val="128"/>
      </rPr>
      <t>キンダーブック</t>
    </r>
    <r>
      <rPr>
        <sz val="11"/>
        <rFont val="Consolas"/>
        <family val="3"/>
      </rPr>
      <t>/</t>
    </r>
    <r>
      <rPr>
        <sz val="11"/>
        <rFont val="游ゴシック Medium"/>
        <family val="3"/>
        <charset val="128"/>
      </rPr>
      <t>第</t>
    </r>
    <r>
      <rPr>
        <sz val="11"/>
        <rFont val="Consolas"/>
        <family val="3"/>
      </rPr>
      <t>23</t>
    </r>
    <r>
      <rPr>
        <sz val="11"/>
        <rFont val="游ゴシック Medium"/>
        <family val="3"/>
        <charset val="128"/>
      </rPr>
      <t>集第</t>
    </r>
    <r>
      <rPr>
        <sz val="11"/>
        <rFont val="Consolas"/>
        <family val="3"/>
      </rPr>
      <t>3</t>
    </r>
    <r>
      <rPr>
        <sz val="11"/>
        <rFont val="游ゴシック Medium"/>
        <family val="3"/>
        <charset val="128"/>
      </rPr>
      <t>編</t>
    </r>
    <rPh sb="14" eb="15">
      <t>ダイ</t>
    </rPh>
    <rPh sb="17" eb="18">
      <t>シュウ</t>
    </rPh>
    <rPh sb="18" eb="19">
      <t>ダイ</t>
    </rPh>
    <rPh sb="20" eb="21">
      <t>ヘン</t>
    </rPh>
    <phoneticPr fontId="1"/>
  </si>
  <si>
    <r>
      <rPr>
        <sz val="11"/>
        <rFont val="游ゴシック Medium"/>
        <family val="3"/>
        <charset val="128"/>
      </rPr>
      <t>フレーベル館</t>
    </r>
    <rPh sb="5" eb="6">
      <t>カン</t>
    </rPh>
    <phoneticPr fontId="1"/>
  </si>
  <si>
    <r>
      <t>2002/09</t>
    </r>
    <r>
      <rPr>
        <sz val="11"/>
        <rFont val="游ゴシック Medium"/>
        <family val="3"/>
        <charset val="128"/>
      </rPr>
      <t>下旬</t>
    </r>
    <rPh sb="7" eb="9">
      <t>ゲジュン</t>
    </rPh>
    <phoneticPr fontId="1"/>
  </si>
  <si>
    <r>
      <t>Book Off</t>
    </r>
    <r>
      <rPr>
        <sz val="11"/>
        <rFont val="游ゴシック Medium"/>
        <family val="3"/>
        <charset val="128"/>
      </rPr>
      <t>大塚</t>
    </r>
    <rPh sb="0" eb="8">
      <t>ブックオフ</t>
    </rPh>
    <rPh sb="8" eb="10">
      <t>オオツカ</t>
    </rPh>
    <phoneticPr fontId="1"/>
  </si>
  <si>
    <r>
      <t>My Island/</t>
    </r>
    <r>
      <rPr>
        <b/>
        <sz val="11"/>
        <color indexed="33"/>
        <rFont val="游ゴシック Medium"/>
        <family val="3"/>
        <charset val="128"/>
      </rPr>
      <t>チャモロの塗り絵</t>
    </r>
    <rPh sb="0" eb="2">
      <t>マイ</t>
    </rPh>
    <rPh sb="3" eb="9">
      <t>アイランド</t>
    </rPh>
    <rPh sb="15" eb="18">
      <t>ヌリエ</t>
    </rPh>
    <phoneticPr fontId="1"/>
  </si>
  <si>
    <r>
      <rPr>
        <sz val="11"/>
        <rFont val="游ゴシック Medium"/>
        <family val="3"/>
        <charset val="128"/>
      </rPr>
      <t>田村直巳</t>
    </r>
    <rPh sb="0" eb="2">
      <t>タムラ</t>
    </rPh>
    <rPh sb="2" eb="4">
      <t>ナオミ</t>
    </rPh>
    <phoneticPr fontId="1"/>
  </si>
  <si>
    <r>
      <rPr>
        <sz val="11"/>
        <rFont val="游ゴシック Medium"/>
        <family val="3"/>
        <charset val="128"/>
      </rPr>
      <t>かえるのトンネル</t>
    </r>
    <phoneticPr fontId="1"/>
  </si>
  <si>
    <r>
      <rPr>
        <sz val="11"/>
        <rFont val="游ゴシック Medium"/>
        <family val="3"/>
        <charset val="128"/>
      </rPr>
      <t>こどものとも</t>
    </r>
    <r>
      <rPr>
        <sz val="11"/>
        <rFont val="Consolas"/>
        <family val="3"/>
      </rPr>
      <t>/</t>
    </r>
    <r>
      <rPr>
        <sz val="11"/>
        <rFont val="游ゴシック Medium"/>
        <family val="3"/>
        <charset val="128"/>
      </rPr>
      <t>年中向き</t>
    </r>
    <r>
      <rPr>
        <sz val="11"/>
        <rFont val="Consolas"/>
        <family val="3"/>
      </rPr>
      <t>/</t>
    </r>
    <r>
      <rPr>
        <sz val="11"/>
        <rFont val="游ゴシック Medium"/>
        <family val="3"/>
        <charset val="128"/>
      </rPr>
      <t>通巻</t>
    </r>
    <r>
      <rPr>
        <sz val="11"/>
        <rFont val="Consolas"/>
        <family val="3"/>
      </rPr>
      <t>63</t>
    </r>
    <rPh sb="7" eb="9">
      <t>ネンチュウ</t>
    </rPh>
    <rPh sb="9" eb="10">
      <t>ム</t>
    </rPh>
    <rPh sb="12" eb="14">
      <t>ツウカン</t>
    </rPh>
    <phoneticPr fontId="1"/>
  </si>
  <si>
    <r>
      <rPr>
        <sz val="11"/>
        <rFont val="游ゴシック Medium"/>
        <family val="3"/>
        <charset val="128"/>
      </rPr>
      <t>舟崎克彦</t>
    </r>
    <rPh sb="0" eb="2">
      <t>フナザキ</t>
    </rPh>
    <rPh sb="2" eb="4">
      <t>ヨシヒコ</t>
    </rPh>
    <phoneticPr fontId="1"/>
  </si>
  <si>
    <r>
      <rPr>
        <sz val="11"/>
        <rFont val="游ゴシック Medium"/>
        <family val="3"/>
        <charset val="128"/>
      </rPr>
      <t>メケメケだらけ</t>
    </r>
    <phoneticPr fontId="1"/>
  </si>
  <si>
    <r>
      <rPr>
        <sz val="11"/>
        <rFont val="游ゴシック Medium"/>
        <family val="3"/>
        <charset val="128"/>
      </rPr>
      <t>みるみる絵本</t>
    </r>
    <r>
      <rPr>
        <sz val="11"/>
        <rFont val="Consolas"/>
        <family val="3"/>
      </rPr>
      <t>/</t>
    </r>
    <r>
      <rPr>
        <sz val="11"/>
        <rFont val="游ゴシック Medium"/>
        <family val="3"/>
        <charset val="128"/>
      </rPr>
      <t>ぽっぽライブラリ</t>
    </r>
    <rPh sb="4" eb="6">
      <t>エホン</t>
    </rPh>
    <phoneticPr fontId="1"/>
  </si>
  <si>
    <r>
      <rPr>
        <sz val="11"/>
        <rFont val="游ゴシック Medium"/>
        <family val="3"/>
        <charset val="128"/>
      </rPr>
      <t>文研出版</t>
    </r>
    <rPh sb="0" eb="1">
      <t>ブン</t>
    </rPh>
    <rPh sb="1" eb="2">
      <t>ケン</t>
    </rPh>
    <rPh sb="2" eb="4">
      <t>シュッパン</t>
    </rPh>
    <phoneticPr fontId="1"/>
  </si>
  <si>
    <r>
      <rPr>
        <sz val="11"/>
        <rFont val="游ゴシック Medium"/>
        <family val="3"/>
        <charset val="128"/>
      </rPr>
      <t>光芒書店</t>
    </r>
    <rPh sb="0" eb="2">
      <t>コウボウ</t>
    </rPh>
    <rPh sb="2" eb="4">
      <t>ショテン</t>
    </rPh>
    <phoneticPr fontId="1"/>
  </si>
  <si>
    <r>
      <rPr>
        <sz val="11"/>
        <rFont val="游ゴシック Medium"/>
        <family val="3"/>
        <charset val="128"/>
      </rPr>
      <t>島田ゆか</t>
    </r>
    <rPh sb="0" eb="2">
      <t>シマダ</t>
    </rPh>
    <phoneticPr fontId="1"/>
  </si>
  <si>
    <r>
      <rPr>
        <sz val="11"/>
        <rFont val="游ゴシック Medium"/>
        <family val="3"/>
        <charset val="128"/>
      </rPr>
      <t>バムとケロのそらのたび</t>
    </r>
    <phoneticPr fontId="1"/>
  </si>
  <si>
    <r>
      <rPr>
        <sz val="11"/>
        <rFont val="游ゴシック Medium"/>
        <family val="3"/>
        <charset val="128"/>
      </rPr>
      <t>文溪堂</t>
    </r>
    <rPh sb="0" eb="3">
      <t>ブンケイドウ</t>
    </rPh>
    <phoneticPr fontId="1"/>
  </si>
  <si>
    <r>
      <rPr>
        <sz val="11"/>
        <rFont val="游ゴシック Medium"/>
        <family val="3"/>
        <charset val="128"/>
      </rPr>
      <t>安西水丸</t>
    </r>
    <rPh sb="0" eb="2">
      <t>アンザイ</t>
    </rPh>
    <rPh sb="2" eb="4">
      <t>ミズマル</t>
    </rPh>
    <phoneticPr fontId="1"/>
  </si>
  <si>
    <r>
      <rPr>
        <sz val="11"/>
        <rFont val="游ゴシック Medium"/>
        <family val="3"/>
        <charset val="128"/>
      </rPr>
      <t>バスに　のりたかった　おばけ</t>
    </r>
    <phoneticPr fontId="1"/>
  </si>
  <si>
    <r>
      <rPr>
        <sz val="11"/>
        <rFont val="游ゴシック Medium"/>
        <family val="3"/>
        <charset val="128"/>
      </rPr>
      <t>好学社</t>
    </r>
    <rPh sb="0" eb="2">
      <t>コウガク</t>
    </rPh>
    <rPh sb="2" eb="3">
      <t>シャ</t>
    </rPh>
    <phoneticPr fontId="1"/>
  </si>
  <si>
    <r>
      <rPr>
        <sz val="11"/>
        <rFont val="游ゴシック Medium"/>
        <family val="3"/>
        <charset val="128"/>
      </rPr>
      <t>岡部</t>
    </r>
    <r>
      <rPr>
        <sz val="11"/>
        <rFont val="Consolas"/>
        <family val="3"/>
      </rPr>
      <t xml:space="preserve"> </t>
    </r>
    <r>
      <rPr>
        <sz val="11"/>
        <rFont val="游ゴシック Medium"/>
        <family val="3"/>
        <charset val="128"/>
      </rPr>
      <t>史</t>
    </r>
    <rPh sb="0" eb="2">
      <t>オカベ</t>
    </rPh>
    <rPh sb="3" eb="4">
      <t>フミ</t>
    </rPh>
    <phoneticPr fontId="1"/>
  </si>
  <si>
    <r>
      <rPr>
        <sz val="11"/>
        <rFont val="游ゴシック Medium"/>
        <family val="3"/>
        <charset val="128"/>
      </rPr>
      <t>魔女図鑑</t>
    </r>
    <r>
      <rPr>
        <sz val="11"/>
        <rFont val="Consolas"/>
        <family val="3"/>
      </rPr>
      <t>/</t>
    </r>
    <r>
      <rPr>
        <sz val="11"/>
        <rFont val="游ゴシック Medium"/>
        <family val="3"/>
        <charset val="128"/>
      </rPr>
      <t>魔女になるための</t>
    </r>
    <r>
      <rPr>
        <sz val="11"/>
        <rFont val="Consolas"/>
        <family val="3"/>
      </rPr>
      <t>11</t>
    </r>
    <r>
      <rPr>
        <sz val="11"/>
        <rFont val="游ゴシック Medium"/>
        <family val="3"/>
        <charset val="128"/>
      </rPr>
      <t>の</t>
    </r>
    <r>
      <rPr>
        <sz val="11"/>
        <rFont val="Consolas"/>
        <family val="3"/>
      </rPr>
      <t>Lesson/The Witch's Handbook</t>
    </r>
    <rPh sb="0" eb="2">
      <t>マジョ</t>
    </rPh>
    <rPh sb="2" eb="4">
      <t>ズカン</t>
    </rPh>
    <rPh sb="5" eb="7">
      <t>マジョ</t>
    </rPh>
    <rPh sb="16" eb="22">
      <t>レッスン</t>
    </rPh>
    <phoneticPr fontId="1"/>
  </si>
  <si>
    <r>
      <rPr>
        <sz val="11"/>
        <rFont val="游ゴシック Medium"/>
        <family val="3"/>
        <charset val="128"/>
      </rPr>
      <t>金の星社</t>
    </r>
    <rPh sb="0" eb="1">
      <t>キン</t>
    </rPh>
    <rPh sb="2" eb="3">
      <t>ホシ</t>
    </rPh>
    <rPh sb="3" eb="4">
      <t>シャ</t>
    </rPh>
    <phoneticPr fontId="1"/>
  </si>
  <si>
    <r>
      <rPr>
        <sz val="11"/>
        <rFont val="游ゴシック Medium"/>
        <family val="3"/>
        <charset val="128"/>
      </rPr>
      <t>チュコフスキー</t>
    </r>
    <phoneticPr fontId="1"/>
  </si>
  <si>
    <r>
      <rPr>
        <sz val="11"/>
        <rFont val="游ゴシック Medium"/>
        <family val="3"/>
        <charset val="128"/>
      </rPr>
      <t>ひよこ</t>
    </r>
    <phoneticPr fontId="1"/>
  </si>
  <si>
    <r>
      <rPr>
        <sz val="11"/>
        <rFont val="游ゴシック Medium"/>
        <family val="3"/>
        <charset val="128"/>
      </rPr>
      <t>三木</t>
    </r>
    <r>
      <rPr>
        <sz val="11"/>
        <rFont val="Consolas"/>
        <family val="3"/>
      </rPr>
      <t xml:space="preserve"> </t>
    </r>
    <r>
      <rPr>
        <sz val="11"/>
        <rFont val="游ゴシック Medium"/>
        <family val="3"/>
        <charset val="128"/>
      </rPr>
      <t>卓</t>
    </r>
    <rPh sb="0" eb="2">
      <t>ミキ</t>
    </rPh>
    <rPh sb="3" eb="4">
      <t>タク</t>
    </rPh>
    <phoneticPr fontId="1"/>
  </si>
  <si>
    <r>
      <rPr>
        <sz val="11"/>
        <rFont val="游ゴシック Medium"/>
        <family val="3"/>
        <charset val="128"/>
      </rPr>
      <t>ふたりは</t>
    </r>
    <r>
      <rPr>
        <sz val="11"/>
        <rFont val="Consolas"/>
        <family val="3"/>
      </rPr>
      <t xml:space="preserve"> </t>
    </r>
    <r>
      <rPr>
        <sz val="11"/>
        <rFont val="游ゴシック Medium"/>
        <family val="3"/>
        <charset val="128"/>
      </rPr>
      <t>ともだち</t>
    </r>
    <r>
      <rPr>
        <sz val="11"/>
        <rFont val="Consolas"/>
        <family val="3"/>
      </rPr>
      <t>/</t>
    </r>
    <r>
      <rPr>
        <sz val="11"/>
        <rFont val="游ゴシック Medium"/>
        <family val="3"/>
        <charset val="128"/>
      </rPr>
      <t>がまくんとかえるくん</t>
    </r>
    <r>
      <rPr>
        <sz val="11"/>
        <rFont val="Consolas"/>
        <family val="3"/>
      </rPr>
      <t>/Frog and Toad are Friends</t>
    </r>
    <phoneticPr fontId="1"/>
  </si>
  <si>
    <r>
      <rPr>
        <sz val="11"/>
        <rFont val="游ゴシック Medium"/>
        <family val="3"/>
        <charset val="128"/>
      </rPr>
      <t>ミセスこどもの本</t>
    </r>
    <rPh sb="7" eb="8">
      <t>ホン</t>
    </rPh>
    <phoneticPr fontId="1"/>
  </si>
  <si>
    <r>
      <rPr>
        <sz val="11"/>
        <rFont val="游ゴシック Medium"/>
        <family val="3"/>
        <charset val="128"/>
      </rPr>
      <t>文化出版局</t>
    </r>
    <rPh sb="0" eb="2">
      <t>ブンカ</t>
    </rPh>
    <rPh sb="2" eb="5">
      <t>シュッパンキョク</t>
    </rPh>
    <phoneticPr fontId="1"/>
  </si>
  <si>
    <r>
      <rPr>
        <sz val="11"/>
        <rFont val="游ゴシック Medium"/>
        <family val="3"/>
        <charset val="128"/>
      </rPr>
      <t>ふたりは</t>
    </r>
    <r>
      <rPr>
        <sz val="11"/>
        <rFont val="Consolas"/>
        <family val="3"/>
      </rPr>
      <t xml:space="preserve"> </t>
    </r>
    <r>
      <rPr>
        <sz val="11"/>
        <rFont val="游ゴシック Medium"/>
        <family val="3"/>
        <charset val="128"/>
      </rPr>
      <t>きょうも</t>
    </r>
    <r>
      <rPr>
        <sz val="11"/>
        <rFont val="Consolas"/>
        <family val="3"/>
      </rPr>
      <t>/</t>
    </r>
    <r>
      <rPr>
        <sz val="11"/>
        <rFont val="游ゴシック Medium"/>
        <family val="3"/>
        <charset val="128"/>
      </rPr>
      <t>がまくんとかえるくん</t>
    </r>
    <r>
      <rPr>
        <sz val="11"/>
        <rFont val="Consolas"/>
        <family val="3"/>
      </rPr>
      <t>/Days with Frog and Toad</t>
    </r>
    <phoneticPr fontId="1"/>
  </si>
  <si>
    <r>
      <rPr>
        <sz val="11"/>
        <rFont val="游ゴシック Medium"/>
        <family val="3"/>
        <charset val="128"/>
      </rPr>
      <t>バートン</t>
    </r>
    <r>
      <rPr>
        <sz val="11"/>
        <rFont val="Consolas"/>
        <family val="3"/>
      </rPr>
      <t>,</t>
    </r>
    <r>
      <rPr>
        <sz val="11"/>
        <rFont val="游ゴシック Medium"/>
        <family val="3"/>
        <charset val="128"/>
      </rPr>
      <t>バイロン</t>
    </r>
    <phoneticPr fontId="1"/>
  </si>
  <si>
    <r>
      <rPr>
        <sz val="11"/>
        <rFont val="游ゴシック Medium"/>
        <family val="3"/>
        <charset val="128"/>
      </rPr>
      <t>なかがわちひろ</t>
    </r>
    <phoneticPr fontId="1"/>
  </si>
  <si>
    <r>
      <rPr>
        <sz val="11"/>
        <rFont val="游ゴシック Medium"/>
        <family val="3"/>
        <charset val="128"/>
      </rPr>
      <t>きょうりゅう</t>
    </r>
    <r>
      <rPr>
        <sz val="11"/>
        <rFont val="Consolas"/>
        <family val="3"/>
      </rPr>
      <t xml:space="preserve"> </t>
    </r>
    <r>
      <rPr>
        <sz val="11"/>
        <rFont val="游ゴシック Medium"/>
        <family val="3"/>
        <charset val="128"/>
      </rPr>
      <t>きょうりゅう</t>
    </r>
    <phoneticPr fontId="1"/>
  </si>
  <si>
    <r>
      <rPr>
        <sz val="11"/>
        <rFont val="游ゴシック Medium"/>
        <family val="3"/>
        <charset val="128"/>
      </rPr>
      <t>伊藤洋子</t>
    </r>
    <rPh sb="0" eb="2">
      <t>イトウ</t>
    </rPh>
    <rPh sb="2" eb="4">
      <t>ヨウコ</t>
    </rPh>
    <phoneticPr fontId="1"/>
  </si>
  <si>
    <r>
      <rPr>
        <sz val="11"/>
        <rFont val="游ゴシック Medium"/>
        <family val="3"/>
        <charset val="128"/>
      </rPr>
      <t>いたずらエルモの</t>
    </r>
    <r>
      <rPr>
        <sz val="11"/>
        <rFont val="Consolas"/>
        <family val="3"/>
      </rPr>
      <t xml:space="preserve"> </t>
    </r>
    <r>
      <rPr>
        <sz val="11"/>
        <rFont val="游ゴシック Medium"/>
        <family val="3"/>
        <charset val="128"/>
      </rPr>
      <t>ひらいて</t>
    </r>
    <r>
      <rPr>
        <sz val="11"/>
        <rFont val="Consolas"/>
        <family val="3"/>
      </rPr>
      <t xml:space="preserve"> </t>
    </r>
    <r>
      <rPr>
        <sz val="11"/>
        <rFont val="游ゴシック Medium"/>
        <family val="3"/>
        <charset val="128"/>
      </rPr>
      <t>のぞいて</t>
    </r>
    <r>
      <rPr>
        <sz val="11"/>
        <rFont val="Consolas"/>
        <family val="3"/>
      </rPr>
      <t xml:space="preserve"> ABC</t>
    </r>
    <phoneticPr fontId="1"/>
  </si>
  <si>
    <r>
      <t>Sesami Street</t>
    </r>
    <r>
      <rPr>
        <sz val="11"/>
        <rFont val="游ゴシック Medium"/>
        <family val="3"/>
        <charset val="128"/>
      </rPr>
      <t>しかけえほん</t>
    </r>
    <rPh sb="0" eb="13">
      <t>セサミ ストリート</t>
    </rPh>
    <phoneticPr fontId="1"/>
  </si>
  <si>
    <r>
      <t>10792512</t>
    </r>
    <r>
      <rPr>
        <sz val="11"/>
        <rFont val="游ゴシック Medium"/>
        <family val="3"/>
        <charset val="128"/>
      </rPr>
      <t>から</t>
    </r>
    <rPh sb="0" eb="8">
      <t>コウソク</t>
    </rPh>
    <phoneticPr fontId="1"/>
  </si>
  <si>
    <r>
      <rPr>
        <sz val="11"/>
        <rFont val="游ゴシック Medium"/>
        <family val="3"/>
        <charset val="128"/>
      </rPr>
      <t>贈与</t>
    </r>
    <rPh sb="0" eb="2">
      <t>ゾウヨ</t>
    </rPh>
    <phoneticPr fontId="1"/>
  </si>
  <si>
    <r>
      <t>Mathieu,Joe/</t>
    </r>
    <r>
      <rPr>
        <sz val="11"/>
        <rFont val="游ゴシック Medium"/>
        <family val="3"/>
        <charset val="128"/>
      </rPr>
      <t>マック･ツイン</t>
    </r>
    <rPh sb="0" eb="7">
      <t>マシュー</t>
    </rPh>
    <rPh sb="8" eb="11">
      <t>ジョー</t>
    </rPh>
    <phoneticPr fontId="1"/>
  </si>
  <si>
    <r>
      <t>Illustration/</t>
    </r>
    <r>
      <rPr>
        <sz val="11"/>
        <rFont val="游ゴシック Medium"/>
        <family val="3"/>
        <charset val="128"/>
      </rPr>
      <t>訳</t>
    </r>
    <rPh sb="0" eb="12">
      <t>イラスト</t>
    </rPh>
    <rPh sb="13" eb="14">
      <t>ヤク</t>
    </rPh>
    <phoneticPr fontId="1"/>
  </si>
  <si>
    <r>
      <rPr>
        <sz val="11"/>
        <rFont val="游ゴシック Medium"/>
        <family val="3"/>
        <charset val="128"/>
      </rPr>
      <t>緊急出動</t>
    </r>
    <r>
      <rPr>
        <sz val="11"/>
        <rFont val="Consolas"/>
        <family val="3"/>
      </rPr>
      <t>100</t>
    </r>
    <r>
      <rPr>
        <sz val="11"/>
        <rFont val="游ゴシック Medium"/>
        <family val="3"/>
        <charset val="128"/>
      </rPr>
      <t>点</t>
    </r>
    <rPh sb="0" eb="2">
      <t>キンキュウ</t>
    </rPh>
    <rPh sb="2" eb="4">
      <t>シュツドウ</t>
    </rPh>
    <rPh sb="7" eb="8">
      <t>テン</t>
    </rPh>
    <phoneticPr fontId="1"/>
  </si>
  <si>
    <r>
      <rPr>
        <sz val="11"/>
        <rFont val="游ゴシック Medium"/>
        <family val="3"/>
        <charset val="128"/>
      </rPr>
      <t>のりものアルバム</t>
    </r>
    <r>
      <rPr>
        <sz val="11"/>
        <rFont val="Consolas"/>
        <family val="3"/>
      </rPr>
      <t>14</t>
    </r>
    <phoneticPr fontId="1"/>
  </si>
  <si>
    <r>
      <rPr>
        <sz val="11"/>
        <rFont val="游ゴシック Medium"/>
        <family val="3"/>
        <charset val="128"/>
      </rPr>
      <t>はたらくくるま</t>
    </r>
    <r>
      <rPr>
        <sz val="11"/>
        <rFont val="Consolas"/>
        <family val="3"/>
      </rPr>
      <t>300</t>
    </r>
    <phoneticPr fontId="1"/>
  </si>
  <si>
    <r>
      <rPr>
        <sz val="11"/>
        <rFont val="游ゴシック Medium"/>
        <family val="3"/>
        <charset val="128"/>
      </rPr>
      <t>げんきスーパーかんさつえほん</t>
    </r>
    <r>
      <rPr>
        <sz val="11"/>
        <rFont val="Consolas"/>
        <family val="3"/>
      </rPr>
      <t>05</t>
    </r>
    <phoneticPr fontId="1"/>
  </si>
  <si>
    <r>
      <rPr>
        <sz val="11"/>
        <rFont val="游ゴシック Medium"/>
        <family val="3"/>
        <charset val="128"/>
      </rPr>
      <t>むしのレストラン</t>
    </r>
    <phoneticPr fontId="1"/>
  </si>
  <si>
    <r>
      <rPr>
        <sz val="11"/>
        <rFont val="游ゴシック Medium"/>
        <family val="3"/>
        <charset val="128"/>
      </rPr>
      <t>加藤由子</t>
    </r>
    <rPh sb="0" eb="2">
      <t>カトウ</t>
    </rPh>
    <rPh sb="2" eb="4">
      <t>ヨシコ</t>
    </rPh>
    <phoneticPr fontId="1"/>
  </si>
  <si>
    <r>
      <rPr>
        <sz val="11"/>
        <rFont val="游ゴシック Medium"/>
        <family val="3"/>
        <charset val="128"/>
      </rPr>
      <t>構成･文</t>
    </r>
    <rPh sb="0" eb="2">
      <t>コウセイ</t>
    </rPh>
    <rPh sb="3" eb="4">
      <t>ブン</t>
    </rPh>
    <phoneticPr fontId="1"/>
  </si>
  <si>
    <r>
      <rPr>
        <sz val="11"/>
        <rFont val="游ゴシック Medium"/>
        <family val="3"/>
        <charset val="128"/>
      </rPr>
      <t>あくびしてるの？</t>
    </r>
    <phoneticPr fontId="1"/>
  </si>
  <si>
    <r>
      <rPr>
        <sz val="11"/>
        <rFont val="游ゴシック Medium"/>
        <family val="3"/>
        <charset val="128"/>
      </rPr>
      <t>波多野勤子</t>
    </r>
    <rPh sb="0" eb="3">
      <t>ハタノ</t>
    </rPh>
    <rPh sb="3" eb="5">
      <t>ツトコ</t>
    </rPh>
    <phoneticPr fontId="1"/>
  </si>
  <si>
    <r>
      <rPr>
        <sz val="11"/>
        <rFont val="游ゴシック Medium"/>
        <family val="3"/>
        <charset val="128"/>
      </rPr>
      <t>どうぶつ</t>
    </r>
    <phoneticPr fontId="1"/>
  </si>
  <si>
    <r>
      <rPr>
        <sz val="11"/>
        <rFont val="游ゴシック Medium"/>
        <family val="3"/>
        <charset val="128"/>
      </rPr>
      <t>小学館の育児絵本①</t>
    </r>
    <r>
      <rPr>
        <sz val="11"/>
        <rFont val="Consolas"/>
        <family val="3"/>
      </rPr>
      <t>/1~3</t>
    </r>
    <r>
      <rPr>
        <sz val="11"/>
        <rFont val="游ゴシック Medium"/>
        <family val="3"/>
        <charset val="128"/>
      </rPr>
      <t>歳</t>
    </r>
    <rPh sb="0" eb="3">
      <t>ショウガクカン</t>
    </rPh>
    <rPh sb="4" eb="6">
      <t>イクジ</t>
    </rPh>
    <rPh sb="6" eb="8">
      <t>エホン</t>
    </rPh>
    <rPh sb="13" eb="14">
      <t>サイ</t>
    </rPh>
    <phoneticPr fontId="1"/>
  </si>
  <si>
    <r>
      <rPr>
        <sz val="11"/>
        <rFont val="游ゴシック Medium"/>
        <family val="3"/>
        <charset val="128"/>
      </rPr>
      <t>黒猫堂</t>
    </r>
    <rPh sb="0" eb="2">
      <t>クロネコ</t>
    </rPh>
    <rPh sb="2" eb="3">
      <t>ドウ</t>
    </rPh>
    <phoneticPr fontId="1"/>
  </si>
  <si>
    <r>
      <rPr>
        <sz val="11"/>
        <rFont val="游ゴシック Medium"/>
        <family val="3"/>
        <charset val="128"/>
      </rPr>
      <t>香山美子</t>
    </r>
    <rPh sb="0" eb="2">
      <t>コウヤマ</t>
    </rPh>
    <rPh sb="2" eb="4">
      <t>ヨシコ</t>
    </rPh>
    <phoneticPr fontId="1"/>
  </si>
  <si>
    <r>
      <rPr>
        <sz val="11"/>
        <rFont val="游ゴシック Medium"/>
        <family val="3"/>
        <charset val="128"/>
      </rPr>
      <t>どうぞのいす</t>
    </r>
    <phoneticPr fontId="1"/>
  </si>
  <si>
    <r>
      <rPr>
        <sz val="11"/>
        <rFont val="游ゴシック Medium"/>
        <family val="3"/>
        <charset val="128"/>
      </rPr>
      <t>かえるののどじまん</t>
    </r>
    <phoneticPr fontId="1"/>
  </si>
  <si>
    <r>
      <rPr>
        <sz val="11"/>
        <rFont val="游ゴシック Medium"/>
        <family val="3"/>
        <charset val="128"/>
      </rPr>
      <t>長</t>
    </r>
    <r>
      <rPr>
        <sz val="11"/>
        <rFont val="Consolas"/>
        <family val="3"/>
      </rPr>
      <t xml:space="preserve"> </t>
    </r>
    <r>
      <rPr>
        <sz val="11"/>
        <rFont val="游ゴシック Medium"/>
        <family val="3"/>
        <charset val="128"/>
      </rPr>
      <t>新太</t>
    </r>
    <rPh sb="0" eb="1">
      <t>チョウ</t>
    </rPh>
    <rPh sb="2" eb="4">
      <t>シンタ</t>
    </rPh>
    <phoneticPr fontId="1"/>
  </si>
  <si>
    <r>
      <rPr>
        <sz val="11"/>
        <rFont val="游ゴシック Medium"/>
        <family val="3"/>
        <charset val="128"/>
      </rPr>
      <t>ゴムあたまぽんたろう</t>
    </r>
    <phoneticPr fontId="1"/>
  </si>
  <si>
    <r>
      <rPr>
        <b/>
        <sz val="11"/>
        <color indexed="33"/>
        <rFont val="游ゴシック Medium"/>
        <family val="3"/>
        <charset val="128"/>
      </rPr>
      <t>みやざきひろかず</t>
    </r>
    <phoneticPr fontId="1"/>
  </si>
  <si>
    <r>
      <rPr>
        <b/>
        <sz val="11"/>
        <color indexed="33"/>
        <rFont val="游ゴシック Medium"/>
        <family val="3"/>
        <charset val="128"/>
      </rPr>
      <t>チョコレートをたべたさかな</t>
    </r>
    <phoneticPr fontId="1"/>
  </si>
  <si>
    <r>
      <rPr>
        <sz val="11"/>
        <rFont val="游ゴシック Medium"/>
        <family val="3"/>
        <charset val="128"/>
      </rPr>
      <t>ブックローン出版</t>
    </r>
    <rPh sb="6" eb="8">
      <t>シュッパン</t>
    </rPh>
    <phoneticPr fontId="1"/>
  </si>
  <si>
    <r>
      <rPr>
        <b/>
        <sz val="11"/>
        <color indexed="33"/>
        <rFont val="游ゴシック Medium"/>
        <family val="3"/>
        <charset val="128"/>
      </rPr>
      <t>田島征三</t>
    </r>
    <rPh sb="0" eb="2">
      <t>タシマ</t>
    </rPh>
    <rPh sb="2" eb="4">
      <t>セイゾウ</t>
    </rPh>
    <phoneticPr fontId="1"/>
  </si>
  <si>
    <r>
      <rPr>
        <b/>
        <sz val="11"/>
        <color indexed="33"/>
        <rFont val="游ゴシック Medium"/>
        <family val="3"/>
        <charset val="128"/>
      </rPr>
      <t>今江祥智</t>
    </r>
    <rPh sb="0" eb="2">
      <t>イマエ</t>
    </rPh>
    <rPh sb="2" eb="4">
      <t>ヨシトモ</t>
    </rPh>
    <phoneticPr fontId="1"/>
  </si>
  <si>
    <r>
      <rPr>
        <b/>
        <sz val="11"/>
        <color indexed="33"/>
        <rFont val="游ゴシック Medium"/>
        <family val="3"/>
        <charset val="128"/>
      </rPr>
      <t>ちからたろう</t>
    </r>
    <phoneticPr fontId="1"/>
  </si>
  <si>
    <r>
      <rPr>
        <sz val="11"/>
        <rFont val="游ゴシック Medium"/>
        <family val="3"/>
        <charset val="128"/>
      </rPr>
      <t>かちかちやま</t>
    </r>
    <phoneticPr fontId="1"/>
  </si>
  <si>
    <r>
      <rPr>
        <sz val="11"/>
        <rFont val="游ゴシック Medium"/>
        <family val="3"/>
        <charset val="128"/>
      </rPr>
      <t>おじぞうさん</t>
    </r>
    <phoneticPr fontId="1"/>
  </si>
  <si>
    <r>
      <rPr>
        <sz val="11"/>
        <rFont val="游ゴシック Medium"/>
        <family val="3"/>
        <charset val="128"/>
      </rPr>
      <t>谷内こうた</t>
    </r>
    <rPh sb="0" eb="2">
      <t>タニウチ</t>
    </rPh>
    <phoneticPr fontId="1"/>
  </si>
  <si>
    <r>
      <rPr>
        <sz val="11"/>
        <rFont val="游ゴシック Medium"/>
        <family val="3"/>
        <charset val="128"/>
      </rPr>
      <t>のらいぬ</t>
    </r>
    <phoneticPr fontId="1"/>
  </si>
  <si>
    <r>
      <rPr>
        <sz val="11"/>
        <rFont val="游ゴシック Medium"/>
        <family val="3"/>
        <charset val="128"/>
      </rPr>
      <t>ぼくだけの　にんぎょう</t>
    </r>
    <phoneticPr fontId="1"/>
  </si>
  <si>
    <r>
      <rPr>
        <sz val="11"/>
        <rFont val="游ゴシック Medium"/>
        <family val="3"/>
        <charset val="128"/>
      </rPr>
      <t>なつの　あさ</t>
    </r>
    <phoneticPr fontId="1"/>
  </si>
  <si>
    <r>
      <rPr>
        <sz val="11"/>
        <rFont val="游ゴシック Medium"/>
        <family val="3"/>
        <charset val="128"/>
      </rPr>
      <t>かぜの　ふく　ひは</t>
    </r>
    <phoneticPr fontId="1"/>
  </si>
  <si>
    <r>
      <rPr>
        <sz val="11"/>
        <rFont val="游ゴシック Medium"/>
        <family val="3"/>
        <charset val="128"/>
      </rPr>
      <t>つきと　あそぼう</t>
    </r>
    <phoneticPr fontId="1"/>
  </si>
  <si>
    <r>
      <rPr>
        <sz val="11"/>
        <rFont val="游ゴシック Medium"/>
        <family val="3"/>
        <charset val="128"/>
      </rPr>
      <t>にわかあめ</t>
    </r>
    <phoneticPr fontId="1"/>
  </si>
  <si>
    <r>
      <rPr>
        <sz val="11"/>
        <rFont val="游ゴシック Medium"/>
        <family val="3"/>
        <charset val="128"/>
      </rPr>
      <t>アランジ・アロンゾ</t>
    </r>
    <phoneticPr fontId="1"/>
  </si>
  <si>
    <r>
      <rPr>
        <sz val="11"/>
        <rFont val="游ゴシック Medium"/>
        <family val="3"/>
        <charset val="128"/>
      </rPr>
      <t>パンダ</t>
    </r>
    <r>
      <rPr>
        <sz val="11"/>
        <rFont val="Consolas"/>
        <family val="3"/>
      </rPr>
      <t xml:space="preserve"> </t>
    </r>
    <r>
      <rPr>
        <sz val="11"/>
        <rFont val="游ゴシック Medium"/>
        <family val="3"/>
        <charset val="128"/>
      </rPr>
      <t>まんが</t>
    </r>
    <phoneticPr fontId="1"/>
  </si>
  <si>
    <r>
      <rPr>
        <sz val="11"/>
        <rFont val="游ゴシック Medium"/>
        <family val="3"/>
        <charset val="128"/>
      </rPr>
      <t>わるい本</t>
    </r>
    <rPh sb="3" eb="4">
      <t>ホン</t>
    </rPh>
    <phoneticPr fontId="1"/>
  </si>
  <si>
    <r>
      <rPr>
        <sz val="11"/>
        <rFont val="游ゴシック Medium"/>
        <family val="3"/>
        <charset val="128"/>
      </rPr>
      <t>どこへいくカッパくん</t>
    </r>
    <phoneticPr fontId="1"/>
  </si>
  <si>
    <r>
      <rPr>
        <sz val="11"/>
        <rFont val="游ゴシック Medium"/>
        <family val="3"/>
        <charset val="128"/>
      </rPr>
      <t>ともだちのしゃしん</t>
    </r>
    <phoneticPr fontId="1"/>
  </si>
  <si>
    <r>
      <rPr>
        <sz val="11"/>
        <rFont val="游ゴシック Medium"/>
        <family val="3"/>
        <charset val="128"/>
      </rPr>
      <t>ひよちゃんがないた</t>
    </r>
    <phoneticPr fontId="1"/>
  </si>
  <si>
    <r>
      <rPr>
        <sz val="11"/>
        <rFont val="游ゴシック Medium"/>
        <family val="3"/>
        <charset val="128"/>
      </rPr>
      <t>おさんぽひよちゃん</t>
    </r>
    <phoneticPr fontId="1"/>
  </si>
  <si>
    <r>
      <rPr>
        <sz val="11"/>
        <rFont val="游ゴシック Medium"/>
        <family val="3"/>
        <charset val="128"/>
      </rPr>
      <t>ひよちゃんのおたんじょうび</t>
    </r>
    <phoneticPr fontId="1"/>
  </si>
  <si>
    <r>
      <rPr>
        <sz val="11"/>
        <rFont val="游ゴシック Medium"/>
        <family val="3"/>
        <charset val="128"/>
      </rPr>
      <t>おやすみひよちゃん</t>
    </r>
    <phoneticPr fontId="1"/>
  </si>
  <si>
    <r>
      <t xml:space="preserve">2006/08/13 Sun </t>
    </r>
    <r>
      <rPr>
        <sz val="11"/>
        <rFont val="游ゴシック Medium"/>
        <family val="3"/>
        <charset val="128"/>
      </rPr>
      <t>買い直し</t>
    </r>
    <rPh sb="15" eb="16">
      <t>カ</t>
    </rPh>
    <rPh sb="17" eb="18">
      <t>ナオ</t>
    </rPh>
    <phoneticPr fontId="1"/>
  </si>
  <si>
    <r>
      <rPr>
        <sz val="11"/>
        <rFont val="游ゴシック Medium"/>
        <family val="3"/>
        <charset val="128"/>
      </rPr>
      <t>ひよちゃんとおともだち</t>
    </r>
    <phoneticPr fontId="1"/>
  </si>
  <si>
    <r>
      <rPr>
        <sz val="11"/>
        <rFont val="游ゴシック Medium"/>
        <family val="3"/>
        <charset val="128"/>
      </rPr>
      <t>ぴよぴよひよちゃん</t>
    </r>
    <phoneticPr fontId="1"/>
  </si>
  <si>
    <r>
      <rPr>
        <sz val="11"/>
        <rFont val="游ゴシック Medium"/>
        <family val="3"/>
        <charset val="128"/>
      </rPr>
      <t>ぷるぷるたまちゃん</t>
    </r>
    <phoneticPr fontId="1"/>
  </si>
  <si>
    <r>
      <rPr>
        <sz val="11"/>
        <rFont val="游ゴシック Medium"/>
        <family val="3"/>
        <charset val="128"/>
      </rPr>
      <t>にこにこひよちゃん</t>
    </r>
    <phoneticPr fontId="1"/>
  </si>
  <si>
    <r>
      <rPr>
        <sz val="11"/>
        <rFont val="游ゴシック Medium"/>
        <family val="3"/>
        <charset val="128"/>
      </rPr>
      <t>すきすきひよちゃん</t>
    </r>
    <phoneticPr fontId="1"/>
  </si>
  <si>
    <r>
      <rPr>
        <sz val="11"/>
        <rFont val="游ゴシック Medium"/>
        <family val="3"/>
        <charset val="128"/>
      </rPr>
      <t>まねっこひよちゃん</t>
    </r>
    <phoneticPr fontId="1"/>
  </si>
  <si>
    <r>
      <rPr>
        <sz val="11"/>
        <rFont val="游ゴシック Medium"/>
        <family val="3"/>
        <charset val="128"/>
      </rPr>
      <t>ひよちゃんのいちにち</t>
    </r>
    <phoneticPr fontId="1"/>
  </si>
  <si>
    <r>
      <rPr>
        <sz val="11"/>
        <rFont val="游ゴシック Medium"/>
        <family val="3"/>
        <charset val="128"/>
      </rPr>
      <t>たまちゃんよくにあう</t>
    </r>
    <phoneticPr fontId="1"/>
  </si>
  <si>
    <r>
      <rPr>
        <sz val="11"/>
        <rFont val="游ゴシック Medium"/>
        <family val="3"/>
        <charset val="128"/>
      </rPr>
      <t>ひよちゃんだいへんしん</t>
    </r>
    <phoneticPr fontId="1"/>
  </si>
  <si>
    <r>
      <rPr>
        <sz val="11"/>
        <rFont val="游ゴシック Medium"/>
        <family val="3"/>
        <charset val="128"/>
      </rPr>
      <t>たまひよおふろえほん</t>
    </r>
    <phoneticPr fontId="1"/>
  </si>
  <si>
    <r>
      <rPr>
        <sz val="11"/>
        <rFont val="游ゴシック Medium"/>
        <family val="3"/>
        <charset val="128"/>
      </rPr>
      <t>ひよちゃんとどうぶつ</t>
    </r>
    <phoneticPr fontId="1"/>
  </si>
  <si>
    <r>
      <rPr>
        <sz val="11"/>
        <rFont val="游ゴシック Medium"/>
        <family val="3"/>
        <charset val="128"/>
      </rPr>
      <t>カーズ</t>
    </r>
    <phoneticPr fontId="1"/>
  </si>
  <si>
    <r>
      <t>Disney</t>
    </r>
    <r>
      <rPr>
        <sz val="11"/>
        <rFont val="游ゴシック Medium"/>
        <family val="3"/>
        <charset val="128"/>
      </rPr>
      <t>きらきら文庫</t>
    </r>
    <r>
      <rPr>
        <sz val="11"/>
        <rFont val="Consolas"/>
        <family val="3"/>
      </rPr>
      <t xml:space="preserve"> </t>
    </r>
    <r>
      <rPr>
        <sz val="11"/>
        <rFont val="游ゴシック Medium"/>
        <family val="3"/>
        <charset val="128"/>
      </rPr>
      <t>ファンタジー</t>
    </r>
    <r>
      <rPr>
        <sz val="11"/>
        <rFont val="Consolas"/>
        <family val="3"/>
      </rPr>
      <t>4</t>
    </r>
    <rPh sb="10" eb="12">
      <t>ブンコ</t>
    </rPh>
    <phoneticPr fontId="1"/>
  </si>
  <si>
    <r>
      <t>15</t>
    </r>
    <r>
      <rPr>
        <strike/>
        <sz val="11"/>
        <rFont val="游ゴシック Medium"/>
        <family val="3"/>
        <charset val="128"/>
      </rPr>
      <t>くらい</t>
    </r>
    <r>
      <rPr>
        <strike/>
        <sz val="11"/>
        <rFont val="Consolas"/>
        <family val="3"/>
      </rPr>
      <t>?</t>
    </r>
    <phoneticPr fontId="1"/>
  </si>
  <si>
    <r>
      <rPr>
        <strike/>
        <sz val="11"/>
        <rFont val="游ゴシック Medium"/>
        <family val="3"/>
        <charset val="128"/>
      </rPr>
      <t>しまじろう</t>
    </r>
    <phoneticPr fontId="1"/>
  </si>
  <si>
    <r>
      <rPr>
        <strike/>
        <sz val="11"/>
        <rFont val="游ゴシック Medium"/>
        <family val="3"/>
        <charset val="128"/>
      </rPr>
      <t>実家からのお古</t>
    </r>
    <rPh sb="0" eb="2">
      <t>ジッカ</t>
    </rPh>
    <rPh sb="6" eb="7">
      <t>フル</t>
    </rPh>
    <phoneticPr fontId="1"/>
  </si>
  <si>
    <r>
      <rPr>
        <strike/>
        <sz val="11"/>
        <rFont val="游ゴシック Medium"/>
        <family val="3"/>
        <charset val="128"/>
      </rPr>
      <t>高田児童館に寄付</t>
    </r>
    <rPh sb="0" eb="2">
      <t>タカダ</t>
    </rPh>
    <rPh sb="2" eb="5">
      <t>ジドウカン</t>
    </rPh>
    <rPh sb="6" eb="8">
      <t>キフ</t>
    </rPh>
    <phoneticPr fontId="1"/>
  </si>
  <si>
    <r>
      <rPr>
        <sz val="11"/>
        <rFont val="游ゴシック Medium"/>
        <family val="3"/>
        <charset val="128"/>
      </rPr>
      <t>テレタビーズ</t>
    </r>
    <phoneticPr fontId="1"/>
  </si>
  <si>
    <r>
      <rPr>
        <sz val="11"/>
        <rFont val="游ゴシック Medium"/>
        <family val="3"/>
        <charset val="128"/>
      </rPr>
      <t>円谷プロ</t>
    </r>
    <rPh sb="0" eb="2">
      <t>ツブラヤ</t>
    </rPh>
    <phoneticPr fontId="1"/>
  </si>
  <si>
    <r>
      <rPr>
        <sz val="11"/>
        <rFont val="游ゴシック Medium"/>
        <family val="3"/>
        <charset val="128"/>
      </rPr>
      <t>ウルトラ怪獣</t>
    </r>
    <r>
      <rPr>
        <sz val="11"/>
        <rFont val="Consolas"/>
        <family val="3"/>
      </rPr>
      <t xml:space="preserve"> </t>
    </r>
    <r>
      <rPr>
        <sz val="11"/>
        <rFont val="游ゴシック Medium"/>
        <family val="3"/>
        <charset val="128"/>
      </rPr>
      <t>ベスト</t>
    </r>
    <r>
      <rPr>
        <sz val="11"/>
        <rFont val="Consolas"/>
        <family val="3"/>
      </rPr>
      <t>50</t>
    </r>
    <rPh sb="4" eb="6">
      <t>カイジュウ</t>
    </rPh>
    <phoneticPr fontId="1"/>
  </si>
  <si>
    <r>
      <rPr>
        <sz val="11"/>
        <rFont val="游ゴシック Medium"/>
        <family val="3"/>
        <charset val="128"/>
      </rPr>
      <t>ひかりのくに</t>
    </r>
    <r>
      <rPr>
        <sz val="11"/>
        <rFont val="Consolas"/>
        <family val="3"/>
      </rPr>
      <t>50</t>
    </r>
    <r>
      <rPr>
        <sz val="11"/>
        <rFont val="游ゴシック Medium"/>
        <family val="3"/>
        <charset val="128"/>
      </rPr>
      <t>シリーズ</t>
    </r>
    <phoneticPr fontId="1"/>
  </si>
  <si>
    <r>
      <rPr>
        <sz val="11"/>
        <rFont val="游ゴシック Medium"/>
        <family val="3"/>
        <charset val="128"/>
      </rPr>
      <t>ひかりのくに</t>
    </r>
    <phoneticPr fontId="1"/>
  </si>
  <si>
    <r>
      <rPr>
        <sz val="11"/>
        <rFont val="游ゴシック Medium"/>
        <family val="3"/>
        <charset val="128"/>
      </rPr>
      <t>スーパー内のいけだ書店</t>
    </r>
    <rPh sb="4" eb="5">
      <t>ナイ</t>
    </rPh>
    <rPh sb="9" eb="11">
      <t>ショテン</t>
    </rPh>
    <phoneticPr fontId="1"/>
  </si>
  <si>
    <r>
      <rPr>
        <sz val="11"/>
        <rFont val="游ゴシック Medium"/>
        <family val="3"/>
        <charset val="128"/>
      </rPr>
      <t>ばあちゃんが買ってくれた</t>
    </r>
    <rPh sb="6" eb="7">
      <t>カ</t>
    </rPh>
    <phoneticPr fontId="1"/>
  </si>
  <si>
    <r>
      <rPr>
        <strike/>
        <sz val="11"/>
        <rFont val="游ゴシック Medium"/>
        <family val="3"/>
        <charset val="128"/>
      </rPr>
      <t>オードリー</t>
    </r>
    <r>
      <rPr>
        <strike/>
        <sz val="11"/>
        <rFont val="Consolas"/>
        <family val="3"/>
      </rPr>
      <t>,</t>
    </r>
    <r>
      <rPr>
        <strike/>
        <sz val="11"/>
        <rFont val="游ゴシック Medium"/>
        <family val="3"/>
        <charset val="128"/>
      </rPr>
      <t>ウィルバート</t>
    </r>
    <phoneticPr fontId="1"/>
  </si>
  <si>
    <r>
      <rPr>
        <strike/>
        <sz val="11"/>
        <rFont val="游ゴシック Medium"/>
        <family val="3"/>
        <charset val="128"/>
      </rPr>
      <t>原作</t>
    </r>
    <rPh sb="0" eb="2">
      <t>ゲンサク</t>
    </rPh>
    <phoneticPr fontId="1"/>
  </si>
  <si>
    <r>
      <rPr>
        <strike/>
        <sz val="11"/>
        <rFont val="游ゴシック Medium"/>
        <family val="3"/>
        <charset val="128"/>
      </rPr>
      <t>ベル</t>
    </r>
    <r>
      <rPr>
        <strike/>
        <sz val="11"/>
        <rFont val="Consolas"/>
        <family val="3"/>
      </rPr>
      <t>,</t>
    </r>
    <r>
      <rPr>
        <strike/>
        <sz val="11"/>
        <rFont val="游ゴシック Medium"/>
        <family val="3"/>
        <charset val="128"/>
      </rPr>
      <t>オーウェン</t>
    </r>
    <r>
      <rPr>
        <strike/>
        <sz val="11"/>
        <rFont val="Consolas"/>
        <family val="3"/>
      </rPr>
      <t>/</t>
    </r>
    <r>
      <rPr>
        <strike/>
        <sz val="11"/>
        <rFont val="游ゴシック Medium"/>
        <family val="3"/>
        <charset val="128"/>
      </rPr>
      <t>まだらめ三保</t>
    </r>
    <rPh sb="13" eb="15">
      <t>サンポ</t>
    </rPh>
    <phoneticPr fontId="1"/>
  </si>
  <si>
    <r>
      <rPr>
        <strike/>
        <sz val="11"/>
        <rFont val="游ゴシック Medium"/>
        <family val="3"/>
        <charset val="128"/>
      </rPr>
      <t>絵</t>
    </r>
    <r>
      <rPr>
        <strike/>
        <sz val="11"/>
        <rFont val="Consolas"/>
        <family val="3"/>
      </rPr>
      <t>/</t>
    </r>
    <r>
      <rPr>
        <strike/>
        <sz val="11"/>
        <rFont val="游ゴシック Medium"/>
        <family val="3"/>
        <charset val="128"/>
      </rPr>
      <t>訳</t>
    </r>
    <rPh sb="0" eb="1">
      <t>エ</t>
    </rPh>
    <rPh sb="2" eb="3">
      <t>ヤク</t>
    </rPh>
    <phoneticPr fontId="1"/>
  </si>
  <si>
    <r>
      <rPr>
        <strike/>
        <sz val="11"/>
        <rFont val="游ゴシック Medium"/>
        <family val="3"/>
        <charset val="128"/>
      </rPr>
      <t>きかんしゃトーマスのしかけめくり絵本</t>
    </r>
    <rPh sb="16" eb="18">
      <t>エホン</t>
    </rPh>
    <phoneticPr fontId="1"/>
  </si>
  <si>
    <r>
      <rPr>
        <strike/>
        <sz val="11"/>
        <rFont val="游ゴシック Medium"/>
        <family val="3"/>
        <charset val="128"/>
      </rPr>
      <t>きかんしゃトーマス</t>
    </r>
    <phoneticPr fontId="1"/>
  </si>
  <si>
    <r>
      <rPr>
        <strike/>
        <sz val="11"/>
        <rFont val="游ゴシック Medium"/>
        <family val="3"/>
        <charset val="128"/>
      </rPr>
      <t>ポプラ社</t>
    </r>
    <rPh sb="3" eb="4">
      <t>シャ</t>
    </rPh>
    <phoneticPr fontId="1"/>
  </si>
  <si>
    <r>
      <rPr>
        <strike/>
        <sz val="11"/>
        <rFont val="游ゴシック Medium"/>
        <family val="3"/>
        <charset val="128"/>
      </rPr>
      <t>西池袋児童館に寄付</t>
    </r>
    <rPh sb="0" eb="3">
      <t>ニシイケブクロ</t>
    </rPh>
    <rPh sb="3" eb="6">
      <t>ジドウカン</t>
    </rPh>
    <rPh sb="7" eb="9">
      <t>キフ</t>
    </rPh>
    <phoneticPr fontId="1"/>
  </si>
  <si>
    <r>
      <rPr>
        <strike/>
        <sz val="11"/>
        <rFont val="游ゴシック Medium"/>
        <family val="3"/>
        <charset val="128"/>
      </rPr>
      <t>トービーがうごけない</t>
    </r>
    <phoneticPr fontId="1"/>
  </si>
  <si>
    <r>
      <rPr>
        <strike/>
        <sz val="11"/>
        <rFont val="游ゴシック Medium"/>
        <family val="3"/>
        <charset val="128"/>
      </rPr>
      <t>パーシーのせんすいかん</t>
    </r>
    <phoneticPr fontId="1"/>
  </si>
  <si>
    <r>
      <rPr>
        <strike/>
        <sz val="11"/>
        <rFont val="游ゴシック Medium"/>
        <family val="3"/>
        <charset val="128"/>
      </rPr>
      <t>きかんしゃはおおいそがし</t>
    </r>
    <phoneticPr fontId="1"/>
  </si>
  <si>
    <r>
      <rPr>
        <sz val="11"/>
        <rFont val="游ゴシック Medium"/>
        <family val="3"/>
        <charset val="128"/>
      </rPr>
      <t>テディのでんわ</t>
    </r>
    <phoneticPr fontId="1"/>
  </si>
  <si>
    <r>
      <rPr>
        <sz val="11"/>
        <rFont val="游ゴシック Medium"/>
        <family val="3"/>
        <charset val="128"/>
      </rPr>
      <t>ティミーのゆうびんやさん</t>
    </r>
    <phoneticPr fontId="1"/>
  </si>
  <si>
    <r>
      <rPr>
        <sz val="11"/>
        <rFont val="游ゴシック Medium"/>
        <family val="3"/>
        <charset val="128"/>
      </rPr>
      <t>尼子騒兵衛</t>
    </r>
    <rPh sb="0" eb="2">
      <t>アマゴ</t>
    </rPh>
    <rPh sb="2" eb="5">
      <t>ソウベエ</t>
    </rPh>
    <phoneticPr fontId="1"/>
  </si>
  <si>
    <r>
      <rPr>
        <sz val="8"/>
        <rFont val="游ゴシック Medium"/>
        <family val="3"/>
        <charset val="128"/>
      </rPr>
      <t>くらやみでどっきり！</t>
    </r>
    <r>
      <rPr>
        <sz val="11"/>
        <rFont val="游ゴシック Medium"/>
        <family val="3"/>
        <charset val="128"/>
      </rPr>
      <t>にんタマ三人ぐみのようかいたいじ</t>
    </r>
    <r>
      <rPr>
        <sz val="8"/>
        <rFont val="Consolas"/>
        <family val="3"/>
      </rPr>
      <t>/</t>
    </r>
    <r>
      <rPr>
        <sz val="8"/>
        <rFont val="游ゴシック Medium"/>
        <family val="3"/>
        <charset val="128"/>
      </rPr>
      <t>らくだいにんじゃ</t>
    </r>
    <r>
      <rPr>
        <sz val="8"/>
        <rFont val="Consolas"/>
        <family val="3"/>
      </rPr>
      <t xml:space="preserve"> </t>
    </r>
    <r>
      <rPr>
        <sz val="11"/>
        <rFont val="游ゴシック Medium"/>
        <family val="3"/>
        <charset val="128"/>
      </rPr>
      <t>らんたろう</t>
    </r>
    <rPh sb="14" eb="16">
      <t>サンニン</t>
    </rPh>
    <phoneticPr fontId="1"/>
  </si>
  <si>
    <r>
      <rPr>
        <sz val="11"/>
        <rFont val="游ゴシック Medium"/>
        <family val="3"/>
        <charset val="128"/>
      </rPr>
      <t>こどもおはなしランド</t>
    </r>
    <r>
      <rPr>
        <sz val="11"/>
        <rFont val="Consolas"/>
        <family val="3"/>
      </rPr>
      <t>39</t>
    </r>
    <phoneticPr fontId="1"/>
  </si>
  <si>
    <r>
      <rPr>
        <sz val="11"/>
        <rFont val="游ゴシック Medium"/>
        <family val="3"/>
        <charset val="128"/>
      </rPr>
      <t>ポプラ社</t>
    </r>
    <rPh sb="3" eb="4">
      <t>シャ</t>
    </rPh>
    <phoneticPr fontId="1"/>
  </si>
  <si>
    <r>
      <rPr>
        <sz val="11"/>
        <rFont val="游ゴシック Medium"/>
        <family val="3"/>
        <charset val="128"/>
      </rPr>
      <t>真秀に</t>
    </r>
    <r>
      <rPr>
        <sz val="11"/>
        <rFont val="Consolas"/>
        <family val="3"/>
      </rPr>
      <t>Present</t>
    </r>
    <rPh sb="0" eb="2">
      <t>マホ</t>
    </rPh>
    <rPh sb="3" eb="10">
      <t>プレゼント</t>
    </rPh>
    <phoneticPr fontId="1"/>
  </si>
  <si>
    <r>
      <rPr>
        <sz val="11"/>
        <rFont val="游ゴシック Medium"/>
        <family val="3"/>
        <charset val="128"/>
      </rPr>
      <t>合田経郎</t>
    </r>
    <rPh sb="0" eb="2">
      <t>アイダ</t>
    </rPh>
    <rPh sb="2" eb="4">
      <t>ツネオ</t>
    </rPh>
    <phoneticPr fontId="1"/>
  </si>
  <si>
    <r>
      <rPr>
        <sz val="11"/>
        <rFont val="游ゴシック Medium"/>
        <family val="3"/>
        <charset val="128"/>
      </rPr>
      <t>どーも、です。</t>
    </r>
    <phoneticPr fontId="1"/>
  </si>
  <si>
    <r>
      <rPr>
        <sz val="11"/>
        <rFont val="游ゴシック Medium"/>
        <family val="3"/>
        <charset val="128"/>
      </rPr>
      <t>画集</t>
    </r>
    <r>
      <rPr>
        <sz val="11"/>
        <rFont val="Consolas"/>
        <family val="3"/>
      </rPr>
      <t>/</t>
    </r>
    <r>
      <rPr>
        <sz val="11"/>
        <rFont val="游ゴシック Medium"/>
        <family val="3"/>
        <charset val="128"/>
      </rPr>
      <t>準新書</t>
    </r>
    <rPh sb="0" eb="2">
      <t>ガシュウ</t>
    </rPh>
    <rPh sb="3" eb="4">
      <t>ジュン</t>
    </rPh>
    <rPh sb="4" eb="6">
      <t>シンショ</t>
    </rPh>
    <phoneticPr fontId="1"/>
  </si>
  <si>
    <r>
      <rPr>
        <sz val="11"/>
        <rFont val="游ゴシック Medium"/>
        <family val="3"/>
        <charset val="128"/>
      </rPr>
      <t>矢島さら</t>
    </r>
    <rPh sb="0" eb="2">
      <t>ヤジマ</t>
    </rPh>
    <phoneticPr fontId="1"/>
  </si>
  <si>
    <r>
      <rPr>
        <sz val="11"/>
        <rFont val="游ゴシック Medium"/>
        <family val="3"/>
        <charset val="128"/>
      </rPr>
      <t>けろけろ</t>
    </r>
    <phoneticPr fontId="1"/>
  </si>
  <si>
    <r>
      <t>Gumby</t>
    </r>
    <r>
      <rPr>
        <sz val="11"/>
        <rFont val="游ゴシック Medium"/>
        <family val="3"/>
        <charset val="128"/>
      </rPr>
      <t>展</t>
    </r>
    <r>
      <rPr>
        <sz val="11"/>
        <rFont val="Consolas"/>
        <family val="3"/>
      </rPr>
      <t xml:space="preserve">/Sony Plaza </t>
    </r>
    <r>
      <rPr>
        <sz val="11"/>
        <rFont val="游ゴシック Medium"/>
        <family val="3"/>
        <charset val="128"/>
      </rPr>
      <t>銀座店</t>
    </r>
    <rPh sb="0" eb="5">
      <t>ガンビー</t>
    </rPh>
    <rPh sb="5" eb="6">
      <t>テン</t>
    </rPh>
    <rPh sb="7" eb="17">
      <t>ソニー　プラザ</t>
    </rPh>
    <rPh sb="18" eb="20">
      <t>ギンザ</t>
    </rPh>
    <rPh sb="20" eb="21">
      <t>テン</t>
    </rPh>
    <phoneticPr fontId="1"/>
  </si>
  <si>
    <r>
      <rPr>
        <sz val="11"/>
        <rFont val="游ゴシック Medium"/>
        <family val="3"/>
        <charset val="128"/>
      </rPr>
      <t>限定</t>
    </r>
    <r>
      <rPr>
        <sz val="11"/>
        <rFont val="Consolas"/>
        <family val="3"/>
      </rPr>
      <t>30</t>
    </r>
    <r>
      <rPr>
        <sz val="11"/>
        <rFont val="游ゴシック Medium"/>
        <family val="3"/>
        <charset val="128"/>
      </rPr>
      <t>部</t>
    </r>
    <rPh sb="0" eb="2">
      <t>ゲンテイ</t>
    </rPh>
    <rPh sb="4" eb="5">
      <t>ブ</t>
    </rPh>
    <phoneticPr fontId="1"/>
  </si>
  <si>
    <r>
      <rPr>
        <sz val="11"/>
        <rFont val="游ゴシック Medium"/>
        <family val="3"/>
        <charset val="128"/>
      </rPr>
      <t>付</t>
    </r>
    <r>
      <rPr>
        <sz val="11"/>
        <rFont val="Consolas"/>
        <family val="3"/>
      </rPr>
      <t>:Figure of Gumby</t>
    </r>
    <rPh sb="0" eb="1">
      <t>ツキ</t>
    </rPh>
    <phoneticPr fontId="1"/>
  </si>
  <si>
    <r>
      <rPr>
        <sz val="11"/>
        <rFont val="游ゴシック Medium"/>
        <family val="3"/>
        <charset val="128"/>
      </rPr>
      <t>童話</t>
    </r>
    <rPh sb="0" eb="2">
      <t>ドウワ</t>
    </rPh>
    <phoneticPr fontId="1"/>
  </si>
  <si>
    <r>
      <rPr>
        <sz val="11"/>
        <rFont val="游ゴシック Medium"/>
        <family val="3"/>
        <charset val="128"/>
      </rPr>
      <t>佐藤春夫</t>
    </r>
    <rPh sb="0" eb="2">
      <t>サトウ</t>
    </rPh>
    <rPh sb="2" eb="4">
      <t>ハルオ</t>
    </rPh>
    <phoneticPr fontId="1"/>
  </si>
  <si>
    <r>
      <rPr>
        <b/>
        <sz val="11"/>
        <color indexed="33"/>
        <rFont val="游ゴシック Medium"/>
        <family val="3"/>
        <charset val="128"/>
      </rPr>
      <t>日本童話宝玉選</t>
    </r>
    <rPh sb="0" eb="2">
      <t>ニホン</t>
    </rPh>
    <rPh sb="2" eb="4">
      <t>ドウワ</t>
    </rPh>
    <rPh sb="4" eb="6">
      <t>ホウギョク</t>
    </rPh>
    <rPh sb="6" eb="7">
      <t>セン</t>
    </rPh>
    <phoneticPr fontId="1"/>
  </si>
  <si>
    <r>
      <rPr>
        <sz val="11"/>
        <rFont val="游ゴシック Medium"/>
        <family val="3"/>
        <charset val="128"/>
      </rPr>
      <t>村岡花子</t>
    </r>
    <rPh sb="0" eb="2">
      <t>ムラオカ</t>
    </rPh>
    <rPh sb="2" eb="4">
      <t>ハナコ</t>
    </rPh>
    <phoneticPr fontId="1"/>
  </si>
  <si>
    <r>
      <rPr>
        <sz val="11"/>
        <rFont val="游ゴシック Medium"/>
        <family val="3"/>
        <charset val="128"/>
      </rPr>
      <t>ぶん</t>
    </r>
    <phoneticPr fontId="1"/>
  </si>
  <si>
    <r>
      <rPr>
        <sz val="11"/>
        <rFont val="游ゴシック Medium"/>
        <family val="3"/>
        <charset val="128"/>
      </rPr>
      <t>山中冬児</t>
    </r>
    <rPh sb="0" eb="2">
      <t>ヤマナカ</t>
    </rPh>
    <phoneticPr fontId="1"/>
  </si>
  <si>
    <r>
      <rPr>
        <sz val="11"/>
        <rFont val="游ゴシック Medium"/>
        <family val="3"/>
        <charset val="128"/>
      </rPr>
      <t>え</t>
    </r>
    <phoneticPr fontId="1"/>
  </si>
  <si>
    <r>
      <rPr>
        <sz val="11"/>
        <rFont val="游ゴシック Medium"/>
        <family val="3"/>
        <charset val="128"/>
      </rPr>
      <t>イソップ童話</t>
    </r>
    <rPh sb="4" eb="6">
      <t>ドウワ</t>
    </rPh>
    <phoneticPr fontId="1"/>
  </si>
  <si>
    <r>
      <rPr>
        <sz val="11"/>
        <rFont val="游ゴシック Medium"/>
        <family val="3"/>
        <charset val="128"/>
      </rPr>
      <t>カラー版・世界の幼年文学</t>
    </r>
    <r>
      <rPr>
        <sz val="11"/>
        <rFont val="Consolas"/>
        <family val="3"/>
      </rPr>
      <t>1/</t>
    </r>
    <r>
      <rPr>
        <sz val="11"/>
        <rFont val="游ゴシック Medium"/>
        <family val="3"/>
        <charset val="128"/>
      </rPr>
      <t>イソップ名作選</t>
    </r>
    <rPh sb="3" eb="4">
      <t>バン</t>
    </rPh>
    <rPh sb="5" eb="7">
      <t>セカイ</t>
    </rPh>
    <rPh sb="8" eb="10">
      <t>ヨウネン</t>
    </rPh>
    <rPh sb="10" eb="12">
      <t>ブンガク</t>
    </rPh>
    <rPh sb="18" eb="21">
      <t>メイサクセン</t>
    </rPh>
    <phoneticPr fontId="1"/>
  </si>
  <si>
    <r>
      <rPr>
        <sz val="11"/>
        <rFont val="游ゴシック Medium"/>
        <family val="3"/>
        <charset val="128"/>
      </rPr>
      <t>大川悦生</t>
    </r>
    <rPh sb="0" eb="2">
      <t>オオカワ</t>
    </rPh>
    <rPh sb="2" eb="4">
      <t>エツセイ</t>
    </rPh>
    <phoneticPr fontId="1"/>
  </si>
  <si>
    <r>
      <rPr>
        <sz val="11"/>
        <rFont val="游ゴシック Medium"/>
        <family val="3"/>
        <charset val="128"/>
      </rPr>
      <t>司</t>
    </r>
    <r>
      <rPr>
        <sz val="11"/>
        <rFont val="Consolas"/>
        <family val="3"/>
      </rPr>
      <t xml:space="preserve"> </t>
    </r>
    <r>
      <rPr>
        <sz val="11"/>
        <rFont val="游ゴシック Medium"/>
        <family val="3"/>
        <charset val="128"/>
      </rPr>
      <t>修</t>
    </r>
    <rPh sb="0" eb="1">
      <t>ツカサ</t>
    </rPh>
    <rPh sb="2" eb="3">
      <t>オサム</t>
    </rPh>
    <phoneticPr fontId="1"/>
  </si>
  <si>
    <r>
      <rPr>
        <b/>
        <sz val="11"/>
        <color indexed="33"/>
        <rFont val="游ゴシック Medium"/>
        <family val="3"/>
        <charset val="128"/>
      </rPr>
      <t>世界むかし話</t>
    </r>
    <rPh sb="0" eb="2">
      <t>セカイ</t>
    </rPh>
    <rPh sb="5" eb="6">
      <t>バナシ</t>
    </rPh>
    <phoneticPr fontId="1"/>
  </si>
  <si>
    <r>
      <rPr>
        <sz val="11"/>
        <rFont val="游ゴシック Medium"/>
        <family val="3"/>
        <charset val="128"/>
      </rPr>
      <t>カラー版・世界の幼年文学</t>
    </r>
    <r>
      <rPr>
        <sz val="11"/>
        <rFont val="Consolas"/>
        <family val="3"/>
      </rPr>
      <t>4/</t>
    </r>
    <r>
      <rPr>
        <sz val="11"/>
        <rFont val="游ゴシック Medium"/>
        <family val="3"/>
        <charset val="128"/>
      </rPr>
      <t>世界民話集</t>
    </r>
    <rPh sb="3" eb="4">
      <t>バン</t>
    </rPh>
    <rPh sb="5" eb="7">
      <t>セカイ</t>
    </rPh>
    <rPh sb="8" eb="10">
      <t>ヨウネン</t>
    </rPh>
    <rPh sb="10" eb="12">
      <t>ブンガク</t>
    </rPh>
    <rPh sb="14" eb="16">
      <t>セカイ</t>
    </rPh>
    <rPh sb="16" eb="18">
      <t>ミンワ</t>
    </rPh>
    <rPh sb="18" eb="19">
      <t>シュウ</t>
    </rPh>
    <phoneticPr fontId="1"/>
  </si>
  <si>
    <r>
      <t>Andersen,Hans Christian/Grimm</t>
    </r>
    <r>
      <rPr>
        <sz val="11"/>
        <rFont val="游ゴシック Medium"/>
        <family val="3"/>
        <charset val="128"/>
      </rPr>
      <t>兄弟</t>
    </r>
    <r>
      <rPr>
        <sz val="11"/>
        <rFont val="Consolas"/>
        <family val="3"/>
      </rPr>
      <t>(Jakob &amp; Wilhelm)/Perrault,Charles/Hauff,Wilhelm</t>
    </r>
    <rPh sb="0" eb="8">
      <t>アンデルセン</t>
    </rPh>
    <rPh sb="9" eb="13">
      <t>ハンス</t>
    </rPh>
    <rPh sb="14" eb="23">
      <t>クリスチャン</t>
    </rPh>
    <rPh sb="24" eb="29">
      <t>グリム</t>
    </rPh>
    <rPh sb="29" eb="31">
      <t>キョウダイ</t>
    </rPh>
    <rPh sb="32" eb="37">
      <t>ヤーコップ</t>
    </rPh>
    <rPh sb="40" eb="47">
      <t>ウィルヘルム</t>
    </rPh>
    <rPh sb="49" eb="57">
      <t>ペロー</t>
    </rPh>
    <rPh sb="58" eb="65">
      <t>シャルル</t>
    </rPh>
    <rPh sb="66" eb="71">
      <t>ハウフ</t>
    </rPh>
    <rPh sb="72" eb="79">
      <t>ウィルヘルム</t>
    </rPh>
    <phoneticPr fontId="1"/>
  </si>
  <si>
    <r>
      <rPr>
        <sz val="11"/>
        <rFont val="游ゴシック Medium"/>
        <family val="3"/>
        <charset val="128"/>
      </rPr>
      <t>山室</t>
    </r>
    <r>
      <rPr>
        <sz val="11"/>
        <rFont val="Consolas"/>
        <family val="3"/>
      </rPr>
      <t xml:space="preserve"> </t>
    </r>
    <r>
      <rPr>
        <sz val="11"/>
        <rFont val="游ゴシック Medium"/>
        <family val="3"/>
        <charset val="128"/>
      </rPr>
      <t>静・大畑末吉</t>
    </r>
    <r>
      <rPr>
        <sz val="11"/>
        <rFont val="Consolas"/>
        <family val="3"/>
      </rPr>
      <t>/</t>
    </r>
    <r>
      <rPr>
        <sz val="11"/>
        <rFont val="游ゴシック Medium"/>
        <family val="3"/>
        <charset val="128"/>
      </rPr>
      <t>植田敏郎</t>
    </r>
    <r>
      <rPr>
        <sz val="11"/>
        <rFont val="Consolas"/>
        <family val="3"/>
      </rPr>
      <t>/</t>
    </r>
    <r>
      <rPr>
        <sz val="11"/>
        <rFont val="游ゴシック Medium"/>
        <family val="3"/>
        <charset val="128"/>
      </rPr>
      <t>小林</t>
    </r>
    <r>
      <rPr>
        <sz val="11"/>
        <rFont val="Consolas"/>
        <family val="3"/>
      </rPr>
      <t xml:space="preserve"> </t>
    </r>
    <r>
      <rPr>
        <sz val="11"/>
        <rFont val="游ゴシック Medium"/>
        <family val="3"/>
        <charset val="128"/>
      </rPr>
      <t>正</t>
    </r>
    <r>
      <rPr>
        <sz val="11"/>
        <rFont val="Consolas"/>
        <family val="3"/>
      </rPr>
      <t>/</t>
    </r>
    <r>
      <rPr>
        <sz val="11"/>
        <rFont val="游ゴシック Medium"/>
        <family val="3"/>
        <charset val="128"/>
      </rPr>
      <t>石丸静雄</t>
    </r>
    <rPh sb="0" eb="2">
      <t>ヤマムロ</t>
    </rPh>
    <rPh sb="3" eb="4">
      <t>シズカ</t>
    </rPh>
    <rPh sb="5" eb="7">
      <t>オオハタ</t>
    </rPh>
    <rPh sb="7" eb="9">
      <t>スエキチ</t>
    </rPh>
    <rPh sb="10" eb="12">
      <t>ウエダ</t>
    </rPh>
    <rPh sb="12" eb="14">
      <t>トシロウ</t>
    </rPh>
    <rPh sb="15" eb="17">
      <t>コバヤシ</t>
    </rPh>
    <rPh sb="18" eb="19">
      <t>タダシ</t>
    </rPh>
    <rPh sb="20" eb="22">
      <t>イシマル</t>
    </rPh>
    <rPh sb="22" eb="24">
      <t>シズオ</t>
    </rPh>
    <phoneticPr fontId="1"/>
  </si>
  <si>
    <r>
      <rPr>
        <sz val="11"/>
        <rFont val="游ゴシック Medium"/>
        <family val="3"/>
        <charset val="128"/>
      </rPr>
      <t>アンデルセン名作集・グリム名作集・ペロー名作集・ハウフ名作集</t>
    </r>
    <r>
      <rPr>
        <sz val="11"/>
        <rFont val="Consolas"/>
        <family val="3"/>
      </rPr>
      <t>(</t>
    </r>
    <r>
      <rPr>
        <sz val="11"/>
        <rFont val="游ゴシック Medium"/>
        <family val="3"/>
        <charset val="128"/>
      </rPr>
      <t>こびとの鼻長さん</t>
    </r>
    <r>
      <rPr>
        <sz val="11"/>
        <rFont val="Consolas"/>
        <family val="3"/>
      </rPr>
      <t>)</t>
    </r>
    <rPh sb="6" eb="8">
      <t>メイサク</t>
    </rPh>
    <rPh sb="8" eb="9">
      <t>シュウ</t>
    </rPh>
    <rPh sb="13" eb="15">
      <t>メイサク</t>
    </rPh>
    <rPh sb="15" eb="16">
      <t>シュウ</t>
    </rPh>
    <rPh sb="20" eb="22">
      <t>メイサク</t>
    </rPh>
    <rPh sb="22" eb="23">
      <t>シュウ</t>
    </rPh>
    <rPh sb="27" eb="29">
      <t>メイサク</t>
    </rPh>
    <rPh sb="29" eb="30">
      <t>シュウ</t>
    </rPh>
    <rPh sb="35" eb="36">
      <t>ハナ</t>
    </rPh>
    <rPh sb="36" eb="37">
      <t>ナガ</t>
    </rPh>
    <phoneticPr fontId="1"/>
  </si>
  <si>
    <r>
      <rPr>
        <sz val="11"/>
        <rFont val="游ゴシック Medium"/>
        <family val="3"/>
        <charset val="128"/>
      </rPr>
      <t>世界の名作図書館</t>
    </r>
    <r>
      <rPr>
        <sz val="11"/>
        <rFont val="Consolas"/>
        <family val="3"/>
      </rPr>
      <t>6/</t>
    </r>
    <r>
      <rPr>
        <sz val="11"/>
        <rFont val="游ゴシック Medium"/>
        <family val="3"/>
        <charset val="128"/>
      </rPr>
      <t>監修</t>
    </r>
    <r>
      <rPr>
        <sz val="11"/>
        <rFont val="Consolas"/>
        <family val="3"/>
      </rPr>
      <t>:</t>
    </r>
    <r>
      <rPr>
        <sz val="11"/>
        <rFont val="游ゴシック Medium"/>
        <family val="3"/>
        <charset val="128"/>
      </rPr>
      <t>志賀直哉</t>
    </r>
    <r>
      <rPr>
        <sz val="11"/>
        <rFont val="Consolas"/>
        <family val="3"/>
      </rPr>
      <t>,</t>
    </r>
    <r>
      <rPr>
        <sz val="11"/>
        <rFont val="游ゴシック Medium"/>
        <family val="3"/>
        <charset val="128"/>
      </rPr>
      <t>坪田譲治</t>
    </r>
    <r>
      <rPr>
        <sz val="11"/>
        <rFont val="Consolas"/>
        <family val="3"/>
      </rPr>
      <t>,</t>
    </r>
    <r>
      <rPr>
        <sz val="11"/>
        <rFont val="游ゴシック Medium"/>
        <family val="3"/>
        <charset val="128"/>
      </rPr>
      <t>土岐善麿</t>
    </r>
    <r>
      <rPr>
        <sz val="11"/>
        <rFont val="Consolas"/>
        <family val="3"/>
      </rPr>
      <t>,</t>
    </r>
    <r>
      <rPr>
        <sz val="11"/>
        <rFont val="游ゴシック Medium"/>
        <family val="3"/>
        <charset val="128"/>
      </rPr>
      <t>浜田廣介</t>
    </r>
    <r>
      <rPr>
        <sz val="11"/>
        <rFont val="Consolas"/>
        <family val="3"/>
      </rPr>
      <t>,</t>
    </r>
    <r>
      <rPr>
        <sz val="11"/>
        <rFont val="游ゴシック Medium"/>
        <family val="3"/>
        <charset val="128"/>
      </rPr>
      <t>ギヨ</t>
    </r>
    <r>
      <rPr>
        <sz val="11"/>
        <rFont val="Consolas"/>
        <family val="3"/>
      </rPr>
      <t>,</t>
    </r>
    <r>
      <rPr>
        <sz val="11"/>
        <rFont val="游ゴシック Medium"/>
        <family val="3"/>
        <charset val="128"/>
      </rPr>
      <t>クリュス</t>
    </r>
    <r>
      <rPr>
        <sz val="11"/>
        <rFont val="Consolas"/>
        <family val="3"/>
      </rPr>
      <t>,</t>
    </r>
    <r>
      <rPr>
        <sz val="11"/>
        <rFont val="游ゴシック Medium"/>
        <family val="3"/>
        <charset val="128"/>
      </rPr>
      <t>ノーソフ</t>
    </r>
    <r>
      <rPr>
        <sz val="11"/>
        <rFont val="Consolas"/>
        <family val="3"/>
      </rPr>
      <t>,</t>
    </r>
    <r>
      <rPr>
        <sz val="11"/>
        <rFont val="游ゴシック Medium"/>
        <family val="3"/>
        <charset val="128"/>
      </rPr>
      <t>マクギニス</t>
    </r>
    <rPh sb="0" eb="2">
      <t>セカイ</t>
    </rPh>
    <rPh sb="3" eb="5">
      <t>メイサク</t>
    </rPh>
    <rPh sb="5" eb="8">
      <t>トショカン</t>
    </rPh>
    <rPh sb="10" eb="12">
      <t>カンシュウ</t>
    </rPh>
    <rPh sb="13" eb="15">
      <t>シガ</t>
    </rPh>
    <rPh sb="15" eb="17">
      <t>ナオヤ</t>
    </rPh>
    <rPh sb="18" eb="20">
      <t>ツボタ</t>
    </rPh>
    <rPh sb="20" eb="22">
      <t>ジョウジ</t>
    </rPh>
    <rPh sb="23" eb="25">
      <t>トキ</t>
    </rPh>
    <rPh sb="25" eb="27">
      <t>ゼンマロ</t>
    </rPh>
    <rPh sb="28" eb="30">
      <t>ハマダ</t>
    </rPh>
    <rPh sb="30" eb="32">
      <t>ヒロスケ</t>
    </rPh>
    <phoneticPr fontId="1"/>
  </si>
  <si>
    <r>
      <rPr>
        <sz val="11"/>
        <rFont val="游ゴシック Medium"/>
        <family val="3"/>
        <charset val="128"/>
      </rPr>
      <t>小野木</t>
    </r>
    <r>
      <rPr>
        <sz val="11"/>
        <rFont val="Consolas"/>
        <family val="3"/>
      </rPr>
      <t xml:space="preserve"> </t>
    </r>
    <r>
      <rPr>
        <sz val="11"/>
        <rFont val="游ゴシック Medium"/>
        <family val="3"/>
        <charset val="128"/>
      </rPr>
      <t>学</t>
    </r>
    <r>
      <rPr>
        <sz val="11"/>
        <rFont val="Consolas"/>
        <family val="3"/>
      </rPr>
      <t>/</t>
    </r>
    <r>
      <rPr>
        <sz val="11"/>
        <rFont val="游ゴシック Medium"/>
        <family val="3"/>
        <charset val="128"/>
      </rPr>
      <t>谷</t>
    </r>
    <r>
      <rPr>
        <sz val="11"/>
        <rFont val="Consolas"/>
        <family val="3"/>
      </rPr>
      <t xml:space="preserve"> </t>
    </r>
    <r>
      <rPr>
        <sz val="11"/>
        <rFont val="游ゴシック Medium"/>
        <family val="3"/>
        <charset val="128"/>
      </rPr>
      <t>真介</t>
    </r>
    <rPh sb="0" eb="3">
      <t>オノギ</t>
    </rPh>
    <rPh sb="4" eb="5">
      <t>マナブ</t>
    </rPh>
    <rPh sb="6" eb="7">
      <t>タニ</t>
    </rPh>
    <rPh sb="8" eb="10">
      <t>シンスケ</t>
    </rPh>
    <phoneticPr fontId="1"/>
  </si>
  <si>
    <r>
      <rPr>
        <sz val="11"/>
        <rFont val="游ゴシック Medium"/>
        <family val="3"/>
        <charset val="128"/>
      </rPr>
      <t>絵</t>
    </r>
    <r>
      <rPr>
        <sz val="11"/>
        <rFont val="Consolas"/>
        <family val="3"/>
      </rPr>
      <t>/</t>
    </r>
    <r>
      <rPr>
        <sz val="11"/>
        <rFont val="游ゴシック Medium"/>
        <family val="3"/>
        <charset val="128"/>
      </rPr>
      <t>文</t>
    </r>
    <rPh sb="0" eb="1">
      <t>エ</t>
    </rPh>
    <rPh sb="2" eb="3">
      <t>ブン</t>
    </rPh>
    <phoneticPr fontId="1"/>
  </si>
  <si>
    <r>
      <rPr>
        <sz val="11"/>
        <rFont val="游ゴシック Medium"/>
        <family val="3"/>
        <charset val="128"/>
      </rPr>
      <t>オズのまほうつかい</t>
    </r>
    <phoneticPr fontId="1"/>
  </si>
  <si>
    <r>
      <rPr>
        <sz val="11"/>
        <rFont val="游ゴシック Medium"/>
        <family val="3"/>
        <charset val="128"/>
      </rPr>
      <t>名作アニメート絵話</t>
    </r>
    <r>
      <rPr>
        <sz val="11"/>
        <rFont val="Consolas"/>
        <family val="3"/>
      </rPr>
      <t>5/</t>
    </r>
    <r>
      <rPr>
        <sz val="11"/>
        <rFont val="游ゴシック Medium"/>
        <family val="3"/>
        <charset val="128"/>
      </rPr>
      <t>オールカラー</t>
    </r>
    <r>
      <rPr>
        <sz val="11"/>
        <rFont val="Consolas"/>
        <family val="3"/>
      </rPr>
      <t>/</t>
    </r>
    <r>
      <rPr>
        <sz val="11"/>
        <rFont val="游ゴシック Medium"/>
        <family val="3"/>
        <charset val="128"/>
      </rPr>
      <t>浜田廣介</t>
    </r>
    <r>
      <rPr>
        <sz val="11"/>
        <rFont val="Consolas"/>
        <family val="3"/>
      </rPr>
      <t>:</t>
    </r>
    <r>
      <rPr>
        <sz val="11"/>
        <rFont val="游ゴシック Medium"/>
        <family val="3"/>
        <charset val="128"/>
      </rPr>
      <t>監修</t>
    </r>
    <r>
      <rPr>
        <sz val="11"/>
        <rFont val="Consolas"/>
        <family val="3"/>
      </rPr>
      <t>:</t>
    </r>
    <r>
      <rPr>
        <sz val="11"/>
        <rFont val="游ゴシック Medium"/>
        <family val="3"/>
        <charset val="128"/>
      </rPr>
      <t>日本児童文芸家協会会長</t>
    </r>
    <r>
      <rPr>
        <sz val="11"/>
        <rFont val="Consolas"/>
        <family val="3"/>
      </rPr>
      <t>/</t>
    </r>
    <r>
      <rPr>
        <sz val="11"/>
        <rFont val="游ゴシック Medium"/>
        <family val="3"/>
        <charset val="128"/>
      </rPr>
      <t>曽野綾子</t>
    </r>
    <r>
      <rPr>
        <sz val="11"/>
        <rFont val="Consolas"/>
        <family val="3"/>
      </rPr>
      <t>:</t>
    </r>
    <r>
      <rPr>
        <sz val="11"/>
        <rFont val="游ゴシック Medium"/>
        <family val="3"/>
        <charset val="128"/>
      </rPr>
      <t>監修</t>
    </r>
    <r>
      <rPr>
        <sz val="11"/>
        <rFont val="Consolas"/>
        <family val="3"/>
      </rPr>
      <t>:</t>
    </r>
    <r>
      <rPr>
        <sz val="11"/>
        <rFont val="游ゴシック Medium"/>
        <family val="3"/>
        <charset val="128"/>
      </rPr>
      <t>作家</t>
    </r>
    <r>
      <rPr>
        <sz val="11"/>
        <rFont val="Consolas"/>
        <family val="3"/>
      </rPr>
      <t>/</t>
    </r>
    <r>
      <rPr>
        <sz val="11"/>
        <rFont val="游ゴシック Medium"/>
        <family val="3"/>
        <charset val="128"/>
      </rPr>
      <t>品川不二郎</t>
    </r>
    <r>
      <rPr>
        <sz val="11"/>
        <rFont val="Consolas"/>
        <family val="3"/>
      </rPr>
      <t>:</t>
    </r>
    <r>
      <rPr>
        <sz val="11"/>
        <rFont val="游ゴシック Medium"/>
        <family val="3"/>
        <charset val="128"/>
      </rPr>
      <t>監修</t>
    </r>
    <r>
      <rPr>
        <sz val="11"/>
        <rFont val="Consolas"/>
        <family val="3"/>
      </rPr>
      <t>&amp;</t>
    </r>
    <r>
      <rPr>
        <sz val="11"/>
        <rFont val="游ゴシック Medium"/>
        <family val="3"/>
        <charset val="128"/>
      </rPr>
      <t>読書指導と解説</t>
    </r>
    <r>
      <rPr>
        <sz val="11"/>
        <rFont val="Consolas"/>
        <family val="3"/>
      </rPr>
      <t>:</t>
    </r>
    <r>
      <rPr>
        <sz val="11"/>
        <rFont val="游ゴシック Medium"/>
        <family val="3"/>
        <charset val="128"/>
      </rPr>
      <t>東京学芸大教授</t>
    </r>
    <r>
      <rPr>
        <sz val="11"/>
        <rFont val="Consolas"/>
        <family val="3"/>
      </rPr>
      <t>:</t>
    </r>
    <r>
      <rPr>
        <sz val="11"/>
        <rFont val="游ゴシック Medium"/>
        <family val="3"/>
        <charset val="128"/>
      </rPr>
      <t>文学博士</t>
    </r>
    <rPh sb="0" eb="2">
      <t>メイサク</t>
    </rPh>
    <rPh sb="7" eb="8">
      <t>エ</t>
    </rPh>
    <rPh sb="8" eb="9">
      <t>ワ</t>
    </rPh>
    <rPh sb="18" eb="20">
      <t>ハマダ</t>
    </rPh>
    <rPh sb="20" eb="22">
      <t>ヒロスケ</t>
    </rPh>
    <rPh sb="23" eb="25">
      <t>カンシュウ</t>
    </rPh>
    <rPh sb="26" eb="28">
      <t>ニホン</t>
    </rPh>
    <rPh sb="28" eb="30">
      <t>ジドウ</t>
    </rPh>
    <rPh sb="30" eb="33">
      <t>ブンゲイカ</t>
    </rPh>
    <rPh sb="33" eb="35">
      <t>キョウカイ</t>
    </rPh>
    <rPh sb="35" eb="37">
      <t>カイチョウ</t>
    </rPh>
    <rPh sb="38" eb="40">
      <t>ソノ</t>
    </rPh>
    <rPh sb="40" eb="42">
      <t>アヤコ</t>
    </rPh>
    <rPh sb="43" eb="45">
      <t>カンシュウ</t>
    </rPh>
    <rPh sb="46" eb="48">
      <t>サッカ</t>
    </rPh>
    <rPh sb="49" eb="51">
      <t>シナガワ</t>
    </rPh>
    <rPh sb="51" eb="54">
      <t>フジロウ</t>
    </rPh>
    <rPh sb="55" eb="57">
      <t>カンシュウ</t>
    </rPh>
    <rPh sb="58" eb="60">
      <t>ドクショ</t>
    </rPh>
    <rPh sb="60" eb="62">
      <t>シドウ</t>
    </rPh>
    <rPh sb="63" eb="65">
      <t>カイセツ</t>
    </rPh>
    <rPh sb="66" eb="68">
      <t>トウキョウ</t>
    </rPh>
    <rPh sb="68" eb="71">
      <t>ガクゲイダイ</t>
    </rPh>
    <rPh sb="71" eb="73">
      <t>キョウジュ</t>
    </rPh>
    <rPh sb="74" eb="76">
      <t>ブンガク</t>
    </rPh>
    <rPh sb="76" eb="78">
      <t>ハクシ</t>
    </rPh>
    <phoneticPr fontId="1"/>
  </si>
  <si>
    <r>
      <rPr>
        <sz val="11"/>
        <rFont val="游ゴシック Medium"/>
        <family val="3"/>
        <charset val="128"/>
      </rPr>
      <t>秀樹実家</t>
    </r>
    <r>
      <rPr>
        <sz val="11"/>
        <rFont val="Consolas"/>
        <family val="3"/>
      </rPr>
      <t>/</t>
    </r>
    <r>
      <rPr>
        <sz val="11"/>
        <rFont val="游ゴシック Medium"/>
        <family val="3"/>
        <charset val="128"/>
      </rPr>
      <t>隣の竹中姉妹からのプレゼント</t>
    </r>
    <rPh sb="0" eb="2">
      <t>ヒデキ</t>
    </rPh>
    <rPh sb="2" eb="4">
      <t>ジッカ</t>
    </rPh>
    <rPh sb="5" eb="6">
      <t>トナリ</t>
    </rPh>
    <rPh sb="7" eb="9">
      <t>タケナカ</t>
    </rPh>
    <rPh sb="9" eb="11">
      <t>シマイ</t>
    </rPh>
    <phoneticPr fontId="1"/>
  </si>
  <si>
    <r>
      <rPr>
        <sz val="11"/>
        <rFont val="游ゴシック Medium"/>
        <family val="3"/>
        <charset val="128"/>
      </rPr>
      <t>平塚武二</t>
    </r>
    <r>
      <rPr>
        <sz val="11"/>
        <rFont val="Consolas"/>
        <family val="3"/>
      </rPr>
      <t>/</t>
    </r>
    <r>
      <rPr>
        <sz val="11"/>
        <rFont val="游ゴシック Medium"/>
        <family val="3"/>
        <charset val="128"/>
      </rPr>
      <t>桜井誠</t>
    </r>
    <rPh sb="0" eb="2">
      <t>ヒラツカ</t>
    </rPh>
    <rPh sb="2" eb="4">
      <t>タケジ</t>
    </rPh>
    <rPh sb="5" eb="7">
      <t>サクライ</t>
    </rPh>
    <rPh sb="7" eb="8">
      <t>マコト</t>
    </rPh>
    <phoneticPr fontId="1"/>
  </si>
  <si>
    <r>
      <rPr>
        <sz val="11"/>
        <rFont val="游ゴシック Medium"/>
        <family val="3"/>
        <charset val="128"/>
      </rPr>
      <t>ぶん</t>
    </r>
    <r>
      <rPr>
        <sz val="11"/>
        <rFont val="Consolas"/>
        <family val="3"/>
      </rPr>
      <t>/</t>
    </r>
    <r>
      <rPr>
        <sz val="11"/>
        <rFont val="游ゴシック Medium"/>
        <family val="3"/>
        <charset val="128"/>
      </rPr>
      <t>え</t>
    </r>
    <phoneticPr fontId="1"/>
  </si>
  <si>
    <r>
      <rPr>
        <sz val="11"/>
        <rFont val="游ゴシック Medium"/>
        <family val="3"/>
        <charset val="128"/>
      </rPr>
      <t>ピノキオ</t>
    </r>
    <phoneticPr fontId="1"/>
  </si>
  <si>
    <r>
      <rPr>
        <sz val="11"/>
        <rFont val="游ゴシック Medium"/>
        <family val="3"/>
        <charset val="128"/>
      </rPr>
      <t>きんいろの名作絵童話</t>
    </r>
    <r>
      <rPr>
        <sz val="11"/>
        <rFont val="Consolas"/>
        <family val="3"/>
      </rPr>
      <t>1</t>
    </r>
    <rPh sb="5" eb="7">
      <t>メイサク</t>
    </rPh>
    <rPh sb="7" eb="8">
      <t>エ</t>
    </rPh>
    <rPh sb="8" eb="10">
      <t>ドウワ</t>
    </rPh>
    <phoneticPr fontId="1"/>
  </si>
  <si>
    <r>
      <rPr>
        <sz val="11"/>
        <rFont val="游ゴシック Medium"/>
        <family val="3"/>
        <charset val="128"/>
      </rPr>
      <t>盛光社</t>
    </r>
    <rPh sb="0" eb="2">
      <t>モリミツ</t>
    </rPh>
    <rPh sb="2" eb="3">
      <t>シャ</t>
    </rPh>
    <phoneticPr fontId="1"/>
  </si>
  <si>
    <r>
      <rPr>
        <sz val="11"/>
        <rFont val="游ゴシック Medium"/>
        <family val="3"/>
        <charset val="128"/>
      </rPr>
      <t>呉承恩</t>
    </r>
    <rPh sb="0" eb="3">
      <t>ゴショウオン</t>
    </rPh>
    <phoneticPr fontId="1"/>
  </si>
  <si>
    <r>
      <rPr>
        <sz val="11"/>
        <rFont val="游ゴシック Medium"/>
        <family val="3"/>
        <charset val="128"/>
      </rPr>
      <t>土屋由岐雄</t>
    </r>
    <r>
      <rPr>
        <sz val="11"/>
        <rFont val="Consolas"/>
        <family val="3"/>
      </rPr>
      <t>/</t>
    </r>
    <r>
      <rPr>
        <sz val="11"/>
        <rFont val="游ゴシック Medium"/>
        <family val="3"/>
        <charset val="128"/>
      </rPr>
      <t>武田将美</t>
    </r>
    <rPh sb="0" eb="5">
      <t>ツチヤユキオ</t>
    </rPh>
    <rPh sb="6" eb="8">
      <t>タケダ</t>
    </rPh>
    <rPh sb="8" eb="10">
      <t>マサミ</t>
    </rPh>
    <phoneticPr fontId="1"/>
  </si>
  <si>
    <r>
      <rPr>
        <sz val="11"/>
        <rFont val="游ゴシック Medium"/>
        <family val="3"/>
        <charset val="128"/>
      </rPr>
      <t>文</t>
    </r>
    <r>
      <rPr>
        <sz val="11"/>
        <rFont val="Consolas"/>
        <family val="3"/>
      </rPr>
      <t>/</t>
    </r>
    <r>
      <rPr>
        <sz val="11"/>
        <rFont val="游ゴシック Medium"/>
        <family val="3"/>
        <charset val="128"/>
      </rPr>
      <t>画</t>
    </r>
    <rPh sb="0" eb="1">
      <t>ブン</t>
    </rPh>
    <rPh sb="2" eb="3">
      <t>ガ</t>
    </rPh>
    <phoneticPr fontId="1"/>
  </si>
  <si>
    <r>
      <rPr>
        <sz val="11"/>
        <rFont val="游ゴシック Medium"/>
        <family val="3"/>
        <charset val="128"/>
      </rPr>
      <t>そんごくう</t>
    </r>
    <phoneticPr fontId="1"/>
  </si>
  <si>
    <r>
      <rPr>
        <sz val="11"/>
        <rFont val="游ゴシック Medium"/>
        <family val="3"/>
        <charset val="128"/>
      </rPr>
      <t>なかよし絵文庫</t>
    </r>
    <r>
      <rPr>
        <sz val="11"/>
        <rFont val="Consolas"/>
        <family val="3"/>
      </rPr>
      <t>17/</t>
    </r>
    <r>
      <rPr>
        <sz val="11"/>
        <rFont val="游ゴシック Medium"/>
        <family val="3"/>
        <charset val="128"/>
      </rPr>
      <t>浜田廣介</t>
    </r>
    <r>
      <rPr>
        <sz val="11"/>
        <rFont val="Consolas"/>
        <family val="3"/>
      </rPr>
      <t>,</t>
    </r>
    <r>
      <rPr>
        <sz val="11"/>
        <rFont val="游ゴシック Medium"/>
        <family val="3"/>
        <charset val="128"/>
      </rPr>
      <t>海後宗臣</t>
    </r>
    <r>
      <rPr>
        <sz val="11"/>
        <rFont val="Consolas"/>
        <family val="3"/>
      </rPr>
      <t>:</t>
    </r>
    <r>
      <rPr>
        <sz val="11"/>
        <rFont val="游ゴシック Medium"/>
        <family val="3"/>
        <charset val="128"/>
      </rPr>
      <t>監修</t>
    </r>
    <rPh sb="4" eb="5">
      <t>エ</t>
    </rPh>
    <rPh sb="5" eb="7">
      <t>ブンコ</t>
    </rPh>
    <rPh sb="10" eb="12">
      <t>ハマダ</t>
    </rPh>
    <rPh sb="12" eb="14">
      <t>ヒロスケ</t>
    </rPh>
    <rPh sb="15" eb="17">
      <t>カイゴ</t>
    </rPh>
    <rPh sb="17" eb="19">
      <t>ムネオミ</t>
    </rPh>
    <rPh sb="20" eb="22">
      <t>カンシュウ</t>
    </rPh>
    <phoneticPr fontId="1"/>
  </si>
  <si>
    <r>
      <rPr>
        <sz val="11"/>
        <rFont val="游ゴシック Medium"/>
        <family val="3"/>
        <charset val="128"/>
      </rPr>
      <t>谷川俊太郎</t>
    </r>
    <rPh sb="0" eb="2">
      <t>タニカワ</t>
    </rPh>
    <rPh sb="2" eb="5">
      <t>シュンタロウ</t>
    </rPh>
    <phoneticPr fontId="1"/>
  </si>
  <si>
    <r>
      <rPr>
        <sz val="11"/>
        <rFont val="游ゴシック Medium"/>
        <family val="3"/>
        <charset val="128"/>
      </rPr>
      <t>堀内誠一</t>
    </r>
    <rPh sb="0" eb="2">
      <t>ホリウチ</t>
    </rPh>
    <rPh sb="2" eb="4">
      <t>セイイチ</t>
    </rPh>
    <phoneticPr fontId="1"/>
  </si>
  <si>
    <r>
      <t>Mother Goose</t>
    </r>
    <r>
      <rPr>
        <sz val="11"/>
        <rFont val="游ゴシック Medium"/>
        <family val="3"/>
        <charset val="128"/>
      </rPr>
      <t>のうた</t>
    </r>
    <r>
      <rPr>
        <sz val="11"/>
        <rFont val="Consolas"/>
        <family val="3"/>
      </rPr>
      <t>/The Songs of Mother Goose</t>
    </r>
    <rPh sb="0" eb="12">
      <t>マザー･グース</t>
    </rPh>
    <rPh sb="29" eb="41">
      <t>マザー･グース</t>
    </rPh>
    <phoneticPr fontId="1"/>
  </si>
  <si>
    <r>
      <rPr>
        <sz val="11"/>
        <rFont val="游ゴシック Medium"/>
        <family val="3"/>
        <charset val="128"/>
      </rPr>
      <t>上石神井</t>
    </r>
    <rPh sb="0" eb="4">
      <t>カミシャクジイ</t>
    </rPh>
    <phoneticPr fontId="1"/>
  </si>
  <si>
    <r>
      <rPr>
        <strike/>
        <sz val="11"/>
        <rFont val="游ゴシック Medium"/>
        <family val="3"/>
        <charset val="128"/>
      </rPr>
      <t>フォトエージェンジー・アイ</t>
    </r>
    <phoneticPr fontId="1"/>
  </si>
  <si>
    <r>
      <rPr>
        <strike/>
        <sz val="11"/>
        <rFont val="游ゴシック Medium"/>
        <family val="3"/>
        <charset val="128"/>
      </rPr>
      <t>写真</t>
    </r>
    <rPh sb="0" eb="2">
      <t>シャシン</t>
    </rPh>
    <phoneticPr fontId="1"/>
  </si>
  <si>
    <r>
      <rPr>
        <strike/>
        <sz val="11"/>
        <rFont val="游ゴシック Medium"/>
        <family val="3"/>
        <charset val="128"/>
      </rPr>
      <t>これなあに</t>
    </r>
    <r>
      <rPr>
        <strike/>
        <sz val="11"/>
        <rFont val="Consolas"/>
        <family val="3"/>
      </rPr>
      <t xml:space="preserve"> ? </t>
    </r>
    <r>
      <rPr>
        <strike/>
        <sz val="11"/>
        <rFont val="游ゴシック Medium"/>
        <family val="3"/>
        <charset val="128"/>
      </rPr>
      <t>おやつ</t>
    </r>
    <phoneticPr fontId="1"/>
  </si>
  <si>
    <r>
      <rPr>
        <strike/>
        <sz val="11"/>
        <rFont val="游ゴシック Medium"/>
        <family val="3"/>
        <charset val="128"/>
      </rPr>
      <t>ジュリアンの</t>
    </r>
    <r>
      <rPr>
        <strike/>
        <sz val="11"/>
        <rFont val="Consolas"/>
        <family val="3"/>
      </rPr>
      <t xml:space="preserve"> </t>
    </r>
    <r>
      <rPr>
        <strike/>
        <sz val="11"/>
        <rFont val="游ゴシック Medium"/>
        <family val="3"/>
        <charset val="128"/>
      </rPr>
      <t>はじめて絵本</t>
    </r>
    <r>
      <rPr>
        <strike/>
        <sz val="11"/>
        <rFont val="Consolas"/>
        <family val="3"/>
      </rPr>
      <t xml:space="preserve"> 1</t>
    </r>
    <rPh sb="11" eb="13">
      <t>エホン</t>
    </rPh>
    <phoneticPr fontId="1"/>
  </si>
  <si>
    <r>
      <rPr>
        <strike/>
        <sz val="11"/>
        <rFont val="游ゴシック Medium"/>
        <family val="3"/>
        <charset val="128"/>
      </rPr>
      <t>ジュリアン</t>
    </r>
    <phoneticPr fontId="1"/>
  </si>
  <si>
    <r>
      <rPr>
        <strike/>
        <sz val="11"/>
        <rFont val="游ゴシック Medium"/>
        <family val="3"/>
        <charset val="128"/>
      </rPr>
      <t>東先生</t>
    </r>
    <rPh sb="0" eb="1">
      <t>ヒガシ</t>
    </rPh>
    <rPh sb="1" eb="3">
      <t>センセイ</t>
    </rPh>
    <phoneticPr fontId="1"/>
  </si>
  <si>
    <r>
      <rPr>
        <strike/>
        <sz val="11"/>
        <rFont val="游ゴシック Medium"/>
        <family val="3"/>
        <charset val="128"/>
      </rPr>
      <t>これ、わかるかな</t>
    </r>
    <r>
      <rPr>
        <strike/>
        <sz val="11"/>
        <rFont val="Consolas"/>
        <family val="3"/>
      </rPr>
      <t xml:space="preserve"> ? </t>
    </r>
    <r>
      <rPr>
        <strike/>
        <sz val="11"/>
        <rFont val="游ゴシック Medium"/>
        <family val="3"/>
        <charset val="128"/>
      </rPr>
      <t>くだもの</t>
    </r>
    <phoneticPr fontId="1"/>
  </si>
  <si>
    <r>
      <rPr>
        <strike/>
        <sz val="11"/>
        <rFont val="游ゴシック Medium"/>
        <family val="3"/>
        <charset val="128"/>
      </rPr>
      <t>にほんごとえいごでいってみよう</t>
    </r>
    <r>
      <rPr>
        <strike/>
        <sz val="11"/>
        <rFont val="Consolas"/>
        <family val="3"/>
      </rPr>
      <t>!</t>
    </r>
    <phoneticPr fontId="1"/>
  </si>
  <si>
    <r>
      <rPr>
        <strike/>
        <sz val="11"/>
        <rFont val="游ゴシック Medium"/>
        <family val="3"/>
        <charset val="128"/>
      </rPr>
      <t>ジャパンセールスレップ</t>
    </r>
    <phoneticPr fontId="1"/>
  </si>
  <si>
    <r>
      <rPr>
        <strike/>
        <sz val="11"/>
        <rFont val="游ゴシック Medium"/>
        <family val="3"/>
        <charset val="128"/>
      </rPr>
      <t>童話</t>
    </r>
    <rPh sb="0" eb="2">
      <t>ドウワ</t>
    </rPh>
    <phoneticPr fontId="1"/>
  </si>
  <si>
    <r>
      <rPr>
        <strike/>
        <sz val="11"/>
        <rFont val="游ゴシック Medium"/>
        <family val="3"/>
        <charset val="128"/>
      </rPr>
      <t>五味太郎</t>
    </r>
    <rPh sb="0" eb="2">
      <t>ゴミ</t>
    </rPh>
    <rPh sb="2" eb="4">
      <t>タロウ</t>
    </rPh>
    <phoneticPr fontId="1"/>
  </si>
  <si>
    <r>
      <rPr>
        <strike/>
        <sz val="11"/>
        <rFont val="游ゴシック Medium"/>
        <family val="3"/>
        <charset val="128"/>
      </rPr>
      <t>いろ</t>
    </r>
    <phoneticPr fontId="1"/>
  </si>
  <si>
    <r>
      <rPr>
        <strike/>
        <sz val="11"/>
        <rFont val="游ゴシック Medium"/>
        <family val="3"/>
        <charset val="128"/>
      </rPr>
      <t>五味太郎の絵本</t>
    </r>
    <r>
      <rPr>
        <strike/>
        <sz val="11"/>
        <rFont val="Consolas"/>
        <family val="3"/>
      </rPr>
      <t>9</t>
    </r>
    <rPh sb="0" eb="2">
      <t>ゴミ</t>
    </rPh>
    <rPh sb="2" eb="4">
      <t>タロウ</t>
    </rPh>
    <rPh sb="5" eb="7">
      <t>エホン</t>
    </rPh>
    <phoneticPr fontId="1"/>
  </si>
  <si>
    <r>
      <rPr>
        <strike/>
        <sz val="11"/>
        <rFont val="游ゴシック Medium"/>
        <family val="3"/>
        <charset val="128"/>
      </rPr>
      <t>絵本館</t>
    </r>
    <rPh sb="0" eb="2">
      <t>エホン</t>
    </rPh>
    <rPh sb="2" eb="3">
      <t>カン</t>
    </rPh>
    <phoneticPr fontId="1"/>
  </si>
  <si>
    <r>
      <rPr>
        <strike/>
        <sz val="11"/>
        <rFont val="游ゴシック Medium"/>
        <family val="3"/>
        <charset val="128"/>
      </rPr>
      <t>都立王子第二養護学校</t>
    </r>
    <rPh sb="0" eb="2">
      <t>トリツ</t>
    </rPh>
    <rPh sb="2" eb="4">
      <t>オウジ</t>
    </rPh>
    <rPh sb="4" eb="6">
      <t>ダイニ</t>
    </rPh>
    <rPh sb="6" eb="8">
      <t>ヨウゴ</t>
    </rPh>
    <rPh sb="8" eb="10">
      <t>ガッコウ</t>
    </rPh>
    <phoneticPr fontId="1"/>
  </si>
  <si>
    <r>
      <rPr>
        <strike/>
        <sz val="11"/>
        <rFont val="游ゴシック Medium"/>
        <family val="3"/>
        <charset val="128"/>
      </rPr>
      <t>往来座に売る</t>
    </r>
    <rPh sb="0" eb="2">
      <t>オウライ</t>
    </rPh>
    <rPh sb="2" eb="3">
      <t>ザ</t>
    </rPh>
    <rPh sb="4" eb="5">
      <t>ウ</t>
    </rPh>
    <phoneticPr fontId="1"/>
  </si>
  <si>
    <r>
      <rPr>
        <strike/>
        <sz val="11"/>
        <rFont val="游ゴシック Medium"/>
        <family val="3"/>
        <charset val="128"/>
      </rPr>
      <t>キヨノ</t>
    </r>
    <r>
      <rPr>
        <strike/>
        <sz val="11"/>
        <rFont val="Consolas"/>
        <family val="3"/>
      </rPr>
      <t xml:space="preserve"> </t>
    </r>
    <r>
      <rPr>
        <strike/>
        <sz val="11"/>
        <rFont val="游ゴシック Medium"/>
        <family val="3"/>
        <charset val="128"/>
      </rPr>
      <t>サチコ</t>
    </r>
    <r>
      <rPr>
        <strike/>
        <sz val="11"/>
        <rFont val="Consolas"/>
        <family val="3"/>
      </rPr>
      <t>(</t>
    </r>
    <r>
      <rPr>
        <strike/>
        <sz val="11"/>
        <rFont val="游ゴシック Medium"/>
        <family val="3"/>
        <charset val="128"/>
      </rPr>
      <t>清野幸子</t>
    </r>
    <r>
      <rPr>
        <strike/>
        <sz val="11"/>
        <rFont val="Consolas"/>
        <family val="3"/>
      </rPr>
      <t>)</t>
    </r>
    <rPh sb="8" eb="10">
      <t>キヨノ</t>
    </rPh>
    <rPh sb="10" eb="12">
      <t>サチコ</t>
    </rPh>
    <phoneticPr fontId="1"/>
  </si>
  <si>
    <r>
      <rPr>
        <strike/>
        <sz val="11"/>
        <rFont val="游ゴシック Medium"/>
        <family val="3"/>
        <charset val="128"/>
      </rPr>
      <t>作・絵</t>
    </r>
    <rPh sb="0" eb="1">
      <t>サク</t>
    </rPh>
    <rPh sb="2" eb="3">
      <t>エ</t>
    </rPh>
    <phoneticPr fontId="1"/>
  </si>
  <si>
    <r>
      <rPr>
        <strike/>
        <sz val="11"/>
        <rFont val="游ゴシック Medium"/>
        <family val="3"/>
        <charset val="128"/>
      </rPr>
      <t>ノンタン</t>
    </r>
    <r>
      <rPr>
        <strike/>
        <sz val="11"/>
        <rFont val="Consolas"/>
        <family val="3"/>
      </rPr>
      <t xml:space="preserve"> </t>
    </r>
    <r>
      <rPr>
        <strike/>
        <sz val="11"/>
        <rFont val="游ゴシック Medium"/>
        <family val="3"/>
        <charset val="128"/>
      </rPr>
      <t>ぶらんこのせて</t>
    </r>
    <phoneticPr fontId="1"/>
  </si>
  <si>
    <r>
      <rPr>
        <strike/>
        <sz val="11"/>
        <rFont val="游ゴシック Medium"/>
        <family val="3"/>
        <charset val="128"/>
      </rPr>
      <t>ノンタンあそぼうよ</t>
    </r>
    <r>
      <rPr>
        <strike/>
        <sz val="11"/>
        <rFont val="Consolas"/>
        <family val="3"/>
      </rPr>
      <t>1</t>
    </r>
    <phoneticPr fontId="1"/>
  </si>
  <si>
    <r>
      <rPr>
        <strike/>
        <sz val="11"/>
        <rFont val="游ゴシック Medium"/>
        <family val="3"/>
        <charset val="128"/>
      </rPr>
      <t>偕成社</t>
    </r>
    <rPh sb="0" eb="3">
      <t>カイセイシャ</t>
    </rPh>
    <phoneticPr fontId="1"/>
  </si>
  <si>
    <r>
      <rPr>
        <strike/>
        <sz val="11"/>
        <rFont val="游ゴシック Medium"/>
        <family val="3"/>
        <charset val="128"/>
      </rPr>
      <t>ノンタン</t>
    </r>
    <r>
      <rPr>
        <strike/>
        <sz val="11"/>
        <rFont val="Consolas"/>
        <family val="3"/>
      </rPr>
      <t xml:space="preserve"> </t>
    </r>
    <r>
      <rPr>
        <strike/>
        <sz val="11"/>
        <rFont val="游ゴシック Medium"/>
        <family val="3"/>
        <charset val="128"/>
      </rPr>
      <t>あわ</t>
    </r>
    <r>
      <rPr>
        <strike/>
        <sz val="11"/>
        <rFont val="Consolas"/>
        <family val="3"/>
      </rPr>
      <t xml:space="preserve"> </t>
    </r>
    <r>
      <rPr>
        <strike/>
        <sz val="11"/>
        <rFont val="游ゴシック Medium"/>
        <family val="3"/>
        <charset val="128"/>
      </rPr>
      <t>ぷくぷく</t>
    </r>
    <r>
      <rPr>
        <strike/>
        <sz val="11"/>
        <rFont val="Consolas"/>
        <family val="3"/>
      </rPr>
      <t xml:space="preserve"> </t>
    </r>
    <r>
      <rPr>
        <strike/>
        <sz val="11"/>
        <rFont val="游ゴシック Medium"/>
        <family val="3"/>
        <charset val="128"/>
      </rPr>
      <t>ぷぷぷう</t>
    </r>
    <phoneticPr fontId="1"/>
  </si>
  <si>
    <r>
      <rPr>
        <strike/>
        <sz val="11"/>
        <rFont val="游ゴシック Medium"/>
        <family val="3"/>
        <charset val="128"/>
      </rPr>
      <t>ノンタンあそぼうよ</t>
    </r>
    <r>
      <rPr>
        <strike/>
        <sz val="11"/>
        <rFont val="Consolas"/>
        <family val="3"/>
      </rPr>
      <t>8</t>
    </r>
    <phoneticPr fontId="1"/>
  </si>
  <si>
    <r>
      <rPr>
        <strike/>
        <sz val="11"/>
        <rFont val="游ゴシック Medium"/>
        <family val="3"/>
        <charset val="128"/>
      </rPr>
      <t>せな</t>
    </r>
    <r>
      <rPr>
        <strike/>
        <sz val="11"/>
        <rFont val="Consolas"/>
        <family val="3"/>
      </rPr>
      <t xml:space="preserve"> </t>
    </r>
    <r>
      <rPr>
        <strike/>
        <sz val="11"/>
        <rFont val="游ゴシック Medium"/>
        <family val="3"/>
        <charset val="128"/>
      </rPr>
      <t>けいこ</t>
    </r>
    <phoneticPr fontId="1"/>
  </si>
  <si>
    <r>
      <rPr>
        <strike/>
        <sz val="11"/>
        <rFont val="游ゴシック Medium"/>
        <family val="3"/>
        <charset val="128"/>
      </rPr>
      <t>このいろなあに</t>
    </r>
    <phoneticPr fontId="1"/>
  </si>
  <si>
    <r>
      <rPr>
        <strike/>
        <sz val="11"/>
        <rFont val="游ゴシック Medium"/>
        <family val="3"/>
        <charset val="128"/>
      </rPr>
      <t>あかちゃんと</t>
    </r>
    <r>
      <rPr>
        <strike/>
        <sz val="11"/>
        <rFont val="Consolas"/>
        <family val="3"/>
      </rPr>
      <t xml:space="preserve"> </t>
    </r>
    <r>
      <rPr>
        <strike/>
        <sz val="11"/>
        <rFont val="游ゴシック Medium"/>
        <family val="3"/>
        <charset val="128"/>
      </rPr>
      <t>おかあさんの絵本</t>
    </r>
    <r>
      <rPr>
        <strike/>
        <sz val="11"/>
        <rFont val="Consolas"/>
        <family val="3"/>
      </rPr>
      <t>/0~2</t>
    </r>
    <r>
      <rPr>
        <strike/>
        <sz val="11"/>
        <rFont val="游ゴシック Medium"/>
        <family val="3"/>
        <charset val="128"/>
      </rPr>
      <t>歳児むき</t>
    </r>
    <rPh sb="13" eb="15">
      <t>エホン</t>
    </rPh>
    <rPh sb="19" eb="21">
      <t>サイジ</t>
    </rPh>
    <phoneticPr fontId="1"/>
  </si>
  <si>
    <r>
      <rPr>
        <strike/>
        <sz val="11"/>
        <rFont val="游ゴシック Medium"/>
        <family val="3"/>
        <charset val="128"/>
      </rPr>
      <t>金の星社</t>
    </r>
    <rPh sb="0" eb="1">
      <t>キン</t>
    </rPh>
    <rPh sb="2" eb="3">
      <t>ホシ</t>
    </rPh>
    <rPh sb="3" eb="4">
      <t>シャ</t>
    </rPh>
    <phoneticPr fontId="1"/>
  </si>
  <si>
    <r>
      <rPr>
        <strike/>
        <sz val="11"/>
        <rFont val="游ゴシック Medium"/>
        <family val="3"/>
        <charset val="128"/>
      </rPr>
      <t>やなせたかし</t>
    </r>
    <phoneticPr fontId="1"/>
  </si>
  <si>
    <r>
      <rPr>
        <strike/>
        <sz val="11"/>
        <rFont val="游ゴシック Medium"/>
        <family val="3"/>
        <charset val="128"/>
      </rPr>
      <t>えほん</t>
    </r>
    <r>
      <rPr>
        <strike/>
        <sz val="11"/>
        <rFont val="Consolas"/>
        <family val="3"/>
      </rPr>
      <t xml:space="preserve"> </t>
    </r>
    <r>
      <rPr>
        <strike/>
        <sz val="11"/>
        <rFont val="游ゴシック Medium"/>
        <family val="3"/>
        <charset val="128"/>
      </rPr>
      <t>えかきうた</t>
    </r>
    <phoneticPr fontId="1"/>
  </si>
  <si>
    <r>
      <rPr>
        <strike/>
        <sz val="11"/>
        <rFont val="游ゴシック Medium"/>
        <family val="3"/>
        <charset val="128"/>
      </rPr>
      <t>プレゼント版</t>
    </r>
    <r>
      <rPr>
        <strike/>
        <sz val="11"/>
        <rFont val="Consolas"/>
        <family val="3"/>
      </rPr>
      <t>/3</t>
    </r>
    <r>
      <rPr>
        <strike/>
        <sz val="11"/>
        <rFont val="游ゴシック Medium"/>
        <family val="3"/>
        <charset val="128"/>
      </rPr>
      <t>歳から</t>
    </r>
    <r>
      <rPr>
        <strike/>
        <sz val="11"/>
        <rFont val="Consolas"/>
        <family val="3"/>
      </rPr>
      <t>6</t>
    </r>
    <r>
      <rPr>
        <strike/>
        <sz val="11"/>
        <rFont val="游ゴシック Medium"/>
        <family val="3"/>
        <charset val="128"/>
      </rPr>
      <t>歳向</t>
    </r>
    <rPh sb="5" eb="6">
      <t>バン</t>
    </rPh>
    <rPh sb="8" eb="9">
      <t>サイ</t>
    </rPh>
    <rPh sb="12" eb="13">
      <t>サイ</t>
    </rPh>
    <rPh sb="13" eb="14">
      <t>ムキ</t>
    </rPh>
    <phoneticPr fontId="1"/>
  </si>
  <si>
    <r>
      <rPr>
        <strike/>
        <sz val="11"/>
        <rFont val="游ゴシック Medium"/>
        <family val="3"/>
        <charset val="128"/>
      </rPr>
      <t>あかね書房</t>
    </r>
    <rPh sb="3" eb="5">
      <t>ショボウ</t>
    </rPh>
    <phoneticPr fontId="1"/>
  </si>
  <si>
    <r>
      <rPr>
        <strike/>
        <sz val="11"/>
        <rFont val="游ゴシック Medium"/>
        <family val="3"/>
        <charset val="128"/>
      </rPr>
      <t>かたち</t>
    </r>
    <phoneticPr fontId="1"/>
  </si>
  <si>
    <r>
      <rPr>
        <strike/>
        <sz val="11"/>
        <rFont val="游ゴシック Medium"/>
        <family val="3"/>
        <charset val="128"/>
      </rPr>
      <t>五味太郎の絵本</t>
    </r>
    <r>
      <rPr>
        <strike/>
        <sz val="11"/>
        <rFont val="Consolas"/>
        <family val="3"/>
      </rPr>
      <t>10</t>
    </r>
    <rPh sb="0" eb="2">
      <t>ゴミ</t>
    </rPh>
    <rPh sb="2" eb="4">
      <t>タロウ</t>
    </rPh>
    <rPh sb="5" eb="7">
      <t>エホン</t>
    </rPh>
    <phoneticPr fontId="1"/>
  </si>
  <si>
    <r>
      <rPr>
        <strike/>
        <sz val="11"/>
        <rFont val="游ゴシック Medium"/>
        <family val="3"/>
        <charset val="128"/>
      </rPr>
      <t>馬場のぼる</t>
    </r>
    <rPh sb="0" eb="2">
      <t>ババ</t>
    </rPh>
    <phoneticPr fontId="1"/>
  </si>
  <si>
    <r>
      <rPr>
        <strike/>
        <sz val="11"/>
        <rFont val="游ゴシック Medium"/>
        <family val="3"/>
        <charset val="128"/>
      </rPr>
      <t>ぶたたぬききつねねこ</t>
    </r>
    <phoneticPr fontId="1"/>
  </si>
  <si>
    <r>
      <rPr>
        <strike/>
        <sz val="11"/>
        <rFont val="游ゴシック Medium"/>
        <family val="3"/>
        <charset val="128"/>
      </rPr>
      <t>こぐま社</t>
    </r>
    <rPh sb="3" eb="4">
      <t>シャ</t>
    </rPh>
    <phoneticPr fontId="1"/>
  </si>
  <si>
    <r>
      <rPr>
        <strike/>
        <sz val="11"/>
        <rFont val="游ゴシック Medium"/>
        <family val="3"/>
        <charset val="128"/>
      </rPr>
      <t>つちだ</t>
    </r>
    <r>
      <rPr>
        <strike/>
        <sz val="11"/>
        <rFont val="Consolas"/>
        <family val="3"/>
      </rPr>
      <t xml:space="preserve"> </t>
    </r>
    <r>
      <rPr>
        <strike/>
        <sz val="11"/>
        <rFont val="游ゴシック Medium"/>
        <family val="3"/>
        <charset val="128"/>
      </rPr>
      <t>よしはる</t>
    </r>
    <phoneticPr fontId="1"/>
  </si>
  <si>
    <r>
      <rPr>
        <strike/>
        <sz val="11"/>
        <rFont val="游ゴシック Medium"/>
        <family val="3"/>
        <charset val="128"/>
      </rPr>
      <t>え</t>
    </r>
    <phoneticPr fontId="1"/>
  </si>
  <si>
    <r>
      <rPr>
        <strike/>
        <sz val="11"/>
        <rFont val="游ゴシック Medium"/>
        <family val="3"/>
        <charset val="128"/>
      </rPr>
      <t>うたえほん</t>
    </r>
    <phoneticPr fontId="1"/>
  </si>
  <si>
    <r>
      <rPr>
        <strike/>
        <sz val="11"/>
        <rFont val="游ゴシック Medium"/>
        <family val="3"/>
        <charset val="128"/>
      </rPr>
      <t>あかちゃんと</t>
    </r>
    <r>
      <rPr>
        <strike/>
        <sz val="11"/>
        <rFont val="Consolas"/>
        <family val="3"/>
      </rPr>
      <t xml:space="preserve"> </t>
    </r>
    <r>
      <rPr>
        <strike/>
        <sz val="11"/>
        <rFont val="游ゴシック Medium"/>
        <family val="3"/>
        <charset val="128"/>
      </rPr>
      <t>おかあさんに</t>
    </r>
    <phoneticPr fontId="1"/>
  </si>
  <si>
    <r>
      <rPr>
        <strike/>
        <sz val="11"/>
        <rFont val="游ゴシック Medium"/>
        <family val="3"/>
        <charset val="128"/>
      </rPr>
      <t>グランまま社</t>
    </r>
    <rPh sb="5" eb="6">
      <t>シャ</t>
    </rPh>
    <phoneticPr fontId="1"/>
  </si>
  <si>
    <r>
      <rPr>
        <strike/>
        <sz val="11"/>
        <rFont val="游ゴシック Medium"/>
        <family val="3"/>
        <charset val="128"/>
      </rPr>
      <t>わたなべ</t>
    </r>
    <r>
      <rPr>
        <strike/>
        <sz val="11"/>
        <rFont val="Consolas"/>
        <family val="3"/>
      </rPr>
      <t xml:space="preserve"> </t>
    </r>
    <r>
      <rPr>
        <strike/>
        <sz val="11"/>
        <rFont val="游ゴシック Medium"/>
        <family val="3"/>
        <charset val="128"/>
      </rPr>
      <t>しげお</t>
    </r>
    <phoneticPr fontId="1"/>
  </si>
  <si>
    <r>
      <rPr>
        <strike/>
        <sz val="11"/>
        <rFont val="游ゴシック Medium"/>
        <family val="3"/>
        <charset val="128"/>
      </rPr>
      <t>ぶん</t>
    </r>
    <phoneticPr fontId="1"/>
  </si>
  <si>
    <r>
      <rPr>
        <strike/>
        <sz val="11"/>
        <rFont val="游ゴシック Medium"/>
        <family val="3"/>
        <charset val="128"/>
      </rPr>
      <t>おおとも</t>
    </r>
    <r>
      <rPr>
        <strike/>
        <sz val="11"/>
        <rFont val="Consolas"/>
        <family val="3"/>
      </rPr>
      <t xml:space="preserve"> </t>
    </r>
    <r>
      <rPr>
        <strike/>
        <sz val="11"/>
        <rFont val="游ゴシック Medium"/>
        <family val="3"/>
        <charset val="128"/>
      </rPr>
      <t>やすお</t>
    </r>
    <phoneticPr fontId="1"/>
  </si>
  <si>
    <r>
      <rPr>
        <strike/>
        <sz val="11"/>
        <rFont val="游ゴシック Medium"/>
        <family val="3"/>
        <charset val="128"/>
      </rPr>
      <t>いただきまあす</t>
    </r>
    <phoneticPr fontId="1"/>
  </si>
  <si>
    <r>
      <rPr>
        <strike/>
        <sz val="11"/>
        <rFont val="游ゴシック Medium"/>
        <family val="3"/>
        <charset val="128"/>
      </rPr>
      <t>くまくんの絵本</t>
    </r>
    <r>
      <rPr>
        <strike/>
        <sz val="11"/>
        <rFont val="Consolas"/>
        <family val="3"/>
      </rPr>
      <t xml:space="preserve"> 1</t>
    </r>
    <r>
      <rPr>
        <strike/>
        <sz val="11"/>
        <rFont val="游ゴシック Medium"/>
        <family val="3"/>
        <charset val="128"/>
      </rPr>
      <t>才半</t>
    </r>
    <r>
      <rPr>
        <strike/>
        <sz val="11"/>
        <rFont val="Consolas"/>
        <family val="3"/>
      </rPr>
      <t>~4</t>
    </r>
    <r>
      <rPr>
        <strike/>
        <sz val="11"/>
        <rFont val="游ゴシック Medium"/>
        <family val="3"/>
        <charset val="128"/>
      </rPr>
      <t>才</t>
    </r>
    <r>
      <rPr>
        <strike/>
        <sz val="8"/>
        <rFont val="游ゴシック Medium"/>
        <family val="3"/>
        <charset val="128"/>
      </rPr>
      <t>むき</t>
    </r>
    <rPh sb="5" eb="7">
      <t>エホン</t>
    </rPh>
    <rPh sb="9" eb="11">
      <t>サイハン</t>
    </rPh>
    <rPh sb="13" eb="14">
      <t>サイ</t>
    </rPh>
    <phoneticPr fontId="1"/>
  </si>
  <si>
    <r>
      <rPr>
        <strike/>
        <sz val="11"/>
        <rFont val="游ゴシック Medium"/>
        <family val="3"/>
        <charset val="128"/>
      </rPr>
      <t>福音館書店</t>
    </r>
    <rPh sb="0" eb="2">
      <t>フクイン</t>
    </rPh>
    <rPh sb="2" eb="3">
      <t>カン</t>
    </rPh>
    <rPh sb="3" eb="5">
      <t>ショテン</t>
    </rPh>
    <phoneticPr fontId="1"/>
  </si>
  <si>
    <r>
      <rPr>
        <strike/>
        <sz val="11"/>
        <rFont val="游ゴシック Medium"/>
        <family val="3"/>
        <charset val="128"/>
      </rPr>
      <t>長島</t>
    </r>
    <r>
      <rPr>
        <strike/>
        <sz val="11"/>
        <rFont val="Consolas"/>
        <family val="3"/>
      </rPr>
      <t xml:space="preserve"> </t>
    </r>
    <r>
      <rPr>
        <strike/>
        <sz val="11"/>
        <rFont val="游ゴシック Medium"/>
        <family val="3"/>
        <charset val="128"/>
      </rPr>
      <t>克夫</t>
    </r>
    <r>
      <rPr>
        <strike/>
        <sz val="11"/>
        <rFont val="Consolas"/>
        <family val="3"/>
      </rPr>
      <t>/</t>
    </r>
    <r>
      <rPr>
        <strike/>
        <sz val="11"/>
        <rFont val="游ゴシック Medium"/>
        <family val="3"/>
        <charset val="128"/>
      </rPr>
      <t>高橋</t>
    </r>
    <r>
      <rPr>
        <strike/>
        <sz val="11"/>
        <rFont val="Consolas"/>
        <family val="3"/>
      </rPr>
      <t xml:space="preserve"> </t>
    </r>
    <r>
      <rPr>
        <strike/>
        <sz val="11"/>
        <rFont val="游ゴシック Medium"/>
        <family val="3"/>
        <charset val="128"/>
      </rPr>
      <t>透</t>
    </r>
    <r>
      <rPr>
        <strike/>
        <sz val="11"/>
        <rFont val="Consolas"/>
        <family val="3"/>
      </rPr>
      <t>/</t>
    </r>
    <r>
      <rPr>
        <strike/>
        <sz val="11"/>
        <rFont val="游ゴシック Medium"/>
        <family val="3"/>
        <charset val="128"/>
      </rPr>
      <t>新坂</t>
    </r>
    <r>
      <rPr>
        <strike/>
        <sz val="11"/>
        <rFont val="Consolas"/>
        <family val="3"/>
      </rPr>
      <t xml:space="preserve"> </t>
    </r>
    <r>
      <rPr>
        <strike/>
        <sz val="11"/>
        <rFont val="游ゴシック Medium"/>
        <family val="3"/>
        <charset val="128"/>
      </rPr>
      <t>和男</t>
    </r>
    <r>
      <rPr>
        <strike/>
        <sz val="11"/>
        <rFont val="Consolas"/>
        <family val="3"/>
      </rPr>
      <t>/</t>
    </r>
    <r>
      <rPr>
        <strike/>
        <sz val="11"/>
        <rFont val="游ゴシック Medium"/>
        <family val="3"/>
        <charset val="128"/>
      </rPr>
      <t>田口</t>
    </r>
    <r>
      <rPr>
        <strike/>
        <sz val="11"/>
        <rFont val="Consolas"/>
        <family val="3"/>
      </rPr>
      <t xml:space="preserve"> </t>
    </r>
    <r>
      <rPr>
        <strike/>
        <sz val="11"/>
        <rFont val="游ゴシック Medium"/>
        <family val="3"/>
        <charset val="128"/>
      </rPr>
      <t>トシオ</t>
    </r>
    <rPh sb="0" eb="2">
      <t>ナガシマ</t>
    </rPh>
    <rPh sb="3" eb="5">
      <t>カツオ</t>
    </rPh>
    <rPh sb="6" eb="8">
      <t>タカハシ</t>
    </rPh>
    <rPh sb="9" eb="10">
      <t>トオル</t>
    </rPh>
    <rPh sb="11" eb="13">
      <t>ニイサカ</t>
    </rPh>
    <rPh sb="14" eb="16">
      <t>カズオ</t>
    </rPh>
    <rPh sb="17" eb="19">
      <t>タグチ</t>
    </rPh>
    <phoneticPr fontId="1"/>
  </si>
  <si>
    <r>
      <rPr>
        <strike/>
        <sz val="11"/>
        <rFont val="游ゴシック Medium"/>
        <family val="3"/>
        <charset val="128"/>
      </rPr>
      <t>ねんどあそび</t>
    </r>
    <phoneticPr fontId="1"/>
  </si>
  <si>
    <r>
      <rPr>
        <strike/>
        <sz val="11"/>
        <rFont val="游ゴシック Medium"/>
        <family val="3"/>
        <charset val="128"/>
      </rPr>
      <t>かみねんど</t>
    </r>
    <r>
      <rPr>
        <strike/>
        <sz val="11"/>
        <rFont val="Consolas"/>
        <family val="3"/>
      </rPr>
      <t xml:space="preserve"> </t>
    </r>
    <r>
      <rPr>
        <strike/>
        <sz val="11"/>
        <rFont val="游ゴシック Medium"/>
        <family val="3"/>
        <charset val="128"/>
      </rPr>
      <t>からやきものねんど</t>
    </r>
    <r>
      <rPr>
        <strike/>
        <sz val="11"/>
        <rFont val="Consolas"/>
        <family val="3"/>
      </rPr>
      <t xml:space="preserve"> </t>
    </r>
    <r>
      <rPr>
        <strike/>
        <sz val="11"/>
        <rFont val="游ゴシック Medium"/>
        <family val="3"/>
        <charset val="128"/>
      </rPr>
      <t>まで</t>
    </r>
    <phoneticPr fontId="1"/>
  </si>
  <si>
    <r>
      <rPr>
        <strike/>
        <sz val="11"/>
        <rFont val="游ゴシック Medium"/>
        <family val="3"/>
        <charset val="128"/>
      </rPr>
      <t>岩崎書店</t>
    </r>
    <rPh sb="0" eb="2">
      <t>イワサキ</t>
    </rPh>
    <rPh sb="2" eb="4">
      <t>ショテン</t>
    </rPh>
    <phoneticPr fontId="1"/>
  </si>
  <si>
    <r>
      <rPr>
        <strike/>
        <sz val="11"/>
        <rFont val="游ゴシック Medium"/>
        <family val="3"/>
        <charset val="128"/>
      </rPr>
      <t>ノンタン</t>
    </r>
    <r>
      <rPr>
        <strike/>
        <sz val="11"/>
        <rFont val="Consolas"/>
        <family val="3"/>
      </rPr>
      <t xml:space="preserve"> </t>
    </r>
    <r>
      <rPr>
        <strike/>
        <sz val="11"/>
        <rFont val="游ゴシック Medium"/>
        <family val="3"/>
        <charset val="128"/>
      </rPr>
      <t>もぐ</t>
    </r>
    <r>
      <rPr>
        <strike/>
        <sz val="11"/>
        <rFont val="Consolas"/>
        <family val="3"/>
      </rPr>
      <t xml:space="preserve"> </t>
    </r>
    <r>
      <rPr>
        <strike/>
        <sz val="11"/>
        <rFont val="游ゴシック Medium"/>
        <family val="3"/>
        <charset val="128"/>
      </rPr>
      <t>もぐ</t>
    </r>
    <r>
      <rPr>
        <strike/>
        <sz val="11"/>
        <rFont val="Consolas"/>
        <family val="3"/>
      </rPr>
      <t xml:space="preserve"> </t>
    </r>
    <r>
      <rPr>
        <strike/>
        <sz val="11"/>
        <rFont val="游ゴシック Medium"/>
        <family val="3"/>
        <charset val="128"/>
      </rPr>
      <t>もぐ</t>
    </r>
    <phoneticPr fontId="1"/>
  </si>
  <si>
    <r>
      <rPr>
        <strike/>
        <sz val="11"/>
        <rFont val="游ゴシック Medium"/>
        <family val="3"/>
        <charset val="128"/>
      </rPr>
      <t>赤ちゃん版</t>
    </r>
    <r>
      <rPr>
        <strike/>
        <sz val="11"/>
        <rFont val="Consolas"/>
        <family val="3"/>
      </rPr>
      <t xml:space="preserve"> </t>
    </r>
    <r>
      <rPr>
        <strike/>
        <sz val="11"/>
        <rFont val="游ゴシック Medium"/>
        <family val="3"/>
        <charset val="128"/>
      </rPr>
      <t>ノンタン</t>
    </r>
    <r>
      <rPr>
        <strike/>
        <sz val="11"/>
        <rFont val="Consolas"/>
        <family val="3"/>
      </rPr>
      <t xml:space="preserve"> 2</t>
    </r>
    <rPh sb="0" eb="1">
      <t>アカ</t>
    </rPh>
    <rPh sb="4" eb="5">
      <t>バン</t>
    </rPh>
    <phoneticPr fontId="1"/>
  </si>
  <si>
    <r>
      <rPr>
        <strike/>
        <sz val="11"/>
        <rFont val="游ゴシック Medium"/>
        <family val="3"/>
        <charset val="128"/>
      </rPr>
      <t>大石</t>
    </r>
    <r>
      <rPr>
        <strike/>
        <sz val="11"/>
        <rFont val="Consolas"/>
        <family val="3"/>
      </rPr>
      <t xml:space="preserve"> </t>
    </r>
    <r>
      <rPr>
        <strike/>
        <sz val="11"/>
        <rFont val="游ゴシック Medium"/>
        <family val="3"/>
        <charset val="128"/>
      </rPr>
      <t>坦</t>
    </r>
    <r>
      <rPr>
        <strike/>
        <sz val="11"/>
        <rFont val="Consolas"/>
        <family val="3"/>
      </rPr>
      <t>/</t>
    </r>
    <r>
      <rPr>
        <strike/>
        <sz val="11"/>
        <rFont val="游ゴシック Medium"/>
        <family val="3"/>
        <charset val="128"/>
      </rPr>
      <t>大井</t>
    </r>
    <r>
      <rPr>
        <strike/>
        <sz val="11"/>
        <rFont val="Consolas"/>
        <family val="3"/>
      </rPr>
      <t xml:space="preserve"> </t>
    </r>
    <r>
      <rPr>
        <strike/>
        <sz val="11"/>
        <rFont val="游ゴシック Medium"/>
        <family val="3"/>
        <charset val="128"/>
      </rPr>
      <t>清吉</t>
    </r>
    <rPh sb="0" eb="2">
      <t>オオイシ</t>
    </rPh>
    <rPh sb="3" eb="4">
      <t>タイラ</t>
    </rPh>
    <rPh sb="5" eb="7">
      <t>オオイ</t>
    </rPh>
    <rPh sb="8" eb="9">
      <t>キヨ</t>
    </rPh>
    <rPh sb="9" eb="10">
      <t>キチ</t>
    </rPh>
    <phoneticPr fontId="1"/>
  </si>
  <si>
    <r>
      <rPr>
        <strike/>
        <sz val="11"/>
        <rFont val="游ゴシック Medium"/>
        <family val="3"/>
        <charset val="128"/>
      </rPr>
      <t>つくってたべよう</t>
    </r>
    <phoneticPr fontId="1"/>
  </si>
  <si>
    <r>
      <rPr>
        <strike/>
        <sz val="11"/>
        <rFont val="游ゴシック Medium"/>
        <family val="3"/>
        <charset val="128"/>
      </rPr>
      <t>シリーズ生活を学ぶ</t>
    </r>
    <r>
      <rPr>
        <strike/>
        <sz val="11"/>
        <rFont val="Consolas"/>
        <family val="3"/>
      </rPr>
      <t xml:space="preserve"> 1</t>
    </r>
    <rPh sb="4" eb="6">
      <t>セイカツ</t>
    </rPh>
    <rPh sb="7" eb="8">
      <t>マナ</t>
    </rPh>
    <phoneticPr fontId="1"/>
  </si>
  <si>
    <r>
      <rPr>
        <strike/>
        <sz val="11"/>
        <rFont val="游ゴシック Medium"/>
        <family val="3"/>
        <charset val="128"/>
      </rPr>
      <t>福村出版</t>
    </r>
    <rPh sb="0" eb="2">
      <t>フクムラ</t>
    </rPh>
    <rPh sb="2" eb="4">
      <t>シュッパン</t>
    </rPh>
    <phoneticPr fontId="1"/>
  </si>
  <si>
    <r>
      <rPr>
        <strike/>
        <sz val="11"/>
        <rFont val="游ゴシック Medium"/>
        <family val="3"/>
        <charset val="128"/>
      </rPr>
      <t>やまもと</t>
    </r>
    <r>
      <rPr>
        <strike/>
        <sz val="11"/>
        <rFont val="Consolas"/>
        <family val="3"/>
      </rPr>
      <t xml:space="preserve"> </t>
    </r>
    <r>
      <rPr>
        <strike/>
        <sz val="11"/>
        <rFont val="游ゴシック Medium"/>
        <family val="3"/>
        <charset val="128"/>
      </rPr>
      <t>もりひさ</t>
    </r>
    <phoneticPr fontId="1"/>
  </si>
  <si>
    <r>
      <rPr>
        <strike/>
        <sz val="11"/>
        <rFont val="游ゴシック Medium"/>
        <family val="3"/>
        <charset val="128"/>
      </rPr>
      <t>むらかみ</t>
    </r>
    <r>
      <rPr>
        <strike/>
        <sz val="11"/>
        <rFont val="Consolas"/>
        <family val="3"/>
      </rPr>
      <t xml:space="preserve"> </t>
    </r>
    <r>
      <rPr>
        <strike/>
        <sz val="11"/>
        <rFont val="游ゴシック Medium"/>
        <family val="3"/>
        <charset val="128"/>
      </rPr>
      <t>つとむ</t>
    </r>
    <phoneticPr fontId="1"/>
  </si>
  <si>
    <r>
      <rPr>
        <strike/>
        <sz val="11"/>
        <rFont val="游ゴシック Medium"/>
        <family val="3"/>
        <charset val="128"/>
      </rPr>
      <t>まる・さんかく・しかくさん</t>
    </r>
    <phoneticPr fontId="1"/>
  </si>
  <si>
    <r>
      <rPr>
        <strike/>
        <sz val="11"/>
        <rFont val="游ゴシック Medium"/>
        <family val="3"/>
        <charset val="128"/>
      </rPr>
      <t>プレゼント版</t>
    </r>
    <r>
      <rPr>
        <strike/>
        <sz val="11"/>
        <rFont val="Consolas"/>
        <family val="3"/>
      </rPr>
      <t>/</t>
    </r>
    <r>
      <rPr>
        <strike/>
        <sz val="11"/>
        <rFont val="游ゴシック Medium"/>
        <family val="3"/>
        <charset val="128"/>
      </rPr>
      <t>かたちのえほん</t>
    </r>
    <rPh sb="5" eb="6">
      <t>バン</t>
    </rPh>
    <phoneticPr fontId="1"/>
  </si>
  <si>
    <r>
      <rPr>
        <strike/>
        <sz val="11"/>
        <rFont val="游ゴシック Medium"/>
        <family val="3"/>
        <charset val="128"/>
      </rPr>
      <t>なかの</t>
    </r>
    <r>
      <rPr>
        <strike/>
        <sz val="11"/>
        <rFont val="Consolas"/>
        <family val="3"/>
      </rPr>
      <t xml:space="preserve"> </t>
    </r>
    <r>
      <rPr>
        <strike/>
        <sz val="11"/>
        <rFont val="游ゴシック Medium"/>
        <family val="3"/>
        <charset val="128"/>
      </rPr>
      <t>ひろたか</t>
    </r>
    <phoneticPr fontId="1"/>
  </si>
  <si>
    <r>
      <rPr>
        <strike/>
        <sz val="11"/>
        <rFont val="游ゴシック Medium"/>
        <family val="3"/>
        <charset val="128"/>
      </rPr>
      <t>さく・え</t>
    </r>
    <phoneticPr fontId="1"/>
  </si>
  <si>
    <r>
      <rPr>
        <strike/>
        <sz val="11"/>
        <rFont val="游ゴシック Medium"/>
        <family val="3"/>
        <charset val="128"/>
      </rPr>
      <t>なかの</t>
    </r>
    <r>
      <rPr>
        <strike/>
        <sz val="11"/>
        <rFont val="Consolas"/>
        <family val="3"/>
      </rPr>
      <t xml:space="preserve"> </t>
    </r>
    <r>
      <rPr>
        <strike/>
        <sz val="11"/>
        <rFont val="游ゴシック Medium"/>
        <family val="3"/>
        <charset val="128"/>
      </rPr>
      <t>まさたか</t>
    </r>
    <phoneticPr fontId="1"/>
  </si>
  <si>
    <r>
      <rPr>
        <strike/>
        <sz val="11"/>
        <rFont val="游ゴシック Medium"/>
        <family val="3"/>
        <charset val="128"/>
      </rPr>
      <t>レタリング</t>
    </r>
    <phoneticPr fontId="1"/>
  </si>
  <si>
    <r>
      <rPr>
        <strike/>
        <sz val="11"/>
        <rFont val="游ゴシック Medium"/>
        <family val="3"/>
        <charset val="128"/>
      </rPr>
      <t>ぞうくんの</t>
    </r>
    <r>
      <rPr>
        <strike/>
        <sz val="11"/>
        <rFont val="Consolas"/>
        <family val="3"/>
      </rPr>
      <t xml:space="preserve"> </t>
    </r>
    <r>
      <rPr>
        <strike/>
        <sz val="11"/>
        <rFont val="游ゴシック Medium"/>
        <family val="3"/>
        <charset val="128"/>
      </rPr>
      <t>さんぽ</t>
    </r>
    <r>
      <rPr>
        <strike/>
        <sz val="11"/>
        <rFont val="Consolas"/>
        <family val="3"/>
      </rPr>
      <t>/the Elephant Happy</t>
    </r>
    <phoneticPr fontId="1"/>
  </si>
  <si>
    <r>
      <t>2</t>
    </r>
    <r>
      <rPr>
        <strike/>
        <sz val="11"/>
        <rFont val="游ゴシック Medium"/>
        <family val="3"/>
        <charset val="128"/>
      </rPr>
      <t>才</t>
    </r>
    <r>
      <rPr>
        <strike/>
        <sz val="11"/>
        <rFont val="Consolas"/>
        <family val="3"/>
      </rPr>
      <t>~/</t>
    </r>
    <r>
      <rPr>
        <strike/>
        <sz val="11"/>
        <rFont val="游ゴシック Medium"/>
        <family val="3"/>
        <charset val="128"/>
      </rPr>
      <t>小学校初級むき</t>
    </r>
    <rPh sb="1" eb="2">
      <t>サイ</t>
    </rPh>
    <rPh sb="4" eb="7">
      <t>ショウガッコウ</t>
    </rPh>
    <rPh sb="7" eb="9">
      <t>ショキュウ</t>
    </rPh>
    <phoneticPr fontId="1"/>
  </si>
  <si>
    <r>
      <rPr>
        <strike/>
        <sz val="11"/>
        <rFont val="游ゴシック Medium"/>
        <family val="3"/>
        <charset val="128"/>
      </rPr>
      <t>たのしい</t>
    </r>
    <r>
      <rPr>
        <strike/>
        <sz val="11"/>
        <rFont val="Consolas"/>
        <family val="3"/>
      </rPr>
      <t xml:space="preserve"> </t>
    </r>
    <r>
      <rPr>
        <strike/>
        <sz val="11"/>
        <rFont val="游ゴシック Medium"/>
        <family val="3"/>
        <charset val="128"/>
      </rPr>
      <t>てあそびうた</t>
    </r>
    <r>
      <rPr>
        <strike/>
        <sz val="11"/>
        <rFont val="Consolas"/>
        <family val="3"/>
      </rPr>
      <t xml:space="preserve"> </t>
    </r>
    <r>
      <rPr>
        <strike/>
        <sz val="11"/>
        <rFont val="游ゴシック Medium"/>
        <family val="3"/>
        <charset val="128"/>
      </rPr>
      <t>えほん</t>
    </r>
    <phoneticPr fontId="1"/>
  </si>
  <si>
    <r>
      <rPr>
        <strike/>
        <sz val="11"/>
        <rFont val="游ゴシック Medium"/>
        <family val="3"/>
        <charset val="128"/>
      </rPr>
      <t>ぴこちゃんえほん連載</t>
    </r>
    <rPh sb="8" eb="10">
      <t>レンサイ</t>
    </rPh>
    <phoneticPr fontId="1"/>
  </si>
  <si>
    <r>
      <rPr>
        <strike/>
        <sz val="11"/>
        <rFont val="游ゴシック Medium"/>
        <family val="3"/>
        <charset val="128"/>
      </rPr>
      <t>ひかりのくに</t>
    </r>
    <phoneticPr fontId="1"/>
  </si>
  <si>
    <r>
      <rPr>
        <strike/>
        <sz val="11"/>
        <rFont val="游ゴシック Medium"/>
        <family val="3"/>
        <charset val="128"/>
      </rPr>
      <t>守屋正恵</t>
    </r>
    <rPh sb="0" eb="2">
      <t>モリヤ</t>
    </rPh>
    <rPh sb="2" eb="4">
      <t>マサエ</t>
    </rPh>
    <phoneticPr fontId="1"/>
  </si>
  <si>
    <r>
      <rPr>
        <strike/>
        <sz val="11"/>
        <rFont val="游ゴシック Medium"/>
        <family val="3"/>
        <charset val="128"/>
      </rPr>
      <t>さく</t>
    </r>
    <phoneticPr fontId="1"/>
  </si>
  <si>
    <r>
      <rPr>
        <strike/>
        <sz val="11"/>
        <rFont val="游ゴシック Medium"/>
        <family val="3"/>
        <charset val="128"/>
      </rPr>
      <t>いもとようこ</t>
    </r>
    <phoneticPr fontId="1"/>
  </si>
  <si>
    <r>
      <rPr>
        <strike/>
        <sz val="11"/>
        <rFont val="游ゴシック Medium"/>
        <family val="3"/>
        <charset val="128"/>
      </rPr>
      <t>あした</t>
    </r>
    <r>
      <rPr>
        <strike/>
        <sz val="11"/>
        <rFont val="Consolas"/>
        <family val="3"/>
      </rPr>
      <t xml:space="preserve"> </t>
    </r>
    <r>
      <rPr>
        <strike/>
        <sz val="11"/>
        <rFont val="游ゴシック Medium"/>
        <family val="3"/>
        <charset val="128"/>
      </rPr>
      <t>えんそくだから</t>
    </r>
    <phoneticPr fontId="1"/>
  </si>
  <si>
    <r>
      <rPr>
        <strike/>
        <sz val="11"/>
        <rFont val="游ゴシック Medium"/>
        <family val="3"/>
        <charset val="128"/>
      </rPr>
      <t>くりのきえんのおともだち</t>
    </r>
    <r>
      <rPr>
        <strike/>
        <sz val="11"/>
        <rFont val="Consolas"/>
        <family val="3"/>
      </rPr>
      <t xml:space="preserve"> 2</t>
    </r>
    <phoneticPr fontId="1"/>
  </si>
  <si>
    <r>
      <rPr>
        <strike/>
        <sz val="11"/>
        <rFont val="游ゴシック Medium"/>
        <family val="3"/>
        <charset val="128"/>
      </rPr>
      <t>あかね書房</t>
    </r>
    <phoneticPr fontId="1"/>
  </si>
  <si>
    <r>
      <rPr>
        <strike/>
        <sz val="11"/>
        <rFont val="游ゴシック Medium"/>
        <family val="3"/>
        <charset val="128"/>
      </rPr>
      <t>都立王子第二養護学校</t>
    </r>
    <rPh sb="0" eb="2">
      <t>トリツ</t>
    </rPh>
    <rPh sb="2" eb="4">
      <t>オウジ</t>
    </rPh>
    <rPh sb="4" eb="5">
      <t>ダイ</t>
    </rPh>
    <rPh sb="5" eb="6">
      <t>ニ</t>
    </rPh>
    <rPh sb="6" eb="8">
      <t>ヨウゴ</t>
    </rPh>
    <rPh sb="8" eb="10">
      <t>ガッコウ</t>
    </rPh>
    <phoneticPr fontId="1"/>
  </si>
  <si>
    <r>
      <t>Book Off</t>
    </r>
    <r>
      <rPr>
        <strike/>
        <sz val="11"/>
        <rFont val="游ゴシック Medium"/>
        <family val="3"/>
        <charset val="128"/>
      </rPr>
      <t>に売る</t>
    </r>
    <r>
      <rPr>
        <strike/>
        <sz val="11"/>
        <rFont val="Consolas"/>
        <family val="3"/>
      </rPr>
      <t>2012/03/30</t>
    </r>
    <phoneticPr fontId="1"/>
  </si>
  <si>
    <r>
      <rPr>
        <strike/>
        <sz val="11"/>
        <rFont val="游ゴシック Medium"/>
        <family val="3"/>
        <charset val="128"/>
      </rPr>
      <t>松岡享子</t>
    </r>
    <rPh sb="0" eb="2">
      <t>マツオカ</t>
    </rPh>
    <rPh sb="2" eb="4">
      <t>キョウコ</t>
    </rPh>
    <phoneticPr fontId="1"/>
  </si>
  <si>
    <r>
      <rPr>
        <strike/>
        <sz val="11"/>
        <rFont val="游ゴシック Medium"/>
        <family val="3"/>
        <charset val="128"/>
      </rPr>
      <t>作</t>
    </r>
    <rPh sb="0" eb="1">
      <t>サク</t>
    </rPh>
    <phoneticPr fontId="1"/>
  </si>
  <si>
    <r>
      <rPr>
        <strike/>
        <sz val="11"/>
        <rFont val="游ゴシック Medium"/>
        <family val="3"/>
        <charset val="128"/>
      </rPr>
      <t>林</t>
    </r>
    <r>
      <rPr>
        <strike/>
        <sz val="11"/>
        <rFont val="Consolas"/>
        <family val="3"/>
      </rPr>
      <t xml:space="preserve"> </t>
    </r>
    <r>
      <rPr>
        <strike/>
        <sz val="11"/>
        <rFont val="游ゴシック Medium"/>
        <family val="3"/>
        <charset val="128"/>
      </rPr>
      <t>明子</t>
    </r>
    <rPh sb="0" eb="1">
      <t>ハヤシ</t>
    </rPh>
    <rPh sb="2" eb="4">
      <t>アキコ</t>
    </rPh>
    <phoneticPr fontId="1"/>
  </si>
  <si>
    <r>
      <rPr>
        <strike/>
        <sz val="11"/>
        <rFont val="游ゴシック Medium"/>
        <family val="3"/>
        <charset val="128"/>
      </rPr>
      <t>絵</t>
    </r>
    <rPh sb="0" eb="1">
      <t>エ</t>
    </rPh>
    <phoneticPr fontId="1"/>
  </si>
  <si>
    <r>
      <rPr>
        <strike/>
        <sz val="11"/>
        <rFont val="游ゴシック Medium"/>
        <family val="3"/>
        <charset val="128"/>
      </rPr>
      <t>おふろだいすき</t>
    </r>
    <phoneticPr fontId="1"/>
  </si>
  <si>
    <r>
      <t xml:space="preserve">Tolstoy, </t>
    </r>
    <r>
      <rPr>
        <strike/>
        <sz val="11"/>
        <rFont val="游ゴシック Medium"/>
        <family val="3"/>
        <charset val="128"/>
      </rPr>
      <t>アレクセイ</t>
    </r>
    <r>
      <rPr>
        <strike/>
        <sz val="11"/>
        <rFont val="Consolas"/>
        <family val="3"/>
      </rPr>
      <t xml:space="preserve"> N.</t>
    </r>
    <rPh sb="0" eb="7">
      <t>トルストイ</t>
    </rPh>
    <phoneticPr fontId="1"/>
  </si>
  <si>
    <r>
      <rPr>
        <strike/>
        <sz val="11"/>
        <rFont val="游ゴシック Medium"/>
        <family val="3"/>
        <charset val="128"/>
      </rPr>
      <t>再話</t>
    </r>
    <rPh sb="0" eb="2">
      <t>サイワ</t>
    </rPh>
    <phoneticPr fontId="1"/>
  </si>
  <si>
    <r>
      <rPr>
        <strike/>
        <sz val="11"/>
        <rFont val="游ゴシック Medium"/>
        <family val="3"/>
        <charset val="128"/>
      </rPr>
      <t>内田莉莎子</t>
    </r>
    <r>
      <rPr>
        <strike/>
        <sz val="11"/>
        <rFont val="Consolas"/>
        <family val="3"/>
      </rPr>
      <t>/</t>
    </r>
    <r>
      <rPr>
        <strike/>
        <sz val="11"/>
        <rFont val="游ゴシック Medium"/>
        <family val="3"/>
        <charset val="128"/>
      </rPr>
      <t>佐藤忠良</t>
    </r>
    <rPh sb="0" eb="2">
      <t>ウチダ</t>
    </rPh>
    <rPh sb="2" eb="5">
      <t>リサコ</t>
    </rPh>
    <rPh sb="6" eb="8">
      <t>サトウ</t>
    </rPh>
    <rPh sb="8" eb="10">
      <t>チュウリョウ</t>
    </rPh>
    <phoneticPr fontId="1"/>
  </si>
  <si>
    <r>
      <rPr>
        <strike/>
        <sz val="11"/>
        <rFont val="游ゴシック Medium"/>
        <family val="3"/>
        <charset val="128"/>
      </rPr>
      <t>訳</t>
    </r>
    <r>
      <rPr>
        <strike/>
        <sz val="11"/>
        <rFont val="Consolas"/>
        <family val="3"/>
      </rPr>
      <t>/</t>
    </r>
    <r>
      <rPr>
        <strike/>
        <sz val="11"/>
        <rFont val="游ゴシック Medium"/>
        <family val="3"/>
        <charset val="128"/>
      </rPr>
      <t>画</t>
    </r>
    <rPh sb="0" eb="1">
      <t>ヤク</t>
    </rPh>
    <rPh sb="2" eb="3">
      <t>ガ</t>
    </rPh>
    <phoneticPr fontId="1"/>
  </si>
  <si>
    <r>
      <rPr>
        <strike/>
        <sz val="11"/>
        <rFont val="游ゴシック Medium"/>
        <family val="3"/>
        <charset val="128"/>
      </rPr>
      <t>おおきなかぶ</t>
    </r>
    <r>
      <rPr>
        <strike/>
        <sz val="11"/>
        <rFont val="Consolas"/>
        <family val="3"/>
      </rPr>
      <t>/</t>
    </r>
    <r>
      <rPr>
        <strike/>
        <sz val="11"/>
        <rFont val="游ゴシック Medium"/>
        <family val="3"/>
        <charset val="128"/>
      </rPr>
      <t>ロシアの民話</t>
    </r>
    <r>
      <rPr>
        <strike/>
        <sz val="11"/>
        <rFont val="Consolas"/>
        <family val="3"/>
      </rPr>
      <t>/The Turnip -An Old Russian Tale</t>
    </r>
    <phoneticPr fontId="1"/>
  </si>
  <si>
    <r>
      <rPr>
        <strike/>
        <sz val="11"/>
        <rFont val="游ゴシック Medium"/>
        <family val="3"/>
        <charset val="128"/>
      </rPr>
      <t>こどものとも絵本</t>
    </r>
    <rPh sb="6" eb="8">
      <t>エホン</t>
    </rPh>
    <phoneticPr fontId="1"/>
  </si>
  <si>
    <r>
      <rPr>
        <strike/>
        <sz val="11"/>
        <rFont val="游ゴシック Medium"/>
        <family val="3"/>
        <charset val="128"/>
      </rPr>
      <t>かずのほん</t>
    </r>
    <r>
      <rPr>
        <strike/>
        <sz val="11"/>
        <rFont val="Consolas"/>
        <family val="3"/>
      </rPr>
      <t xml:space="preserve"> 1,2,3 </t>
    </r>
    <r>
      <rPr>
        <strike/>
        <sz val="11"/>
        <rFont val="游ゴシック Medium"/>
        <family val="3"/>
        <charset val="128"/>
      </rPr>
      <t>どうぶつえんへ</t>
    </r>
    <r>
      <rPr>
        <strike/>
        <sz val="11"/>
        <rFont val="Consolas"/>
        <family val="3"/>
      </rPr>
      <t>/1,2,3, to the Zoo</t>
    </r>
    <phoneticPr fontId="1"/>
  </si>
  <si>
    <r>
      <rPr>
        <strike/>
        <sz val="11"/>
        <rFont val="游ゴシック Medium"/>
        <family val="3"/>
        <charset val="128"/>
      </rPr>
      <t>もり</t>
    </r>
    <r>
      <rPr>
        <strike/>
        <sz val="11"/>
        <rFont val="Consolas"/>
        <family val="3"/>
      </rPr>
      <t xml:space="preserve"> </t>
    </r>
    <r>
      <rPr>
        <strike/>
        <sz val="11"/>
        <rFont val="游ゴシック Medium"/>
        <family val="3"/>
        <charset val="128"/>
      </rPr>
      <t>ひさし</t>
    </r>
    <phoneticPr fontId="1"/>
  </si>
  <si>
    <r>
      <rPr>
        <strike/>
        <sz val="11"/>
        <rFont val="游ゴシック Medium"/>
        <family val="3"/>
        <charset val="128"/>
      </rPr>
      <t>はらぺこ</t>
    </r>
    <r>
      <rPr>
        <strike/>
        <sz val="11"/>
        <rFont val="Consolas"/>
        <family val="3"/>
      </rPr>
      <t xml:space="preserve"> </t>
    </r>
    <r>
      <rPr>
        <strike/>
        <sz val="11"/>
        <rFont val="游ゴシック Medium"/>
        <family val="3"/>
        <charset val="128"/>
      </rPr>
      <t>あおむし</t>
    </r>
    <r>
      <rPr>
        <strike/>
        <sz val="11"/>
        <rFont val="Consolas"/>
        <family val="3"/>
      </rPr>
      <t>/The Very Hungry Caterpillar</t>
    </r>
    <phoneticPr fontId="1"/>
  </si>
  <si>
    <r>
      <rPr>
        <strike/>
        <sz val="11"/>
        <rFont val="游ゴシック Medium"/>
        <family val="3"/>
        <charset val="128"/>
      </rPr>
      <t>ノニノコ</t>
    </r>
    <phoneticPr fontId="1"/>
  </si>
  <si>
    <r>
      <rPr>
        <strike/>
        <sz val="11"/>
        <rFont val="游ゴシック Medium"/>
        <family val="3"/>
        <charset val="128"/>
      </rPr>
      <t>はじめての</t>
    </r>
    <r>
      <rPr>
        <strike/>
        <sz val="11"/>
        <rFont val="Consolas"/>
        <family val="3"/>
      </rPr>
      <t xml:space="preserve"> </t>
    </r>
    <r>
      <rPr>
        <strike/>
        <sz val="11"/>
        <rFont val="游ゴシック Medium"/>
        <family val="3"/>
        <charset val="128"/>
      </rPr>
      <t>こうさくあそび</t>
    </r>
    <r>
      <rPr>
        <strike/>
        <sz val="11"/>
        <rFont val="Consolas"/>
        <family val="3"/>
      </rPr>
      <t>/The Little Hands Craft Book</t>
    </r>
    <phoneticPr fontId="1"/>
  </si>
  <si>
    <r>
      <rPr>
        <strike/>
        <sz val="11"/>
        <rFont val="游ゴシック Medium"/>
        <family val="3"/>
        <charset val="128"/>
      </rPr>
      <t>のら書店</t>
    </r>
    <rPh sb="2" eb="4">
      <t>ショテン</t>
    </rPh>
    <phoneticPr fontId="1"/>
  </si>
  <si>
    <r>
      <rPr>
        <strike/>
        <sz val="11"/>
        <rFont val="游ゴシック Medium"/>
        <family val="3"/>
        <charset val="128"/>
      </rPr>
      <t>木村</t>
    </r>
    <r>
      <rPr>
        <strike/>
        <sz val="11"/>
        <rFont val="Consolas"/>
        <family val="3"/>
      </rPr>
      <t xml:space="preserve"> </t>
    </r>
    <r>
      <rPr>
        <strike/>
        <sz val="11"/>
        <rFont val="游ゴシック Medium"/>
        <family val="3"/>
        <charset val="128"/>
      </rPr>
      <t>裕一</t>
    </r>
    <rPh sb="0" eb="2">
      <t>キムラ</t>
    </rPh>
    <rPh sb="3" eb="5">
      <t>ユウイチ</t>
    </rPh>
    <phoneticPr fontId="1"/>
  </si>
  <si>
    <r>
      <rPr>
        <strike/>
        <sz val="11"/>
        <rFont val="游ゴシック Medium"/>
        <family val="3"/>
        <charset val="128"/>
      </rPr>
      <t>原</t>
    </r>
    <r>
      <rPr>
        <strike/>
        <sz val="11"/>
        <rFont val="Consolas"/>
        <family val="3"/>
      </rPr>
      <t xml:space="preserve"> </t>
    </r>
    <r>
      <rPr>
        <strike/>
        <sz val="11"/>
        <rFont val="游ゴシック Medium"/>
        <family val="3"/>
        <charset val="128"/>
      </rPr>
      <t>京子</t>
    </r>
    <rPh sb="0" eb="1">
      <t>ハラ</t>
    </rPh>
    <rPh sb="2" eb="4">
      <t>キョウコ</t>
    </rPh>
    <phoneticPr fontId="1"/>
  </si>
  <si>
    <r>
      <rPr>
        <strike/>
        <sz val="11"/>
        <rFont val="游ゴシック Medium"/>
        <family val="3"/>
        <charset val="128"/>
      </rPr>
      <t>かばおばさんの</t>
    </r>
    <r>
      <rPr>
        <strike/>
        <sz val="11"/>
        <rFont val="Consolas"/>
        <family val="3"/>
      </rPr>
      <t xml:space="preserve"> </t>
    </r>
    <r>
      <rPr>
        <strike/>
        <sz val="11"/>
        <rFont val="游ゴシック Medium"/>
        <family val="3"/>
        <charset val="128"/>
      </rPr>
      <t>かぞえて</t>
    </r>
    <r>
      <rPr>
        <strike/>
        <sz val="11"/>
        <rFont val="Consolas"/>
        <family val="3"/>
      </rPr>
      <t xml:space="preserve"> </t>
    </r>
    <r>
      <rPr>
        <strike/>
        <sz val="11"/>
        <rFont val="游ゴシック Medium"/>
        <family val="3"/>
        <charset val="128"/>
      </rPr>
      <t>かんたん</t>
    </r>
    <r>
      <rPr>
        <strike/>
        <sz val="11"/>
        <rFont val="Consolas"/>
        <family val="3"/>
      </rPr>
      <t xml:space="preserve"> </t>
    </r>
    <r>
      <rPr>
        <strike/>
        <sz val="11"/>
        <rFont val="游ゴシック Medium"/>
        <family val="3"/>
        <charset val="128"/>
      </rPr>
      <t>かずあそび</t>
    </r>
    <phoneticPr fontId="1"/>
  </si>
  <si>
    <r>
      <t>PHP</t>
    </r>
    <r>
      <rPr>
        <strike/>
        <sz val="11"/>
        <rFont val="游ゴシック Medium"/>
        <family val="3"/>
        <charset val="128"/>
      </rPr>
      <t>子育てブックシリーズ</t>
    </r>
    <r>
      <rPr>
        <strike/>
        <sz val="11"/>
        <rFont val="Consolas"/>
        <family val="3"/>
      </rPr>
      <t>5/</t>
    </r>
    <r>
      <rPr>
        <strike/>
        <sz val="11"/>
        <rFont val="游ゴシック Medium"/>
        <family val="3"/>
        <charset val="128"/>
      </rPr>
      <t>かずの絵本</t>
    </r>
    <r>
      <rPr>
        <strike/>
        <sz val="11"/>
        <rFont val="Consolas"/>
        <family val="3"/>
      </rPr>
      <t>/</t>
    </r>
    <r>
      <rPr>
        <strike/>
        <sz val="11"/>
        <rFont val="游ゴシック Medium"/>
        <family val="3"/>
        <charset val="128"/>
      </rPr>
      <t>しかけ絵本</t>
    </r>
    <rPh sb="3" eb="5">
      <t>コソダ</t>
    </rPh>
    <rPh sb="18" eb="20">
      <t>エホン</t>
    </rPh>
    <rPh sb="24" eb="26">
      <t>エホン</t>
    </rPh>
    <phoneticPr fontId="1"/>
  </si>
  <si>
    <r>
      <t>PHP</t>
    </r>
    <r>
      <rPr>
        <strike/>
        <sz val="11"/>
        <rFont val="游ゴシック Medium"/>
        <family val="3"/>
        <charset val="128"/>
      </rPr>
      <t>研究所</t>
    </r>
    <rPh sb="3" eb="6">
      <t>ケンキュウショ</t>
    </rPh>
    <phoneticPr fontId="1"/>
  </si>
  <si>
    <r>
      <rPr>
        <strike/>
        <sz val="11"/>
        <rFont val="游ゴシック Medium"/>
        <family val="3"/>
        <charset val="128"/>
      </rPr>
      <t>寺門</t>
    </r>
    <r>
      <rPr>
        <strike/>
        <sz val="11"/>
        <rFont val="Consolas"/>
        <family val="3"/>
      </rPr>
      <t xml:space="preserve"> </t>
    </r>
    <r>
      <rPr>
        <strike/>
        <sz val="11"/>
        <rFont val="游ゴシック Medium"/>
        <family val="3"/>
        <charset val="128"/>
      </rPr>
      <t>保夫</t>
    </r>
    <rPh sb="0" eb="2">
      <t>テラカド</t>
    </rPh>
    <rPh sb="3" eb="5">
      <t>ヤスオ</t>
    </rPh>
    <phoneticPr fontId="1"/>
  </si>
  <si>
    <r>
      <rPr>
        <strike/>
        <sz val="11"/>
        <rFont val="游ゴシック Medium"/>
        <family val="3"/>
        <charset val="128"/>
      </rPr>
      <t>はりえあそび</t>
    </r>
    <r>
      <rPr>
        <strike/>
        <sz val="11"/>
        <rFont val="Consolas"/>
        <family val="3"/>
      </rPr>
      <t xml:space="preserve"> </t>
    </r>
    <r>
      <rPr>
        <strike/>
        <sz val="11"/>
        <rFont val="游ゴシック Medium"/>
        <family val="3"/>
        <charset val="128"/>
      </rPr>
      <t>いろがみ、けいと、ボタンやはっぱ、なんでもたのしくペタペタはろう</t>
    </r>
    <phoneticPr fontId="1"/>
  </si>
  <si>
    <r>
      <rPr>
        <strike/>
        <sz val="11"/>
        <rFont val="游ゴシック Medium"/>
        <family val="3"/>
        <charset val="128"/>
      </rPr>
      <t>あそびのひろば</t>
    </r>
    <r>
      <rPr>
        <strike/>
        <sz val="11"/>
        <rFont val="Consolas"/>
        <family val="3"/>
      </rPr>
      <t>4</t>
    </r>
    <phoneticPr fontId="1"/>
  </si>
  <si>
    <r>
      <rPr>
        <strike/>
        <sz val="11"/>
        <rFont val="游ゴシック Medium"/>
        <family val="3"/>
        <charset val="128"/>
      </rPr>
      <t>牧村</t>
    </r>
    <r>
      <rPr>
        <strike/>
        <sz val="11"/>
        <rFont val="Consolas"/>
        <family val="3"/>
      </rPr>
      <t xml:space="preserve"> </t>
    </r>
    <r>
      <rPr>
        <strike/>
        <sz val="11"/>
        <rFont val="游ゴシック Medium"/>
        <family val="3"/>
        <charset val="128"/>
      </rPr>
      <t>慶子</t>
    </r>
    <rPh sb="0" eb="2">
      <t>マキムラ</t>
    </rPh>
    <rPh sb="3" eb="5">
      <t>ケイコ</t>
    </rPh>
    <phoneticPr fontId="1"/>
  </si>
  <si>
    <r>
      <rPr>
        <strike/>
        <sz val="11"/>
        <rFont val="游ゴシック Medium"/>
        <family val="3"/>
        <charset val="128"/>
      </rPr>
      <t>みぢかなもの</t>
    </r>
    <phoneticPr fontId="1"/>
  </si>
  <si>
    <r>
      <rPr>
        <strike/>
        <sz val="11"/>
        <rFont val="游ゴシック Medium"/>
        <family val="3"/>
        <charset val="128"/>
      </rPr>
      <t>これしってるよ</t>
    </r>
    <r>
      <rPr>
        <strike/>
        <sz val="11"/>
        <rFont val="Consolas"/>
        <family val="3"/>
      </rPr>
      <t>4</t>
    </r>
    <phoneticPr fontId="1"/>
  </si>
  <si>
    <r>
      <rPr>
        <strike/>
        <sz val="11"/>
        <rFont val="游ゴシック Medium"/>
        <family val="3"/>
        <charset val="128"/>
      </rPr>
      <t>文化出版局</t>
    </r>
    <rPh sb="0" eb="2">
      <t>ブンカ</t>
    </rPh>
    <rPh sb="2" eb="5">
      <t>シュッパンキョク</t>
    </rPh>
    <phoneticPr fontId="1"/>
  </si>
  <si>
    <r>
      <rPr>
        <strike/>
        <sz val="11"/>
        <rFont val="游ゴシック Medium"/>
        <family val="3"/>
        <charset val="128"/>
      </rPr>
      <t>中川</t>
    </r>
    <r>
      <rPr>
        <strike/>
        <sz val="11"/>
        <rFont val="Consolas"/>
        <family val="3"/>
      </rPr>
      <t xml:space="preserve"> </t>
    </r>
    <r>
      <rPr>
        <strike/>
        <sz val="11"/>
        <rFont val="游ゴシック Medium"/>
        <family val="3"/>
        <charset val="128"/>
      </rPr>
      <t>李枝子</t>
    </r>
    <rPh sb="0" eb="2">
      <t>ナカガワ</t>
    </rPh>
    <rPh sb="3" eb="6">
      <t>リエコ</t>
    </rPh>
    <phoneticPr fontId="1"/>
  </si>
  <si>
    <r>
      <rPr>
        <strike/>
        <sz val="11"/>
        <rFont val="游ゴシック Medium"/>
        <family val="3"/>
        <charset val="128"/>
      </rPr>
      <t>文</t>
    </r>
    <rPh sb="0" eb="1">
      <t>ブン</t>
    </rPh>
    <phoneticPr fontId="1"/>
  </si>
  <si>
    <r>
      <rPr>
        <strike/>
        <sz val="11"/>
        <rFont val="游ゴシック Medium"/>
        <family val="3"/>
        <charset val="128"/>
      </rPr>
      <t>山脇</t>
    </r>
    <r>
      <rPr>
        <strike/>
        <sz val="11"/>
        <rFont val="Consolas"/>
        <family val="3"/>
      </rPr>
      <t xml:space="preserve"> </t>
    </r>
    <r>
      <rPr>
        <strike/>
        <sz val="11"/>
        <rFont val="游ゴシック Medium"/>
        <family val="3"/>
        <charset val="128"/>
      </rPr>
      <t>百合子</t>
    </r>
    <rPh sb="0" eb="2">
      <t>ヤマワキ</t>
    </rPh>
    <rPh sb="3" eb="6">
      <t>ユリコ</t>
    </rPh>
    <phoneticPr fontId="1"/>
  </si>
  <si>
    <r>
      <rPr>
        <strike/>
        <sz val="11"/>
        <rFont val="游ゴシック Medium"/>
        <family val="3"/>
        <charset val="128"/>
      </rPr>
      <t>ぐりとぐらのかいすいよく</t>
    </r>
    <phoneticPr fontId="1"/>
  </si>
  <si>
    <r>
      <rPr>
        <strike/>
        <sz val="11"/>
        <rFont val="游ゴシック Medium"/>
        <family val="3"/>
        <charset val="128"/>
      </rPr>
      <t>《こどものとも》傑作集</t>
    </r>
    <rPh sb="8" eb="10">
      <t>ケッサク</t>
    </rPh>
    <rPh sb="10" eb="11">
      <t>シュウ</t>
    </rPh>
    <phoneticPr fontId="1"/>
  </si>
  <si>
    <r>
      <rPr>
        <strike/>
        <sz val="11"/>
        <rFont val="游ゴシック Medium"/>
        <family val="3"/>
        <charset val="128"/>
      </rPr>
      <t>渡辺</t>
    </r>
    <r>
      <rPr>
        <strike/>
        <sz val="11"/>
        <rFont val="Consolas"/>
        <family val="3"/>
      </rPr>
      <t xml:space="preserve"> </t>
    </r>
    <r>
      <rPr>
        <strike/>
        <sz val="11"/>
        <rFont val="游ゴシック Medium"/>
        <family val="3"/>
        <charset val="128"/>
      </rPr>
      <t>茂男</t>
    </r>
    <rPh sb="0" eb="2">
      <t>ワタナベ</t>
    </rPh>
    <rPh sb="3" eb="5">
      <t>シゲオ</t>
    </rPh>
    <phoneticPr fontId="1"/>
  </si>
  <si>
    <r>
      <rPr>
        <strike/>
        <sz val="11"/>
        <rFont val="游ゴシック Medium"/>
        <family val="3"/>
        <charset val="128"/>
      </rPr>
      <t>山本</t>
    </r>
    <r>
      <rPr>
        <strike/>
        <sz val="11"/>
        <rFont val="Consolas"/>
        <family val="3"/>
      </rPr>
      <t xml:space="preserve"> </t>
    </r>
    <r>
      <rPr>
        <strike/>
        <sz val="11"/>
        <rFont val="游ゴシック Medium"/>
        <family val="3"/>
        <charset val="128"/>
      </rPr>
      <t>忠敬</t>
    </r>
    <rPh sb="0" eb="2">
      <t>ヤマモト</t>
    </rPh>
    <rPh sb="3" eb="5">
      <t>タダヨシ</t>
    </rPh>
    <phoneticPr fontId="1"/>
  </si>
  <si>
    <r>
      <rPr>
        <strike/>
        <sz val="11"/>
        <rFont val="游ゴシック Medium"/>
        <family val="3"/>
        <charset val="128"/>
      </rPr>
      <t>しょうぼうじどうしゃ</t>
    </r>
    <r>
      <rPr>
        <strike/>
        <sz val="11"/>
        <rFont val="Consolas"/>
        <family val="3"/>
      </rPr>
      <t xml:space="preserve"> </t>
    </r>
    <r>
      <rPr>
        <strike/>
        <sz val="11"/>
        <rFont val="游ゴシック Medium"/>
        <family val="3"/>
        <charset val="128"/>
      </rPr>
      <t>じぷた</t>
    </r>
    <phoneticPr fontId="1"/>
  </si>
  <si>
    <r>
      <rPr>
        <strike/>
        <sz val="11"/>
        <rFont val="游ゴシック Medium"/>
        <family val="3"/>
        <charset val="128"/>
      </rPr>
      <t>月刊「こどものとも」</t>
    </r>
    <r>
      <rPr>
        <strike/>
        <sz val="11"/>
        <rFont val="Consolas"/>
        <family val="3"/>
      </rPr>
      <t>/1966/06/10</t>
    </r>
    <r>
      <rPr>
        <strike/>
        <sz val="11"/>
        <rFont val="游ゴシック Medium"/>
        <family val="3"/>
        <charset val="128"/>
      </rPr>
      <t>「こどものとも傑作集」</t>
    </r>
    <r>
      <rPr>
        <strike/>
        <sz val="11"/>
        <rFont val="Consolas"/>
        <family val="3"/>
      </rPr>
      <t>/2010/10/05</t>
    </r>
    <r>
      <rPr>
        <strike/>
        <sz val="11"/>
        <rFont val="游ゴシック Medium"/>
        <family val="3"/>
        <charset val="128"/>
      </rPr>
      <t>第</t>
    </r>
    <r>
      <rPr>
        <strike/>
        <sz val="11"/>
        <rFont val="Consolas"/>
        <family val="3"/>
      </rPr>
      <t>129</t>
    </r>
    <r>
      <rPr>
        <strike/>
        <sz val="11"/>
        <rFont val="游ゴシック Medium"/>
        <family val="3"/>
        <charset val="128"/>
      </rPr>
      <t>刷</t>
    </r>
    <rPh sb="0" eb="2">
      <t>ゲッカン</t>
    </rPh>
    <rPh sb="28" eb="30">
      <t>ケッサク</t>
    </rPh>
    <rPh sb="30" eb="31">
      <t>シュウ</t>
    </rPh>
    <rPh sb="43" eb="44">
      <t>ダイ</t>
    </rPh>
    <rPh sb="47" eb="48">
      <t>サツ</t>
    </rPh>
    <phoneticPr fontId="1"/>
  </si>
  <si>
    <r>
      <rPr>
        <strike/>
        <sz val="11"/>
        <rFont val="游ゴシック Medium"/>
        <family val="3"/>
        <charset val="128"/>
      </rPr>
      <t>わにさん</t>
    </r>
    <r>
      <rPr>
        <strike/>
        <sz val="11"/>
        <rFont val="Consolas"/>
        <family val="3"/>
      </rPr>
      <t xml:space="preserve"> </t>
    </r>
    <r>
      <rPr>
        <strike/>
        <sz val="11"/>
        <rFont val="游ゴシック Medium"/>
        <family val="3"/>
        <charset val="128"/>
      </rPr>
      <t>どきっ</t>
    </r>
    <r>
      <rPr>
        <strike/>
        <sz val="11"/>
        <rFont val="Consolas"/>
        <family val="3"/>
      </rPr>
      <t xml:space="preserve"> </t>
    </r>
    <r>
      <rPr>
        <strike/>
        <sz val="11"/>
        <rFont val="游ゴシック Medium"/>
        <family val="3"/>
        <charset val="128"/>
      </rPr>
      <t>はいしゃさん</t>
    </r>
    <r>
      <rPr>
        <strike/>
        <sz val="11"/>
        <rFont val="Consolas"/>
        <family val="3"/>
      </rPr>
      <t xml:space="preserve"> </t>
    </r>
    <r>
      <rPr>
        <strike/>
        <sz val="11"/>
        <rFont val="游ゴシック Medium"/>
        <family val="3"/>
        <charset val="128"/>
      </rPr>
      <t>どきっ</t>
    </r>
    <phoneticPr fontId="1"/>
  </si>
  <si>
    <r>
      <rPr>
        <strike/>
        <sz val="11"/>
        <rFont val="游ゴシック Medium"/>
        <family val="3"/>
        <charset val="128"/>
      </rPr>
      <t>戸田幸四郎・ひろし</t>
    </r>
    <rPh sb="0" eb="2">
      <t>トダ</t>
    </rPh>
    <rPh sb="2" eb="5">
      <t>コウシロウ</t>
    </rPh>
    <phoneticPr fontId="1"/>
  </si>
  <si>
    <r>
      <rPr>
        <strike/>
        <sz val="11"/>
        <rFont val="游ゴシック Medium"/>
        <family val="3"/>
        <charset val="128"/>
      </rPr>
      <t>企画・構成・絵</t>
    </r>
    <rPh sb="0" eb="2">
      <t>キカク</t>
    </rPh>
    <rPh sb="3" eb="5">
      <t>コウセイ</t>
    </rPh>
    <rPh sb="6" eb="7">
      <t>エ</t>
    </rPh>
    <phoneticPr fontId="1"/>
  </si>
  <si>
    <r>
      <rPr>
        <strike/>
        <sz val="11"/>
        <rFont val="游ゴシック Medium"/>
        <family val="3"/>
        <charset val="128"/>
      </rPr>
      <t>あいうえお</t>
    </r>
    <r>
      <rPr>
        <strike/>
        <sz val="11"/>
        <rFont val="Consolas"/>
        <family val="3"/>
      </rPr>
      <t xml:space="preserve"> </t>
    </r>
    <r>
      <rPr>
        <strike/>
        <sz val="11"/>
        <rFont val="游ゴシック Medium"/>
        <family val="3"/>
        <charset val="128"/>
      </rPr>
      <t>えほん</t>
    </r>
    <phoneticPr fontId="1"/>
  </si>
  <si>
    <r>
      <rPr>
        <strike/>
        <sz val="11"/>
        <rFont val="游ゴシック Medium"/>
        <family val="3"/>
        <charset val="128"/>
      </rPr>
      <t>無着成恭先生推薦</t>
    </r>
    <r>
      <rPr>
        <strike/>
        <sz val="11"/>
        <rFont val="Consolas"/>
        <family val="3"/>
      </rPr>
      <t>/</t>
    </r>
    <r>
      <rPr>
        <strike/>
        <sz val="11"/>
        <rFont val="游ゴシック Medium"/>
        <family val="3"/>
        <charset val="128"/>
      </rPr>
      <t>初めて</t>
    </r>
    <r>
      <rPr>
        <strike/>
        <sz val="11"/>
        <rFont val="Consolas"/>
        <family val="3"/>
      </rPr>
      <t xml:space="preserve"> </t>
    </r>
    <r>
      <rPr>
        <strike/>
        <sz val="11"/>
        <rFont val="游ゴシック Medium"/>
        <family val="3"/>
        <charset val="128"/>
      </rPr>
      <t>文字を学ぶ</t>
    </r>
    <r>
      <rPr>
        <strike/>
        <sz val="11"/>
        <rFont val="Consolas"/>
        <family val="3"/>
      </rPr>
      <t xml:space="preserve"> </t>
    </r>
    <r>
      <rPr>
        <strike/>
        <sz val="11"/>
        <rFont val="游ゴシック Medium"/>
        <family val="3"/>
        <charset val="128"/>
      </rPr>
      <t>幼児のための</t>
    </r>
    <r>
      <rPr>
        <strike/>
        <sz val="11"/>
        <rFont val="Consolas"/>
        <family val="3"/>
      </rPr>
      <t xml:space="preserve"> </t>
    </r>
    <r>
      <rPr>
        <strike/>
        <sz val="11"/>
        <rFont val="游ゴシック Medium"/>
        <family val="3"/>
        <charset val="128"/>
      </rPr>
      <t>ひらがなの</t>
    </r>
    <r>
      <rPr>
        <strike/>
        <sz val="11"/>
        <rFont val="Consolas"/>
        <family val="3"/>
      </rPr>
      <t xml:space="preserve"> </t>
    </r>
    <r>
      <rPr>
        <strike/>
        <sz val="11"/>
        <rFont val="游ゴシック Medium"/>
        <family val="3"/>
        <charset val="128"/>
      </rPr>
      <t>正しい基本とその絵</t>
    </r>
    <rPh sb="0" eb="2">
      <t>ムチャク</t>
    </rPh>
    <rPh sb="2" eb="4">
      <t>セイキョウ</t>
    </rPh>
    <rPh sb="4" eb="6">
      <t>センセイ</t>
    </rPh>
    <rPh sb="6" eb="8">
      <t>スイセン</t>
    </rPh>
    <rPh sb="9" eb="10">
      <t>ハジ</t>
    </rPh>
    <rPh sb="13" eb="15">
      <t>モジ</t>
    </rPh>
    <rPh sb="16" eb="17">
      <t>マナ</t>
    </rPh>
    <rPh sb="19" eb="21">
      <t>ヨウジ</t>
    </rPh>
    <rPh sb="32" eb="33">
      <t>タダ</t>
    </rPh>
    <rPh sb="35" eb="37">
      <t>キホン</t>
    </rPh>
    <rPh sb="40" eb="41">
      <t>エ</t>
    </rPh>
    <phoneticPr fontId="1"/>
  </si>
  <si>
    <r>
      <rPr>
        <strike/>
        <sz val="11"/>
        <rFont val="游ゴシック Medium"/>
        <family val="3"/>
        <charset val="128"/>
      </rPr>
      <t>戸田デザイン研究所</t>
    </r>
    <rPh sb="0" eb="2">
      <t>トダ</t>
    </rPh>
    <rPh sb="6" eb="9">
      <t>ケンキュウショ</t>
    </rPh>
    <phoneticPr fontId="1"/>
  </si>
  <si>
    <r>
      <rPr>
        <strike/>
        <sz val="11"/>
        <rFont val="游ゴシック Medium"/>
        <family val="3"/>
        <charset val="128"/>
      </rPr>
      <t>七尾</t>
    </r>
    <r>
      <rPr>
        <strike/>
        <sz val="11"/>
        <rFont val="Consolas"/>
        <family val="3"/>
      </rPr>
      <t xml:space="preserve"> </t>
    </r>
    <r>
      <rPr>
        <strike/>
        <sz val="11"/>
        <rFont val="游ゴシック Medium"/>
        <family val="3"/>
        <charset val="128"/>
      </rPr>
      <t>純</t>
    </r>
    <rPh sb="0" eb="2">
      <t>ナナオ</t>
    </rPh>
    <rPh sb="3" eb="4">
      <t>ジュン</t>
    </rPh>
    <phoneticPr fontId="1"/>
  </si>
  <si>
    <r>
      <rPr>
        <strike/>
        <sz val="11"/>
        <rFont val="游ゴシック Medium"/>
        <family val="3"/>
        <charset val="128"/>
      </rPr>
      <t>福田岩緒</t>
    </r>
    <r>
      <rPr>
        <strike/>
        <sz val="11"/>
        <rFont val="Consolas"/>
        <family val="3"/>
      </rPr>
      <t>/</t>
    </r>
    <r>
      <rPr>
        <strike/>
        <sz val="11"/>
        <rFont val="游ゴシック Medium"/>
        <family val="3"/>
        <charset val="128"/>
      </rPr>
      <t>物部孝子</t>
    </r>
    <r>
      <rPr>
        <strike/>
        <sz val="11"/>
        <rFont val="Consolas"/>
        <family val="3"/>
      </rPr>
      <t>/</t>
    </r>
    <r>
      <rPr>
        <strike/>
        <sz val="11"/>
        <rFont val="游ゴシック Medium"/>
        <family val="3"/>
        <charset val="128"/>
      </rPr>
      <t>福知トシ</t>
    </r>
    <rPh sb="0" eb="2">
      <t>フクダ</t>
    </rPh>
    <rPh sb="2" eb="3">
      <t>イワ</t>
    </rPh>
    <rPh sb="3" eb="4">
      <t>オ</t>
    </rPh>
    <rPh sb="5" eb="7">
      <t>モノノベ</t>
    </rPh>
    <rPh sb="7" eb="9">
      <t>タカコ</t>
    </rPh>
    <rPh sb="10" eb="12">
      <t>フクチ</t>
    </rPh>
    <phoneticPr fontId="1"/>
  </si>
  <si>
    <r>
      <rPr>
        <strike/>
        <sz val="11"/>
        <rFont val="游ゴシック Medium"/>
        <family val="3"/>
        <charset val="128"/>
      </rPr>
      <t>え</t>
    </r>
    <r>
      <rPr>
        <strike/>
        <sz val="11"/>
        <rFont val="Consolas"/>
        <family val="3"/>
      </rPr>
      <t>/</t>
    </r>
    <r>
      <rPr>
        <strike/>
        <sz val="11"/>
        <rFont val="游ゴシック Medium"/>
        <family val="3"/>
        <charset val="128"/>
      </rPr>
      <t>あとがき</t>
    </r>
    <r>
      <rPr>
        <strike/>
        <sz val="11"/>
        <rFont val="Consolas"/>
        <family val="3"/>
      </rPr>
      <t>/</t>
    </r>
    <r>
      <rPr>
        <strike/>
        <sz val="11"/>
        <rFont val="游ゴシック Medium"/>
        <family val="3"/>
        <charset val="128"/>
      </rPr>
      <t>あとがき</t>
    </r>
    <phoneticPr fontId="1"/>
  </si>
  <si>
    <r>
      <rPr>
        <strike/>
        <sz val="11"/>
        <rFont val="游ゴシック Medium"/>
        <family val="3"/>
        <charset val="128"/>
      </rPr>
      <t>からだに</t>
    </r>
    <r>
      <rPr>
        <strike/>
        <sz val="11"/>
        <rFont val="Consolas"/>
        <family val="3"/>
      </rPr>
      <t xml:space="preserve"> </t>
    </r>
    <r>
      <rPr>
        <strike/>
        <sz val="11"/>
        <rFont val="游ゴシック Medium"/>
        <family val="3"/>
        <charset val="128"/>
      </rPr>
      <t>もしもし</t>
    </r>
    <phoneticPr fontId="1"/>
  </si>
  <si>
    <r>
      <rPr>
        <strike/>
        <sz val="11"/>
        <rFont val="游ゴシック Medium"/>
        <family val="3"/>
        <charset val="128"/>
      </rPr>
      <t>からだのえほん・</t>
    </r>
    <r>
      <rPr>
        <strike/>
        <sz val="11"/>
        <rFont val="Consolas"/>
        <family val="3"/>
      </rPr>
      <t>4</t>
    </r>
    <phoneticPr fontId="1"/>
  </si>
  <si>
    <r>
      <rPr>
        <strike/>
        <sz val="11"/>
        <rFont val="游ゴシック Medium"/>
        <family val="3"/>
        <charset val="128"/>
      </rPr>
      <t>長島</t>
    </r>
    <r>
      <rPr>
        <strike/>
        <sz val="11"/>
        <rFont val="Consolas"/>
        <family val="3"/>
      </rPr>
      <t xml:space="preserve"> </t>
    </r>
    <r>
      <rPr>
        <strike/>
        <sz val="11"/>
        <rFont val="游ゴシック Medium"/>
        <family val="3"/>
        <charset val="128"/>
      </rPr>
      <t>克夫</t>
    </r>
    <rPh sb="0" eb="2">
      <t>ナガシマ</t>
    </rPh>
    <rPh sb="3" eb="5">
      <t>カツオ</t>
    </rPh>
    <phoneticPr fontId="1"/>
  </si>
  <si>
    <r>
      <rPr>
        <strike/>
        <sz val="11"/>
        <rFont val="游ゴシック Medium"/>
        <family val="3"/>
        <charset val="128"/>
      </rPr>
      <t>えのぐ</t>
    </r>
    <r>
      <rPr>
        <strike/>
        <sz val="11"/>
        <rFont val="Consolas"/>
        <family val="3"/>
      </rPr>
      <t xml:space="preserve"> </t>
    </r>
    <r>
      <rPr>
        <strike/>
        <sz val="11"/>
        <rFont val="游ゴシック Medium"/>
        <family val="3"/>
        <charset val="128"/>
      </rPr>
      <t>あそび</t>
    </r>
    <phoneticPr fontId="1"/>
  </si>
  <si>
    <r>
      <rPr>
        <strike/>
        <sz val="11"/>
        <rFont val="游ゴシック Medium"/>
        <family val="3"/>
        <charset val="128"/>
      </rPr>
      <t>あそびの絵本</t>
    </r>
    <r>
      <rPr>
        <strike/>
        <sz val="11"/>
        <rFont val="Consolas"/>
        <family val="3"/>
      </rPr>
      <t xml:space="preserve"> 17</t>
    </r>
    <rPh sb="4" eb="6">
      <t>エホン</t>
    </rPh>
    <phoneticPr fontId="1"/>
  </si>
  <si>
    <r>
      <rPr>
        <strike/>
        <sz val="11"/>
        <rFont val="游ゴシック Medium"/>
        <family val="3"/>
        <charset val="128"/>
      </rPr>
      <t>小宮山洋夫</t>
    </r>
    <rPh sb="0" eb="3">
      <t>コミヤマ</t>
    </rPh>
    <rPh sb="3" eb="5">
      <t>ナミオ</t>
    </rPh>
    <phoneticPr fontId="1"/>
  </si>
  <si>
    <r>
      <rPr>
        <strike/>
        <sz val="11"/>
        <rFont val="游ゴシック Medium"/>
        <family val="3"/>
        <charset val="128"/>
      </rPr>
      <t>やさいのずかん</t>
    </r>
    <phoneticPr fontId="1"/>
  </si>
  <si>
    <r>
      <rPr>
        <strike/>
        <sz val="11"/>
        <rFont val="游ゴシック Medium"/>
        <family val="3"/>
        <charset val="128"/>
      </rPr>
      <t>絵本図鑑シリーズ</t>
    </r>
    <r>
      <rPr>
        <strike/>
        <sz val="11"/>
        <rFont val="Consolas"/>
        <family val="3"/>
      </rPr>
      <t xml:space="preserve"> 8</t>
    </r>
    <rPh sb="0" eb="2">
      <t>エホン</t>
    </rPh>
    <rPh sb="2" eb="4">
      <t>ズカン</t>
    </rPh>
    <phoneticPr fontId="1"/>
  </si>
  <si>
    <r>
      <rPr>
        <strike/>
        <sz val="11"/>
        <rFont val="游ゴシック Medium"/>
        <family val="3"/>
        <charset val="128"/>
      </rPr>
      <t>吉村</t>
    </r>
    <r>
      <rPr>
        <strike/>
        <sz val="11"/>
        <rFont val="Consolas"/>
        <family val="3"/>
      </rPr>
      <t xml:space="preserve"> </t>
    </r>
    <r>
      <rPr>
        <strike/>
        <sz val="11"/>
        <rFont val="游ゴシック Medium"/>
        <family val="3"/>
        <charset val="128"/>
      </rPr>
      <t>証子</t>
    </r>
    <rPh sb="0" eb="2">
      <t>ヨシムラ</t>
    </rPh>
    <rPh sb="3" eb="4">
      <t>アカシ</t>
    </rPh>
    <rPh sb="4" eb="5">
      <t>コ</t>
    </rPh>
    <phoneticPr fontId="1"/>
  </si>
  <si>
    <r>
      <rPr>
        <strike/>
        <sz val="11"/>
        <rFont val="游ゴシック Medium"/>
        <family val="3"/>
        <charset val="128"/>
      </rPr>
      <t>著</t>
    </r>
    <rPh sb="0" eb="1">
      <t>チョ</t>
    </rPh>
    <phoneticPr fontId="1"/>
  </si>
  <si>
    <r>
      <rPr>
        <strike/>
        <sz val="11"/>
        <rFont val="游ゴシック Medium"/>
        <family val="3"/>
        <charset val="128"/>
      </rPr>
      <t>帆足次郎</t>
    </r>
    <rPh sb="0" eb="2">
      <t>ホアシ</t>
    </rPh>
    <rPh sb="2" eb="4">
      <t>ジロウ</t>
    </rPh>
    <phoneticPr fontId="1"/>
  </si>
  <si>
    <r>
      <rPr>
        <strike/>
        <sz val="11"/>
        <rFont val="游ゴシック Medium"/>
        <family val="3"/>
        <charset val="128"/>
      </rPr>
      <t>ちず</t>
    </r>
    <r>
      <rPr>
        <strike/>
        <sz val="11"/>
        <rFont val="Consolas"/>
        <family val="3"/>
      </rPr>
      <t xml:space="preserve"> </t>
    </r>
    <r>
      <rPr>
        <strike/>
        <sz val="11"/>
        <rFont val="游ゴシック Medium"/>
        <family val="3"/>
        <charset val="128"/>
      </rPr>
      <t>あそび</t>
    </r>
    <phoneticPr fontId="1"/>
  </si>
  <si>
    <r>
      <rPr>
        <strike/>
        <sz val="11"/>
        <rFont val="游ゴシック Medium"/>
        <family val="3"/>
        <charset val="128"/>
      </rPr>
      <t>知識の絵本</t>
    </r>
    <r>
      <rPr>
        <strike/>
        <sz val="11"/>
        <rFont val="Consolas"/>
        <family val="3"/>
      </rPr>
      <t xml:space="preserve"> 1</t>
    </r>
    <rPh sb="0" eb="2">
      <t>チシキ</t>
    </rPh>
    <rPh sb="3" eb="5">
      <t>エホン</t>
    </rPh>
    <phoneticPr fontId="1"/>
  </si>
  <si>
    <r>
      <rPr>
        <strike/>
        <sz val="11"/>
        <rFont val="游ゴシック Medium"/>
        <family val="3"/>
        <charset val="128"/>
      </rPr>
      <t>婦人之友編集部</t>
    </r>
    <rPh sb="0" eb="2">
      <t>フジン</t>
    </rPh>
    <rPh sb="2" eb="3">
      <t>コレ</t>
    </rPh>
    <rPh sb="3" eb="4">
      <t>トモ</t>
    </rPh>
    <rPh sb="4" eb="6">
      <t>ヘンシュウ</t>
    </rPh>
    <rPh sb="6" eb="7">
      <t>ブ</t>
    </rPh>
    <phoneticPr fontId="1"/>
  </si>
  <si>
    <r>
      <rPr>
        <strike/>
        <sz val="11"/>
        <rFont val="游ゴシック Medium"/>
        <family val="3"/>
        <charset val="128"/>
      </rPr>
      <t>こどもがつくる</t>
    </r>
    <r>
      <rPr>
        <strike/>
        <sz val="11"/>
        <rFont val="Consolas"/>
        <family val="3"/>
      </rPr>
      <t xml:space="preserve"> </t>
    </r>
    <r>
      <rPr>
        <strike/>
        <sz val="11"/>
        <rFont val="游ゴシック Medium"/>
        <family val="3"/>
        <charset val="128"/>
      </rPr>
      <t>たのしい</t>
    </r>
    <r>
      <rPr>
        <strike/>
        <sz val="11"/>
        <rFont val="Consolas"/>
        <family val="3"/>
      </rPr>
      <t xml:space="preserve"> </t>
    </r>
    <r>
      <rPr>
        <strike/>
        <sz val="11"/>
        <rFont val="游ゴシック Medium"/>
        <family val="3"/>
        <charset val="128"/>
      </rPr>
      <t>お料理</t>
    </r>
    <rPh sb="14" eb="16">
      <t>リョウリ</t>
    </rPh>
    <phoneticPr fontId="1"/>
  </si>
  <si>
    <r>
      <rPr>
        <strike/>
        <sz val="11"/>
        <rFont val="游ゴシック Medium"/>
        <family val="3"/>
        <charset val="128"/>
      </rPr>
      <t>婦人之友社</t>
    </r>
    <rPh sb="0" eb="2">
      <t>フジン</t>
    </rPh>
    <rPh sb="2" eb="3">
      <t>ノ</t>
    </rPh>
    <rPh sb="3" eb="4">
      <t>トモ</t>
    </rPh>
    <rPh sb="4" eb="5">
      <t>シャ</t>
    </rPh>
    <phoneticPr fontId="1"/>
  </si>
  <si>
    <r>
      <rPr>
        <strike/>
        <sz val="11"/>
        <rFont val="游ゴシック Medium"/>
        <family val="3"/>
        <charset val="128"/>
      </rPr>
      <t>教本</t>
    </r>
    <rPh sb="0" eb="2">
      <t>キョウホン</t>
    </rPh>
    <phoneticPr fontId="1"/>
  </si>
  <si>
    <r>
      <rPr>
        <strike/>
        <sz val="11"/>
        <rFont val="游ゴシック Medium"/>
        <family val="3"/>
        <charset val="128"/>
      </rPr>
      <t>文部科学省</t>
    </r>
    <rPh sb="0" eb="2">
      <t>モンブ</t>
    </rPh>
    <rPh sb="2" eb="5">
      <t>カガクショウ</t>
    </rPh>
    <phoneticPr fontId="1"/>
  </si>
  <si>
    <r>
      <rPr>
        <strike/>
        <sz val="11"/>
        <rFont val="游ゴシック Medium"/>
        <family val="3"/>
        <charset val="128"/>
      </rPr>
      <t>数学</t>
    </r>
    <r>
      <rPr>
        <strike/>
        <sz val="11"/>
        <rFont val="Consolas"/>
        <family val="3"/>
      </rPr>
      <t xml:space="preserve"> </t>
    </r>
    <r>
      <rPr>
        <strike/>
        <sz val="11"/>
        <rFont val="游ゴシック Medium"/>
        <family val="3"/>
        <charset val="128"/>
      </rPr>
      <t>☆☆☆☆</t>
    </r>
    <r>
      <rPr>
        <strike/>
        <sz val="11"/>
        <rFont val="Consolas"/>
        <family val="3"/>
      </rPr>
      <t xml:space="preserve"> </t>
    </r>
    <r>
      <rPr>
        <strike/>
        <sz val="11"/>
        <rFont val="游ゴシック Medium"/>
        <family val="3"/>
        <charset val="128"/>
      </rPr>
      <t>特別支援学校中学部知的障害者用</t>
    </r>
    <rPh sb="0" eb="2">
      <t>スウガク</t>
    </rPh>
    <rPh sb="8" eb="10">
      <t>トクベツ</t>
    </rPh>
    <rPh sb="10" eb="12">
      <t>シエン</t>
    </rPh>
    <rPh sb="12" eb="14">
      <t>ガッコウ</t>
    </rPh>
    <rPh sb="14" eb="16">
      <t>チュウガク</t>
    </rPh>
    <rPh sb="16" eb="17">
      <t>ブ</t>
    </rPh>
    <rPh sb="17" eb="19">
      <t>チテキ</t>
    </rPh>
    <rPh sb="19" eb="23">
      <t>ショウガイシャヨウ</t>
    </rPh>
    <phoneticPr fontId="1"/>
  </si>
  <si>
    <r>
      <rPr>
        <strike/>
        <sz val="11"/>
        <rFont val="游ゴシック Medium"/>
        <family val="3"/>
        <charset val="128"/>
      </rPr>
      <t>数学</t>
    </r>
    <r>
      <rPr>
        <strike/>
        <sz val="11"/>
        <rFont val="Consolas"/>
        <family val="3"/>
      </rPr>
      <t xml:space="preserve">C-711 </t>
    </r>
    <r>
      <rPr>
        <strike/>
        <sz val="11"/>
        <rFont val="游ゴシック Medium"/>
        <family val="3"/>
        <charset val="128"/>
      </rPr>
      <t>中学部数学科</t>
    </r>
    <r>
      <rPr>
        <strike/>
        <sz val="11"/>
        <rFont val="Consolas"/>
        <family val="3"/>
      </rPr>
      <t xml:space="preserve"> 1</t>
    </r>
    <r>
      <rPr>
        <strike/>
        <sz val="11"/>
        <rFont val="游ゴシック Medium"/>
        <family val="3"/>
        <charset val="128"/>
      </rPr>
      <t>～</t>
    </r>
    <r>
      <rPr>
        <strike/>
        <sz val="11"/>
        <rFont val="Consolas"/>
        <family val="3"/>
      </rPr>
      <t>3</t>
    </r>
    <r>
      <rPr>
        <strike/>
        <sz val="11"/>
        <rFont val="游ゴシック Medium"/>
        <family val="3"/>
        <charset val="128"/>
      </rPr>
      <t>学年用</t>
    </r>
    <rPh sb="0" eb="2">
      <t>スウガク</t>
    </rPh>
    <rPh sb="8" eb="10">
      <t>チュウガク</t>
    </rPh>
    <rPh sb="10" eb="11">
      <t>ブ</t>
    </rPh>
    <rPh sb="11" eb="14">
      <t>スウガッカ</t>
    </rPh>
    <rPh sb="18" eb="21">
      <t>ガクネンヨウ</t>
    </rPh>
    <phoneticPr fontId="1"/>
  </si>
  <si>
    <r>
      <rPr>
        <strike/>
        <sz val="11"/>
        <rFont val="游ゴシック Medium"/>
        <family val="3"/>
        <charset val="128"/>
      </rPr>
      <t>教育出版株式会社</t>
    </r>
    <rPh sb="0" eb="2">
      <t>キョウイク</t>
    </rPh>
    <rPh sb="2" eb="4">
      <t>シュッパン</t>
    </rPh>
    <rPh sb="4" eb="8">
      <t>カブシキガイシャ</t>
    </rPh>
    <phoneticPr fontId="1"/>
  </si>
  <si>
    <r>
      <rPr>
        <strike/>
        <sz val="11"/>
        <rFont val="游ゴシック Medium"/>
        <family val="3"/>
        <charset val="128"/>
      </rPr>
      <t>国語</t>
    </r>
    <r>
      <rPr>
        <strike/>
        <sz val="11"/>
        <rFont val="Consolas"/>
        <family val="3"/>
      </rPr>
      <t xml:space="preserve"> </t>
    </r>
    <r>
      <rPr>
        <strike/>
        <sz val="11"/>
        <rFont val="游ゴシック Medium"/>
        <family val="3"/>
        <charset val="128"/>
      </rPr>
      <t>☆☆☆☆</t>
    </r>
    <r>
      <rPr>
        <strike/>
        <sz val="11"/>
        <rFont val="Consolas"/>
        <family val="3"/>
      </rPr>
      <t xml:space="preserve"> </t>
    </r>
    <r>
      <rPr>
        <strike/>
        <sz val="11"/>
        <rFont val="游ゴシック Medium"/>
        <family val="3"/>
        <charset val="128"/>
      </rPr>
      <t>特別支援学校中学部知的障害者用</t>
    </r>
    <rPh sb="0" eb="2">
      <t>コクゴ</t>
    </rPh>
    <rPh sb="8" eb="10">
      <t>トクベツ</t>
    </rPh>
    <rPh sb="10" eb="12">
      <t>シエン</t>
    </rPh>
    <rPh sb="12" eb="14">
      <t>ガッコウ</t>
    </rPh>
    <rPh sb="14" eb="16">
      <t>チュウガク</t>
    </rPh>
    <rPh sb="16" eb="17">
      <t>ブ</t>
    </rPh>
    <rPh sb="17" eb="19">
      <t>チテキ</t>
    </rPh>
    <rPh sb="19" eb="23">
      <t>ショウガイシャヨウ</t>
    </rPh>
    <phoneticPr fontId="1"/>
  </si>
  <si>
    <r>
      <rPr>
        <strike/>
        <sz val="11"/>
        <rFont val="游ゴシック Medium"/>
        <family val="3"/>
        <charset val="128"/>
      </rPr>
      <t>国語</t>
    </r>
    <r>
      <rPr>
        <strike/>
        <sz val="11"/>
        <rFont val="Consolas"/>
        <family val="3"/>
      </rPr>
      <t xml:space="preserve">C-711 </t>
    </r>
    <r>
      <rPr>
        <strike/>
        <sz val="11"/>
        <rFont val="游ゴシック Medium"/>
        <family val="3"/>
        <charset val="128"/>
      </rPr>
      <t>中学部数学科</t>
    </r>
    <r>
      <rPr>
        <strike/>
        <sz val="11"/>
        <rFont val="Consolas"/>
        <family val="3"/>
      </rPr>
      <t xml:space="preserve"> 1</t>
    </r>
    <r>
      <rPr>
        <strike/>
        <sz val="11"/>
        <rFont val="游ゴシック Medium"/>
        <family val="3"/>
        <charset val="128"/>
      </rPr>
      <t>～</t>
    </r>
    <r>
      <rPr>
        <strike/>
        <sz val="11"/>
        <rFont val="Consolas"/>
        <family val="3"/>
      </rPr>
      <t>3</t>
    </r>
    <r>
      <rPr>
        <strike/>
        <sz val="11"/>
        <rFont val="游ゴシック Medium"/>
        <family val="3"/>
        <charset val="128"/>
      </rPr>
      <t>学年用</t>
    </r>
    <rPh sb="0" eb="2">
      <t>コクゴ</t>
    </rPh>
    <rPh sb="8" eb="10">
      <t>チュウガク</t>
    </rPh>
    <rPh sb="10" eb="11">
      <t>ブ</t>
    </rPh>
    <rPh sb="11" eb="14">
      <t>スウガッカ</t>
    </rPh>
    <rPh sb="18" eb="21">
      <t>ガクネンヨウ</t>
    </rPh>
    <phoneticPr fontId="1"/>
  </si>
  <si>
    <r>
      <rPr>
        <strike/>
        <sz val="11"/>
        <rFont val="游ゴシック Medium"/>
        <family val="3"/>
        <charset val="128"/>
      </rPr>
      <t>東京都教育庁指導部義務教育特別支援教育指導課</t>
    </r>
    <rPh sb="0" eb="3">
      <t>トウキョウト</t>
    </rPh>
    <rPh sb="3" eb="5">
      <t>キョウイク</t>
    </rPh>
    <rPh sb="5" eb="6">
      <t>チョウ</t>
    </rPh>
    <rPh sb="6" eb="8">
      <t>シドウ</t>
    </rPh>
    <rPh sb="8" eb="9">
      <t>ブ</t>
    </rPh>
    <rPh sb="9" eb="11">
      <t>ギム</t>
    </rPh>
    <rPh sb="11" eb="13">
      <t>キョウイク</t>
    </rPh>
    <rPh sb="13" eb="15">
      <t>トクベツ</t>
    </rPh>
    <rPh sb="15" eb="17">
      <t>シエン</t>
    </rPh>
    <rPh sb="17" eb="19">
      <t>キョウイク</t>
    </rPh>
    <rPh sb="19" eb="21">
      <t>シドウ</t>
    </rPh>
    <rPh sb="21" eb="22">
      <t>カ</t>
    </rPh>
    <phoneticPr fontId="1"/>
  </si>
  <si>
    <r>
      <rPr>
        <strike/>
        <sz val="11"/>
        <rFont val="游ゴシック Medium"/>
        <family val="3"/>
        <charset val="128"/>
      </rPr>
      <t>心みつめて</t>
    </r>
    <rPh sb="0" eb="1">
      <t>ココロ</t>
    </rPh>
    <phoneticPr fontId="1"/>
  </si>
  <si>
    <r>
      <rPr>
        <strike/>
        <sz val="11"/>
        <rFont val="游ゴシック Medium"/>
        <family val="3"/>
        <charset val="128"/>
      </rPr>
      <t>東京都道徳教育教材集</t>
    </r>
    <r>
      <rPr>
        <strike/>
        <sz val="11"/>
        <rFont val="Consolas"/>
        <family val="3"/>
      </rPr>
      <t xml:space="preserve"> </t>
    </r>
    <r>
      <rPr>
        <strike/>
        <sz val="11"/>
        <rFont val="游ゴシック Medium"/>
        <family val="3"/>
        <charset val="128"/>
      </rPr>
      <t>中学校版</t>
    </r>
    <rPh sb="0" eb="3">
      <t>トウキョウト</t>
    </rPh>
    <rPh sb="3" eb="5">
      <t>ドウトク</t>
    </rPh>
    <rPh sb="5" eb="7">
      <t>キョウイク</t>
    </rPh>
    <rPh sb="7" eb="9">
      <t>キョウザイ</t>
    </rPh>
    <rPh sb="9" eb="10">
      <t>シュウ</t>
    </rPh>
    <rPh sb="11" eb="14">
      <t>チュウガッコウ</t>
    </rPh>
    <rPh sb="14" eb="15">
      <t>バン</t>
    </rPh>
    <phoneticPr fontId="1"/>
  </si>
  <si>
    <r>
      <rPr>
        <strike/>
        <sz val="11"/>
        <rFont val="游ゴシック Medium"/>
        <family val="3"/>
        <charset val="128"/>
      </rPr>
      <t>東京都教育委員会</t>
    </r>
    <rPh sb="0" eb="3">
      <t>トウキョウト</t>
    </rPh>
    <rPh sb="3" eb="5">
      <t>キョウイク</t>
    </rPh>
    <rPh sb="5" eb="8">
      <t>イインカイ</t>
    </rPh>
    <phoneticPr fontId="1"/>
  </si>
  <si>
    <r>
      <rPr>
        <strike/>
        <sz val="11"/>
        <rFont val="游ゴシック Medium"/>
        <family val="3"/>
        <charset val="128"/>
      </rPr>
      <t>豊島区立の中学校</t>
    </r>
    <rPh sb="0" eb="4">
      <t>トシマクリツ</t>
    </rPh>
    <rPh sb="5" eb="8">
      <t>チュウガッコウ</t>
    </rPh>
    <phoneticPr fontId="1"/>
  </si>
  <si>
    <r>
      <rPr>
        <strike/>
        <sz val="11"/>
        <rFont val="游ゴシック Medium"/>
        <family val="3"/>
        <charset val="128"/>
      </rPr>
      <t>高橋</t>
    </r>
    <r>
      <rPr>
        <strike/>
        <sz val="11"/>
        <rFont val="Consolas"/>
        <family val="3"/>
      </rPr>
      <t xml:space="preserve"> </t>
    </r>
    <r>
      <rPr>
        <strike/>
        <sz val="11"/>
        <rFont val="游ゴシック Medium"/>
        <family val="3"/>
        <charset val="128"/>
      </rPr>
      <t>敦子</t>
    </r>
    <rPh sb="0" eb="2">
      <t>タカハシ</t>
    </rPh>
    <rPh sb="3" eb="5">
      <t>アツコ</t>
    </rPh>
    <phoneticPr fontId="1"/>
  </si>
  <si>
    <r>
      <rPr>
        <strike/>
        <sz val="11"/>
        <rFont val="游ゴシック Medium"/>
        <family val="3"/>
        <charset val="128"/>
      </rPr>
      <t>料理</t>
    </r>
    <rPh sb="0" eb="2">
      <t>リョウリ</t>
    </rPh>
    <phoneticPr fontId="1"/>
  </si>
  <si>
    <r>
      <rPr>
        <strike/>
        <sz val="11"/>
        <rFont val="游ゴシック Medium"/>
        <family val="3"/>
        <charset val="128"/>
      </rPr>
      <t>あおき</t>
    </r>
    <r>
      <rPr>
        <strike/>
        <sz val="11"/>
        <rFont val="Consolas"/>
        <family val="3"/>
      </rPr>
      <t xml:space="preserve"> </t>
    </r>
    <r>
      <rPr>
        <strike/>
        <sz val="11"/>
        <rFont val="游ゴシック Medium"/>
        <family val="3"/>
        <charset val="128"/>
      </rPr>
      <t>ひろえ</t>
    </r>
    <phoneticPr fontId="1"/>
  </si>
  <si>
    <r>
      <rPr>
        <strike/>
        <sz val="11"/>
        <rFont val="游ゴシック Medium"/>
        <family val="3"/>
        <charset val="128"/>
      </rPr>
      <t>新・こどもクッキング</t>
    </r>
    <r>
      <rPr>
        <strike/>
        <sz val="11"/>
        <rFont val="Consolas"/>
        <family val="3"/>
      </rPr>
      <t>/The cookbook for children</t>
    </r>
    <rPh sb="0" eb="1">
      <t>シン</t>
    </rPh>
    <phoneticPr fontId="1"/>
  </si>
  <si>
    <r>
      <rPr>
        <strike/>
        <sz val="11"/>
        <rFont val="游ゴシック Medium"/>
        <family val="3"/>
        <charset val="128"/>
      </rPr>
      <t>女子栄養大学出版部</t>
    </r>
    <rPh sb="0" eb="2">
      <t>ジョシ</t>
    </rPh>
    <rPh sb="2" eb="4">
      <t>エイヨウ</t>
    </rPh>
    <rPh sb="4" eb="6">
      <t>ダイガク</t>
    </rPh>
    <rPh sb="6" eb="8">
      <t>シュッパン</t>
    </rPh>
    <rPh sb="8" eb="9">
      <t>ブ</t>
    </rPh>
    <phoneticPr fontId="1"/>
  </si>
  <si>
    <r>
      <rPr>
        <strike/>
        <sz val="11"/>
        <rFont val="游ゴシック Medium"/>
        <family val="3"/>
        <charset val="128"/>
      </rPr>
      <t>幼年自然科学研究会</t>
    </r>
    <r>
      <rPr>
        <strike/>
        <sz val="11"/>
        <rFont val="Consolas"/>
        <family val="3"/>
      </rPr>
      <t>/</t>
    </r>
    <r>
      <rPr>
        <strike/>
        <sz val="11"/>
        <rFont val="游ゴシック Medium"/>
        <family val="3"/>
        <charset val="128"/>
      </rPr>
      <t>荒西能久</t>
    </r>
    <rPh sb="0" eb="2">
      <t>ヨウネン</t>
    </rPh>
    <rPh sb="2" eb="4">
      <t>シゼン</t>
    </rPh>
    <rPh sb="4" eb="6">
      <t>カガク</t>
    </rPh>
    <rPh sb="6" eb="9">
      <t>ケンキュウカイ</t>
    </rPh>
    <rPh sb="10" eb="12">
      <t>アラニシ</t>
    </rPh>
    <rPh sb="12" eb="14">
      <t>ノリヒサ</t>
    </rPh>
    <phoneticPr fontId="1"/>
  </si>
  <si>
    <r>
      <rPr>
        <strike/>
        <sz val="11"/>
        <rFont val="游ゴシック Medium"/>
        <family val="3"/>
        <charset val="128"/>
      </rPr>
      <t>編著</t>
    </r>
    <rPh sb="0" eb="2">
      <t>ヘンチョ</t>
    </rPh>
    <phoneticPr fontId="1"/>
  </si>
  <si>
    <r>
      <rPr>
        <strike/>
        <sz val="11"/>
        <rFont val="游ゴシック Medium"/>
        <family val="3"/>
        <charset val="128"/>
      </rPr>
      <t>やさいとくだもの</t>
    </r>
    <phoneticPr fontId="1"/>
  </si>
  <si>
    <r>
      <rPr>
        <strike/>
        <sz val="11"/>
        <rFont val="游ゴシック Medium"/>
        <family val="3"/>
        <charset val="128"/>
      </rPr>
      <t>はじめてのずかん</t>
    </r>
    <phoneticPr fontId="1"/>
  </si>
  <si>
    <r>
      <rPr>
        <strike/>
        <sz val="11"/>
        <rFont val="游ゴシック Medium"/>
        <family val="3"/>
        <charset val="128"/>
      </rPr>
      <t>たしろ</t>
    </r>
    <r>
      <rPr>
        <strike/>
        <sz val="11"/>
        <rFont val="Consolas"/>
        <family val="3"/>
      </rPr>
      <t xml:space="preserve"> </t>
    </r>
    <r>
      <rPr>
        <strike/>
        <sz val="11"/>
        <rFont val="游ゴシック Medium"/>
        <family val="3"/>
        <charset val="128"/>
      </rPr>
      <t>こうじ</t>
    </r>
    <phoneticPr fontId="1"/>
  </si>
  <si>
    <r>
      <rPr>
        <strike/>
        <sz val="11"/>
        <rFont val="游ゴシック Medium"/>
        <family val="3"/>
        <charset val="128"/>
      </rPr>
      <t>とびだすカード</t>
    </r>
    <phoneticPr fontId="1"/>
  </si>
  <si>
    <r>
      <rPr>
        <strike/>
        <sz val="11"/>
        <rFont val="游ゴシック Medium"/>
        <family val="3"/>
        <charset val="128"/>
      </rPr>
      <t>ポプラ社のペーパーランド</t>
    </r>
    <rPh sb="3" eb="4">
      <t>シャ</t>
    </rPh>
    <phoneticPr fontId="1"/>
  </si>
  <si>
    <r>
      <rPr>
        <strike/>
        <sz val="11"/>
        <rFont val="游ゴシック Medium"/>
        <family val="3"/>
        <charset val="128"/>
      </rPr>
      <t>現代邦楽研究所</t>
    </r>
    <rPh sb="0" eb="2">
      <t>ゲンダイ</t>
    </rPh>
    <rPh sb="2" eb="4">
      <t>ホウガク</t>
    </rPh>
    <rPh sb="4" eb="7">
      <t>ケンキュウショ</t>
    </rPh>
    <phoneticPr fontId="1"/>
  </si>
  <si>
    <r>
      <rPr>
        <strike/>
        <sz val="11"/>
        <rFont val="游ゴシック Medium"/>
        <family val="3"/>
        <charset val="128"/>
      </rPr>
      <t>坪能</t>
    </r>
    <r>
      <rPr>
        <strike/>
        <sz val="11"/>
        <rFont val="Consolas"/>
        <family val="3"/>
      </rPr>
      <t xml:space="preserve"> </t>
    </r>
    <r>
      <rPr>
        <strike/>
        <sz val="11"/>
        <rFont val="游ゴシック Medium"/>
        <family val="3"/>
        <charset val="128"/>
      </rPr>
      <t>由紀子</t>
    </r>
    <rPh sb="0" eb="2">
      <t>ツボノウ</t>
    </rPh>
    <rPh sb="3" eb="6">
      <t>ユキコ</t>
    </rPh>
    <phoneticPr fontId="1"/>
  </si>
  <si>
    <r>
      <rPr>
        <strike/>
        <sz val="11"/>
        <rFont val="游ゴシック Medium"/>
        <family val="3"/>
        <charset val="128"/>
      </rPr>
      <t>監修</t>
    </r>
    <rPh sb="0" eb="2">
      <t>カンシュウ</t>
    </rPh>
    <phoneticPr fontId="1"/>
  </si>
  <si>
    <r>
      <rPr>
        <strike/>
        <sz val="11"/>
        <rFont val="游ゴシック Medium"/>
        <family val="3"/>
        <charset val="128"/>
      </rPr>
      <t>和楽器にチャレンジ</t>
    </r>
    <r>
      <rPr>
        <strike/>
        <sz val="11"/>
        <rFont val="Consolas"/>
        <family val="3"/>
      </rPr>
      <t xml:space="preserve">! 1 </t>
    </r>
    <r>
      <rPr>
        <strike/>
        <sz val="11"/>
        <rFont val="游ゴシック Medium"/>
        <family val="3"/>
        <charset val="128"/>
      </rPr>
      <t>和太鼓を打ってみよう</t>
    </r>
    <rPh sb="0" eb="3">
      <t>ワガッキ</t>
    </rPh>
    <rPh sb="13" eb="14">
      <t>ワ</t>
    </rPh>
    <rPh sb="14" eb="16">
      <t>ダイコ</t>
    </rPh>
    <rPh sb="17" eb="18">
      <t>ウ</t>
    </rPh>
    <phoneticPr fontId="1"/>
  </si>
  <si>
    <r>
      <rPr>
        <strike/>
        <sz val="11"/>
        <rFont val="游ゴシック Medium"/>
        <family val="3"/>
        <charset val="128"/>
      </rPr>
      <t>汐文社</t>
    </r>
    <rPh sb="0" eb="1">
      <t>シオ</t>
    </rPh>
    <rPh sb="1" eb="2">
      <t>ブン</t>
    </rPh>
    <rPh sb="2" eb="3">
      <t>シャ</t>
    </rPh>
    <phoneticPr fontId="1"/>
  </si>
  <si>
    <r>
      <rPr>
        <strike/>
        <sz val="11"/>
        <rFont val="游ゴシック Medium"/>
        <family val="3"/>
        <charset val="128"/>
      </rPr>
      <t>とだこうしろう</t>
    </r>
    <phoneticPr fontId="1"/>
  </si>
  <si>
    <r>
      <rPr>
        <strike/>
        <sz val="11"/>
        <rFont val="游ゴシック Medium"/>
        <family val="3"/>
        <charset val="128"/>
      </rPr>
      <t>こどもが</t>
    </r>
    <r>
      <rPr>
        <strike/>
        <sz val="11"/>
        <rFont val="Consolas"/>
        <family val="3"/>
      </rPr>
      <t xml:space="preserve"> </t>
    </r>
    <r>
      <rPr>
        <strike/>
        <sz val="11"/>
        <rFont val="游ゴシック Medium"/>
        <family val="3"/>
        <charset val="128"/>
      </rPr>
      <t>はじめてであう</t>
    </r>
    <r>
      <rPr>
        <strike/>
        <sz val="11"/>
        <rFont val="Consolas"/>
        <family val="3"/>
      </rPr>
      <t xml:space="preserve"> </t>
    </r>
    <r>
      <rPr>
        <strike/>
        <sz val="11"/>
        <rFont val="游ゴシック Medium"/>
        <family val="3"/>
        <charset val="128"/>
      </rPr>
      <t>にっぽん</t>
    </r>
    <r>
      <rPr>
        <strike/>
        <sz val="11"/>
        <rFont val="Consolas"/>
        <family val="3"/>
      </rPr>
      <t xml:space="preserve"> </t>
    </r>
    <r>
      <rPr>
        <strike/>
        <sz val="11"/>
        <rFont val="游ゴシック Medium"/>
        <family val="3"/>
        <charset val="128"/>
      </rPr>
      <t>地図</t>
    </r>
    <r>
      <rPr>
        <strike/>
        <sz val="11"/>
        <rFont val="Consolas"/>
        <family val="3"/>
      </rPr>
      <t xml:space="preserve"> </t>
    </r>
    <r>
      <rPr>
        <strike/>
        <sz val="11"/>
        <rFont val="游ゴシック Medium"/>
        <family val="3"/>
        <charset val="128"/>
      </rPr>
      <t>絵本</t>
    </r>
    <rPh sb="18" eb="20">
      <t>チズ</t>
    </rPh>
    <rPh sb="21" eb="23">
      <t>エホン</t>
    </rPh>
    <phoneticPr fontId="1"/>
  </si>
  <si>
    <r>
      <rPr>
        <strike/>
        <sz val="11"/>
        <rFont val="游ゴシック Medium"/>
        <family val="3"/>
        <charset val="128"/>
      </rPr>
      <t>戸田デザイン研究室</t>
    </r>
    <rPh sb="0" eb="2">
      <t>トダ</t>
    </rPh>
    <rPh sb="6" eb="9">
      <t>ケンキュウシツ</t>
    </rPh>
    <phoneticPr fontId="1"/>
  </si>
  <si>
    <r>
      <rPr>
        <strike/>
        <sz val="11"/>
        <rFont val="游ゴシック Medium"/>
        <family val="3"/>
        <charset val="128"/>
      </rPr>
      <t>かんじのえほん漢字の絵本</t>
    </r>
    <rPh sb="7" eb="9">
      <t>カンジ</t>
    </rPh>
    <rPh sb="10" eb="12">
      <t>エホン</t>
    </rPh>
    <phoneticPr fontId="1"/>
  </si>
  <si>
    <r>
      <rPr>
        <strike/>
        <sz val="11"/>
        <rFont val="游ゴシック Medium"/>
        <family val="3"/>
        <charset val="128"/>
      </rPr>
      <t>さがしてみよう</t>
    </r>
    <r>
      <rPr>
        <strike/>
        <sz val="11"/>
        <rFont val="Consolas"/>
        <family val="3"/>
      </rPr>
      <t xml:space="preserve"> </t>
    </r>
    <r>
      <rPr>
        <strike/>
        <sz val="11"/>
        <rFont val="游ゴシック Medium"/>
        <family val="3"/>
        <charset val="128"/>
      </rPr>
      <t>みつけてみよう</t>
    </r>
    <r>
      <rPr>
        <strike/>
        <sz val="11"/>
        <rFont val="Consolas"/>
        <family val="3"/>
      </rPr>
      <t xml:space="preserve"> </t>
    </r>
    <r>
      <rPr>
        <strike/>
        <sz val="11"/>
        <rFont val="游ゴシック Medium"/>
        <family val="3"/>
        <charset val="128"/>
      </rPr>
      <t>ゲーム・ブック</t>
    </r>
    <r>
      <rPr>
        <strike/>
        <sz val="11"/>
        <rFont val="Consolas"/>
        <family val="3"/>
      </rPr>
      <t xml:space="preserve"> No.1</t>
    </r>
    <phoneticPr fontId="1"/>
  </si>
  <si>
    <r>
      <rPr>
        <strike/>
        <sz val="11"/>
        <rFont val="游ゴシック Medium"/>
        <family val="3"/>
        <charset val="128"/>
      </rPr>
      <t>監修・制作</t>
    </r>
    <rPh sb="0" eb="2">
      <t>カンシュウ</t>
    </rPh>
    <rPh sb="3" eb="5">
      <t>セイサク</t>
    </rPh>
    <phoneticPr fontId="1"/>
  </si>
  <si>
    <r>
      <rPr>
        <strike/>
        <sz val="11"/>
        <rFont val="游ゴシック Medium"/>
        <family val="3"/>
        <charset val="128"/>
      </rPr>
      <t>ことばがいっぱい</t>
    </r>
    <r>
      <rPr>
        <strike/>
        <sz val="11"/>
        <rFont val="Consolas"/>
        <family val="3"/>
      </rPr>
      <t xml:space="preserve"> </t>
    </r>
    <r>
      <rPr>
        <strike/>
        <sz val="11"/>
        <rFont val="游ゴシック Medium"/>
        <family val="3"/>
        <charset val="128"/>
      </rPr>
      <t>言葉図鑑</t>
    </r>
    <r>
      <rPr>
        <strike/>
        <sz val="11"/>
        <rFont val="Consolas"/>
        <family val="3"/>
      </rPr>
      <t xml:space="preserve"> 1 </t>
    </r>
    <r>
      <rPr>
        <strike/>
        <sz val="11"/>
        <rFont val="游ゴシック Medium"/>
        <family val="3"/>
        <charset val="128"/>
      </rPr>
      <t>うごきのことば</t>
    </r>
    <rPh sb="9" eb="11">
      <t>コトバ</t>
    </rPh>
    <rPh sb="11" eb="13">
      <t>ズカン</t>
    </rPh>
    <phoneticPr fontId="1"/>
  </si>
  <si>
    <r>
      <rPr>
        <strike/>
        <sz val="11"/>
        <rFont val="游ゴシック Medium"/>
        <family val="3"/>
        <charset val="128"/>
      </rPr>
      <t>心のノート</t>
    </r>
    <rPh sb="0" eb="1">
      <t>ココロ</t>
    </rPh>
    <phoneticPr fontId="1"/>
  </si>
  <si>
    <r>
      <rPr>
        <strike/>
        <sz val="11"/>
        <rFont val="游ゴシック Medium"/>
        <family val="3"/>
        <charset val="128"/>
      </rPr>
      <t>かずのえほん</t>
    </r>
    <phoneticPr fontId="1"/>
  </si>
  <si>
    <r>
      <rPr>
        <strike/>
        <sz val="11"/>
        <rFont val="游ゴシック Medium"/>
        <family val="3"/>
        <charset val="128"/>
      </rPr>
      <t>絵本館</t>
    </r>
    <rPh sb="0" eb="1">
      <t>エ</t>
    </rPh>
    <rPh sb="1" eb="3">
      <t>ホンカン</t>
    </rPh>
    <phoneticPr fontId="1"/>
  </si>
  <si>
    <r>
      <rPr>
        <strike/>
        <sz val="11"/>
        <rFont val="游ゴシック Medium"/>
        <family val="3"/>
        <charset val="128"/>
      </rPr>
      <t>自由学園幼児生活団</t>
    </r>
    <rPh sb="0" eb="2">
      <t>ジユウ</t>
    </rPh>
    <rPh sb="2" eb="4">
      <t>ガクエン</t>
    </rPh>
    <rPh sb="4" eb="6">
      <t>ヨウジ</t>
    </rPh>
    <rPh sb="6" eb="8">
      <t>セイカツ</t>
    </rPh>
    <rPh sb="8" eb="9">
      <t>ダン</t>
    </rPh>
    <phoneticPr fontId="1"/>
  </si>
  <si>
    <r>
      <rPr>
        <strike/>
        <sz val="11"/>
        <rFont val="游ゴシック Medium"/>
        <family val="3"/>
        <charset val="128"/>
      </rPr>
      <t>案</t>
    </r>
    <rPh sb="0" eb="1">
      <t>アン</t>
    </rPh>
    <phoneticPr fontId="1"/>
  </si>
  <si>
    <r>
      <rPr>
        <strike/>
        <sz val="11"/>
        <rFont val="游ゴシック Medium"/>
        <family val="3"/>
        <charset val="128"/>
      </rPr>
      <t>根本</t>
    </r>
    <r>
      <rPr>
        <strike/>
        <sz val="11"/>
        <rFont val="Consolas"/>
        <family val="3"/>
      </rPr>
      <t xml:space="preserve"> </t>
    </r>
    <r>
      <rPr>
        <strike/>
        <sz val="11"/>
        <rFont val="游ゴシック Medium"/>
        <family val="3"/>
        <charset val="128"/>
      </rPr>
      <t>進</t>
    </r>
    <rPh sb="0" eb="2">
      <t>ネモト</t>
    </rPh>
    <rPh sb="3" eb="4">
      <t>ススム</t>
    </rPh>
    <phoneticPr fontId="1"/>
  </si>
  <si>
    <r>
      <rPr>
        <strike/>
        <sz val="11"/>
        <rFont val="游ゴシック Medium"/>
        <family val="3"/>
        <charset val="128"/>
      </rPr>
      <t>画</t>
    </r>
    <rPh sb="0" eb="1">
      <t>ガ</t>
    </rPh>
    <phoneticPr fontId="1"/>
  </si>
  <si>
    <r>
      <rPr>
        <strike/>
        <sz val="11"/>
        <rFont val="游ゴシック Medium"/>
        <family val="3"/>
        <charset val="128"/>
      </rPr>
      <t>たべものとからだ</t>
    </r>
    <phoneticPr fontId="1"/>
  </si>
  <si>
    <r>
      <rPr>
        <strike/>
        <sz val="11"/>
        <rFont val="游ゴシック Medium"/>
        <family val="3"/>
        <charset val="128"/>
      </rPr>
      <t>よくみる・よくきく・よくする</t>
    </r>
    <r>
      <rPr>
        <strike/>
        <sz val="11"/>
        <rFont val="Consolas"/>
        <family val="3"/>
      </rPr>
      <t xml:space="preserve"> </t>
    </r>
    <r>
      <rPr>
        <strike/>
        <sz val="11"/>
        <rFont val="游ゴシック Medium"/>
        <family val="3"/>
        <charset val="128"/>
      </rPr>
      <t>えほん</t>
    </r>
    <phoneticPr fontId="1"/>
  </si>
  <si>
    <r>
      <rPr>
        <strike/>
        <sz val="11"/>
        <rFont val="游ゴシック Medium"/>
        <family val="3"/>
        <charset val="128"/>
      </rPr>
      <t>婦人の友社</t>
    </r>
    <rPh sb="0" eb="2">
      <t>フジン</t>
    </rPh>
    <rPh sb="3" eb="4">
      <t>トモ</t>
    </rPh>
    <rPh sb="4" eb="5">
      <t>シャ</t>
    </rPh>
    <phoneticPr fontId="1"/>
  </si>
  <si>
    <r>
      <rPr>
        <strike/>
        <sz val="11"/>
        <rFont val="游ゴシック Medium"/>
        <family val="3"/>
        <charset val="128"/>
      </rPr>
      <t>徳田</t>
    </r>
    <r>
      <rPr>
        <strike/>
        <sz val="11"/>
        <rFont val="Consolas"/>
        <family val="3"/>
      </rPr>
      <t xml:space="preserve"> </t>
    </r>
    <r>
      <rPr>
        <strike/>
        <sz val="11"/>
        <rFont val="游ゴシック Medium"/>
        <family val="3"/>
        <charset val="128"/>
      </rPr>
      <t>徳志芸</t>
    </r>
    <rPh sb="0" eb="2">
      <t>トクダ</t>
    </rPh>
    <rPh sb="3" eb="6">
      <t>ノリシゲ</t>
    </rPh>
    <phoneticPr fontId="1"/>
  </si>
  <si>
    <r>
      <rPr>
        <strike/>
        <sz val="11"/>
        <rFont val="游ゴシック Medium"/>
        <family val="3"/>
        <charset val="128"/>
      </rPr>
      <t>やさしいてづくりの</t>
    </r>
    <r>
      <rPr>
        <strike/>
        <sz val="11"/>
        <rFont val="Consolas"/>
        <family val="3"/>
      </rPr>
      <t xml:space="preserve"> </t>
    </r>
    <r>
      <rPr>
        <strike/>
        <sz val="11"/>
        <rFont val="游ゴシック Medium"/>
        <family val="3"/>
        <charset val="128"/>
      </rPr>
      <t>プレゼント</t>
    </r>
    <phoneticPr fontId="1"/>
  </si>
  <si>
    <r>
      <rPr>
        <strike/>
        <sz val="11"/>
        <rFont val="游ゴシック Medium"/>
        <family val="3"/>
        <charset val="128"/>
      </rPr>
      <t>あそびのひろば</t>
    </r>
    <r>
      <rPr>
        <strike/>
        <sz val="11"/>
        <rFont val="Consolas"/>
        <family val="3"/>
      </rPr>
      <t xml:space="preserve"> 2</t>
    </r>
    <phoneticPr fontId="1"/>
  </si>
  <si>
    <r>
      <rPr>
        <strike/>
        <sz val="11"/>
        <rFont val="游ゴシック Medium"/>
        <family val="3"/>
        <charset val="128"/>
      </rPr>
      <t>ことばがいっぱい</t>
    </r>
    <r>
      <rPr>
        <strike/>
        <sz val="11"/>
        <rFont val="Consolas"/>
        <family val="3"/>
      </rPr>
      <t xml:space="preserve"> </t>
    </r>
    <r>
      <rPr>
        <strike/>
        <sz val="11"/>
        <rFont val="游ゴシック Medium"/>
        <family val="3"/>
        <charset val="128"/>
      </rPr>
      <t>言葉図鑑</t>
    </r>
    <r>
      <rPr>
        <strike/>
        <sz val="11"/>
        <rFont val="Consolas"/>
        <family val="3"/>
      </rPr>
      <t xml:space="preserve"> 6 </t>
    </r>
    <r>
      <rPr>
        <strike/>
        <sz val="11"/>
        <rFont val="游ゴシック Medium"/>
        <family val="3"/>
        <charset val="128"/>
      </rPr>
      <t>くらしのことば</t>
    </r>
    <rPh sb="9" eb="11">
      <t>コトバ</t>
    </rPh>
    <rPh sb="11" eb="13">
      <t>ズカン</t>
    </rPh>
    <phoneticPr fontId="1"/>
  </si>
  <si>
    <r>
      <rPr>
        <strike/>
        <sz val="11"/>
        <rFont val="游ゴシック Medium"/>
        <family val="3"/>
        <charset val="128"/>
      </rPr>
      <t>絵本図鑑シリーズ</t>
    </r>
    <r>
      <rPr>
        <strike/>
        <sz val="11"/>
        <rFont val="Consolas"/>
        <family val="3"/>
      </rPr>
      <t xml:space="preserve"> 6</t>
    </r>
    <rPh sb="0" eb="2">
      <t>エホン</t>
    </rPh>
    <rPh sb="2" eb="4">
      <t>ズカン</t>
    </rPh>
    <phoneticPr fontId="1"/>
  </si>
  <si>
    <r>
      <rPr>
        <strike/>
        <sz val="11"/>
        <rFont val="游ゴシック Medium"/>
        <family val="3"/>
        <charset val="128"/>
      </rPr>
      <t>中川</t>
    </r>
    <r>
      <rPr>
        <strike/>
        <sz val="11"/>
        <rFont val="Consolas"/>
        <family val="3"/>
      </rPr>
      <t xml:space="preserve"> </t>
    </r>
    <r>
      <rPr>
        <strike/>
        <sz val="11"/>
        <rFont val="游ゴシック Medium"/>
        <family val="3"/>
        <charset val="128"/>
      </rPr>
      <t>ひろたか</t>
    </r>
    <rPh sb="0" eb="2">
      <t>ナカガワ</t>
    </rPh>
    <phoneticPr fontId="1"/>
  </si>
  <si>
    <r>
      <rPr>
        <strike/>
        <sz val="11"/>
        <rFont val="游ゴシック Medium"/>
        <family val="3"/>
        <charset val="128"/>
      </rPr>
      <t>作曲</t>
    </r>
    <rPh sb="0" eb="2">
      <t>サッキョク</t>
    </rPh>
    <phoneticPr fontId="1"/>
  </si>
  <si>
    <r>
      <t>10</t>
    </r>
    <r>
      <rPr>
        <strike/>
        <sz val="11"/>
        <rFont val="游ゴシック Medium"/>
        <family val="3"/>
        <charset val="128"/>
      </rPr>
      <t>人の絵本作家</t>
    </r>
    <rPh sb="2" eb="3">
      <t>ニン</t>
    </rPh>
    <rPh sb="4" eb="6">
      <t>エホン</t>
    </rPh>
    <rPh sb="6" eb="8">
      <t>サッカ</t>
    </rPh>
    <phoneticPr fontId="1"/>
  </si>
  <si>
    <r>
      <rPr>
        <strike/>
        <sz val="11"/>
        <rFont val="游ゴシック Medium"/>
        <family val="3"/>
        <charset val="128"/>
      </rPr>
      <t>作詞と絵</t>
    </r>
    <rPh sb="0" eb="2">
      <t>サクシ</t>
    </rPh>
    <rPh sb="3" eb="4">
      <t>エ</t>
    </rPh>
    <phoneticPr fontId="1"/>
  </si>
  <si>
    <r>
      <t>10+1</t>
    </r>
    <r>
      <rPr>
        <strike/>
        <sz val="11"/>
        <rFont val="游ゴシック Medium"/>
        <family val="3"/>
        <charset val="128"/>
      </rPr>
      <t>人の絵本作家オリジナルソング集</t>
    </r>
    <r>
      <rPr>
        <strike/>
        <sz val="11"/>
        <rFont val="Consolas"/>
        <family val="3"/>
      </rPr>
      <t xml:space="preserve"> </t>
    </r>
    <r>
      <rPr>
        <strike/>
        <sz val="11"/>
        <rFont val="游ゴシック Medium"/>
        <family val="3"/>
        <charset val="128"/>
      </rPr>
      <t>うたのパレット</t>
    </r>
    <rPh sb="3" eb="5">
      <t>ヒトリ</t>
    </rPh>
    <rPh sb="6" eb="8">
      <t>エホン</t>
    </rPh>
    <rPh sb="8" eb="10">
      <t>サッカ</t>
    </rPh>
    <rPh sb="18" eb="19">
      <t>シュウ</t>
    </rPh>
    <phoneticPr fontId="1"/>
  </si>
  <si>
    <r>
      <rPr>
        <strike/>
        <sz val="11"/>
        <rFont val="游ゴシック Medium"/>
        <family val="3"/>
        <charset val="128"/>
      </rPr>
      <t>スピアー</t>
    </r>
    <r>
      <rPr>
        <strike/>
        <sz val="11"/>
        <rFont val="Consolas"/>
        <family val="3"/>
      </rPr>
      <t>,</t>
    </r>
    <r>
      <rPr>
        <strike/>
        <sz val="11"/>
        <rFont val="游ゴシック Medium"/>
        <family val="3"/>
        <charset val="128"/>
      </rPr>
      <t>ピーター</t>
    </r>
    <phoneticPr fontId="1"/>
  </si>
  <si>
    <r>
      <rPr>
        <strike/>
        <sz val="11"/>
        <rFont val="游ゴシック Medium"/>
        <family val="3"/>
        <charset val="128"/>
      </rPr>
      <t>えとぶん</t>
    </r>
    <phoneticPr fontId="1"/>
  </si>
  <si>
    <r>
      <rPr>
        <strike/>
        <sz val="11"/>
        <rFont val="游ゴシック Medium"/>
        <family val="3"/>
        <charset val="128"/>
      </rPr>
      <t>松川</t>
    </r>
    <r>
      <rPr>
        <strike/>
        <sz val="11"/>
        <rFont val="Consolas"/>
        <family val="3"/>
      </rPr>
      <t xml:space="preserve"> </t>
    </r>
    <r>
      <rPr>
        <strike/>
        <sz val="11"/>
        <rFont val="游ゴシック Medium"/>
        <family val="3"/>
        <charset val="128"/>
      </rPr>
      <t>真弓</t>
    </r>
    <rPh sb="0" eb="2">
      <t>マツカワ</t>
    </rPh>
    <rPh sb="3" eb="5">
      <t>マユミ</t>
    </rPh>
    <phoneticPr fontId="1"/>
  </si>
  <si>
    <r>
      <rPr>
        <strike/>
        <sz val="11"/>
        <rFont val="游ゴシック Medium"/>
        <family val="3"/>
        <charset val="128"/>
      </rPr>
      <t>やく</t>
    </r>
    <phoneticPr fontId="1"/>
  </si>
  <si>
    <r>
      <rPr>
        <strike/>
        <sz val="11"/>
        <rFont val="游ゴシック Medium"/>
        <family val="3"/>
        <charset val="128"/>
      </rPr>
      <t>せかいのひとびと</t>
    </r>
    <phoneticPr fontId="1"/>
  </si>
  <si>
    <r>
      <rPr>
        <strike/>
        <sz val="11"/>
        <rFont val="游ゴシック Medium"/>
        <family val="3"/>
        <charset val="128"/>
      </rPr>
      <t>児童図書館・絵本の部屋</t>
    </r>
    <rPh sb="0" eb="2">
      <t>ジドウ</t>
    </rPh>
    <rPh sb="2" eb="5">
      <t>トショカン</t>
    </rPh>
    <rPh sb="6" eb="8">
      <t>エホン</t>
    </rPh>
    <rPh sb="9" eb="11">
      <t>ヘヤ</t>
    </rPh>
    <phoneticPr fontId="1"/>
  </si>
  <si>
    <r>
      <rPr>
        <strike/>
        <sz val="11"/>
        <rFont val="游ゴシック Medium"/>
        <family val="3"/>
        <charset val="128"/>
      </rPr>
      <t>評論社</t>
    </r>
    <rPh sb="0" eb="2">
      <t>ヒョウロン</t>
    </rPh>
    <rPh sb="2" eb="3">
      <t>シャ</t>
    </rPh>
    <phoneticPr fontId="1"/>
  </si>
  <si>
    <r>
      <rPr>
        <strike/>
        <sz val="11"/>
        <rFont val="游ゴシック Medium"/>
        <family val="3"/>
        <charset val="128"/>
      </rPr>
      <t>東京都</t>
    </r>
    <rPh sb="0" eb="3">
      <t>トウキョウト</t>
    </rPh>
    <phoneticPr fontId="1"/>
  </si>
  <si>
    <r>
      <rPr>
        <strike/>
        <sz val="11"/>
        <rFont val="游ゴシック Medium"/>
        <family val="3"/>
        <charset val="128"/>
      </rPr>
      <t>スポーツの起源と発展</t>
    </r>
    <r>
      <rPr>
        <strike/>
        <sz val="11"/>
        <rFont val="Consolas"/>
        <family val="3"/>
      </rPr>
      <t xml:space="preserve"> </t>
    </r>
    <r>
      <rPr>
        <strike/>
        <sz val="11"/>
        <rFont val="游ゴシック Medium"/>
        <family val="3"/>
        <charset val="128"/>
      </rPr>
      <t>中学校編</t>
    </r>
    <rPh sb="5" eb="7">
      <t>キゲン</t>
    </rPh>
    <rPh sb="8" eb="10">
      <t>ハッテン</t>
    </rPh>
    <rPh sb="11" eb="14">
      <t>チュウガッコウ</t>
    </rPh>
    <rPh sb="14" eb="15">
      <t>ヘン</t>
    </rPh>
    <phoneticPr fontId="1"/>
  </si>
  <si>
    <r>
      <rPr>
        <strike/>
        <sz val="11"/>
        <rFont val="游ゴシック Medium"/>
        <family val="3"/>
        <charset val="128"/>
      </rPr>
      <t>私たちの</t>
    </r>
    <r>
      <rPr>
        <strike/>
        <sz val="11"/>
        <rFont val="Consolas"/>
        <family val="3"/>
      </rPr>
      <t xml:space="preserve"> </t>
    </r>
    <r>
      <rPr>
        <strike/>
        <sz val="11"/>
        <rFont val="游ゴシック Medium"/>
        <family val="3"/>
        <charset val="128"/>
      </rPr>
      <t>道徳</t>
    </r>
    <r>
      <rPr>
        <strike/>
        <sz val="11"/>
        <rFont val="Consolas"/>
        <family val="3"/>
      </rPr>
      <t xml:space="preserve"> </t>
    </r>
    <r>
      <rPr>
        <strike/>
        <sz val="11"/>
        <rFont val="游ゴシック Medium"/>
        <family val="3"/>
        <charset val="128"/>
      </rPr>
      <t>中学校</t>
    </r>
    <rPh sb="0" eb="1">
      <t>ワタシ</t>
    </rPh>
    <rPh sb="5" eb="7">
      <t>ドウトク</t>
    </rPh>
    <rPh sb="8" eb="11">
      <t>チュウガッコウ</t>
    </rPh>
    <phoneticPr fontId="1"/>
  </si>
  <si>
    <r>
      <t>3</t>
    </r>
    <r>
      <rPr>
        <strike/>
        <sz val="11"/>
        <rFont val="游ゴシック Medium"/>
        <family val="3"/>
        <charset val="128"/>
      </rPr>
      <t>・</t>
    </r>
    <r>
      <rPr>
        <strike/>
        <sz val="11"/>
        <rFont val="Consolas"/>
        <family val="3"/>
      </rPr>
      <t>11</t>
    </r>
    <r>
      <rPr>
        <strike/>
        <sz val="11"/>
        <rFont val="游ゴシック Medium"/>
        <family val="3"/>
        <charset val="128"/>
      </rPr>
      <t>を忘れない</t>
    </r>
    <rPh sb="5" eb="6">
      <t>ワス</t>
    </rPh>
    <phoneticPr fontId="1"/>
  </si>
  <si>
    <r>
      <rPr>
        <strike/>
        <sz val="11"/>
        <rFont val="游ゴシック Medium"/>
        <family val="3"/>
        <charset val="128"/>
      </rPr>
      <t>防災教育補助教材</t>
    </r>
    <r>
      <rPr>
        <strike/>
        <sz val="11"/>
        <rFont val="Consolas"/>
        <family val="3"/>
      </rPr>
      <t xml:space="preserve"> </t>
    </r>
    <r>
      <rPr>
        <strike/>
        <sz val="11"/>
        <rFont val="游ゴシック Medium"/>
        <family val="3"/>
        <charset val="128"/>
      </rPr>
      <t>超学校版</t>
    </r>
    <r>
      <rPr>
        <strike/>
        <sz val="11"/>
        <rFont val="Consolas"/>
        <family val="3"/>
      </rPr>
      <t xml:space="preserve"> </t>
    </r>
    <r>
      <rPr>
        <strike/>
        <sz val="11"/>
        <rFont val="游ゴシック Medium"/>
        <family val="3"/>
        <charset val="128"/>
      </rPr>
      <t>平成</t>
    </r>
    <r>
      <rPr>
        <strike/>
        <sz val="11"/>
        <rFont val="Consolas"/>
        <family val="3"/>
      </rPr>
      <t>26</t>
    </r>
    <r>
      <rPr>
        <strike/>
        <sz val="11"/>
        <rFont val="游ゴシック Medium"/>
        <family val="3"/>
        <charset val="128"/>
      </rPr>
      <t>年度版</t>
    </r>
    <rPh sb="0" eb="2">
      <t>ボウサイ</t>
    </rPh>
    <rPh sb="2" eb="4">
      <t>キョウイク</t>
    </rPh>
    <rPh sb="4" eb="6">
      <t>ホジョ</t>
    </rPh>
    <rPh sb="6" eb="8">
      <t>キョウザイ</t>
    </rPh>
    <rPh sb="9" eb="10">
      <t>チョウ</t>
    </rPh>
    <rPh sb="10" eb="12">
      <t>ガッコウ</t>
    </rPh>
    <rPh sb="12" eb="13">
      <t>バン</t>
    </rPh>
    <rPh sb="14" eb="16">
      <t>ヘイセイ</t>
    </rPh>
    <rPh sb="18" eb="20">
      <t>ネンド</t>
    </rPh>
    <rPh sb="20" eb="21">
      <t>バン</t>
    </rPh>
    <phoneticPr fontId="1"/>
  </si>
  <si>
    <r>
      <rPr>
        <strike/>
        <sz val="11"/>
        <rFont val="游ゴシック Medium"/>
        <family val="3"/>
        <charset val="128"/>
      </rPr>
      <t>学習書</t>
    </r>
    <rPh sb="0" eb="3">
      <t>ガクシュウショ</t>
    </rPh>
    <phoneticPr fontId="1"/>
  </si>
  <si>
    <r>
      <rPr>
        <strike/>
        <sz val="11"/>
        <rFont val="游ゴシック Medium"/>
        <family val="3"/>
        <charset val="128"/>
      </rPr>
      <t>中学生・高校生のための</t>
    </r>
    <r>
      <rPr>
        <strike/>
        <sz val="11"/>
        <rFont val="Consolas"/>
        <family val="3"/>
      </rPr>
      <t xml:space="preserve"> </t>
    </r>
    <r>
      <rPr>
        <strike/>
        <sz val="11"/>
        <rFont val="游ゴシック Medium"/>
        <family val="3"/>
        <charset val="128"/>
      </rPr>
      <t>放射線副読本</t>
    </r>
    <r>
      <rPr>
        <strike/>
        <sz val="11"/>
        <rFont val="Consolas"/>
        <family val="3"/>
      </rPr>
      <t xml:space="preserve"> </t>
    </r>
    <r>
      <rPr>
        <strike/>
        <sz val="11"/>
        <rFont val="游ゴシック Medium"/>
        <family val="3"/>
        <charset val="128"/>
      </rPr>
      <t>～放射線について考えよう～</t>
    </r>
    <rPh sb="0" eb="3">
      <t>チュウガクセイ</t>
    </rPh>
    <rPh sb="4" eb="7">
      <t>コウコウセイ</t>
    </rPh>
    <rPh sb="12" eb="15">
      <t>ホウシャセン</t>
    </rPh>
    <rPh sb="15" eb="16">
      <t>フク</t>
    </rPh>
    <rPh sb="16" eb="18">
      <t>トクホン</t>
    </rPh>
    <rPh sb="20" eb="23">
      <t>ホウシャセン</t>
    </rPh>
    <rPh sb="27" eb="28">
      <t>カンガ</t>
    </rPh>
    <phoneticPr fontId="1"/>
  </si>
  <si>
    <r>
      <rPr>
        <strike/>
        <sz val="11"/>
        <rFont val="游ゴシック Medium"/>
        <family val="3"/>
        <charset val="128"/>
      </rPr>
      <t>文部科学省</t>
    </r>
    <rPh sb="0" eb="5">
      <t>モンブカガクショウ</t>
    </rPh>
    <phoneticPr fontId="1"/>
  </si>
  <si>
    <r>
      <rPr>
        <strike/>
        <sz val="11"/>
        <rFont val="游ゴシック Medium"/>
        <family val="3"/>
        <charset val="128"/>
      </rPr>
      <t>イルカえほん</t>
    </r>
    <phoneticPr fontId="1"/>
  </si>
  <si>
    <r>
      <rPr>
        <strike/>
        <sz val="11"/>
        <rFont val="游ゴシック Medium"/>
        <family val="3"/>
        <charset val="128"/>
      </rPr>
      <t>リーバンプレイブックシリーズ</t>
    </r>
    <phoneticPr fontId="1"/>
  </si>
  <si>
    <r>
      <rPr>
        <strike/>
        <sz val="11"/>
        <rFont val="游ゴシック Medium"/>
        <family val="3"/>
        <charset val="128"/>
      </rPr>
      <t>リーバン</t>
    </r>
    <phoneticPr fontId="1"/>
  </si>
  <si>
    <r>
      <rPr>
        <strike/>
        <sz val="11"/>
        <rFont val="游ゴシック Medium"/>
        <family val="3"/>
        <charset val="128"/>
      </rPr>
      <t>日大病院</t>
    </r>
    <rPh sb="0" eb="2">
      <t>ニチダイ</t>
    </rPh>
    <rPh sb="2" eb="4">
      <t>ビョウイン</t>
    </rPh>
    <phoneticPr fontId="1"/>
  </si>
  <si>
    <r>
      <rPr>
        <strike/>
        <sz val="11"/>
        <rFont val="游ゴシック Medium"/>
        <family val="3"/>
        <charset val="128"/>
      </rPr>
      <t>ともみち破壊</t>
    </r>
    <rPh sb="4" eb="6">
      <t>ハカイ</t>
    </rPh>
    <phoneticPr fontId="1"/>
  </si>
  <si>
    <r>
      <rPr>
        <strike/>
        <sz val="11"/>
        <rFont val="游ゴシック Medium"/>
        <family val="3"/>
        <charset val="128"/>
      </rPr>
      <t>井上</t>
    </r>
    <r>
      <rPr>
        <strike/>
        <sz val="11"/>
        <rFont val="Consolas"/>
        <family val="3"/>
      </rPr>
      <t xml:space="preserve"> </t>
    </r>
    <r>
      <rPr>
        <strike/>
        <sz val="11"/>
        <rFont val="游ゴシック Medium"/>
        <family val="3"/>
        <charset val="128"/>
      </rPr>
      <t>靖</t>
    </r>
    <rPh sb="0" eb="2">
      <t>イノウエ</t>
    </rPh>
    <rPh sb="3" eb="4">
      <t>ヤスシ</t>
    </rPh>
    <phoneticPr fontId="1"/>
  </si>
  <si>
    <r>
      <rPr>
        <strike/>
        <sz val="11"/>
        <rFont val="游ゴシック Medium"/>
        <family val="3"/>
        <charset val="128"/>
      </rPr>
      <t>しろばんば</t>
    </r>
    <phoneticPr fontId="1"/>
  </si>
  <si>
    <r>
      <rPr>
        <strike/>
        <sz val="11"/>
        <rFont val="游ゴシック Medium"/>
        <family val="3"/>
        <charset val="128"/>
      </rPr>
      <t>少年少女日本の文学</t>
    </r>
    <r>
      <rPr>
        <strike/>
        <sz val="11"/>
        <rFont val="Consolas"/>
        <family val="3"/>
      </rPr>
      <t>16</t>
    </r>
    <rPh sb="0" eb="2">
      <t>ショウネン</t>
    </rPh>
    <rPh sb="2" eb="4">
      <t>ショウジョ</t>
    </rPh>
    <rPh sb="4" eb="6">
      <t>ニホン</t>
    </rPh>
    <rPh sb="7" eb="9">
      <t>ブンガク</t>
    </rPh>
    <phoneticPr fontId="1"/>
  </si>
  <si>
    <r>
      <rPr>
        <strike/>
        <sz val="11"/>
        <rFont val="游ゴシック Medium"/>
        <family val="3"/>
        <charset val="128"/>
      </rPr>
      <t>秀樹実家</t>
    </r>
    <r>
      <rPr>
        <strike/>
        <sz val="11"/>
        <rFont val="Consolas"/>
        <family val="3"/>
      </rPr>
      <t>/</t>
    </r>
    <r>
      <rPr>
        <strike/>
        <sz val="11"/>
        <rFont val="游ゴシック Medium"/>
        <family val="3"/>
        <charset val="128"/>
      </rPr>
      <t>往来座に売る</t>
    </r>
    <rPh sb="0" eb="2">
      <t>ヒデキ</t>
    </rPh>
    <rPh sb="2" eb="4">
      <t>ジッカ</t>
    </rPh>
    <rPh sb="5" eb="7">
      <t>オウライ</t>
    </rPh>
    <rPh sb="7" eb="8">
      <t>ザ</t>
    </rPh>
    <rPh sb="9" eb="10">
      <t>ウ</t>
    </rPh>
    <phoneticPr fontId="1"/>
  </si>
  <si>
    <r>
      <rPr>
        <strike/>
        <sz val="11"/>
        <rFont val="游ゴシック Medium"/>
        <family val="3"/>
        <charset val="128"/>
      </rPr>
      <t>金沢</t>
    </r>
    <r>
      <rPr>
        <strike/>
        <sz val="11"/>
        <rFont val="Consolas"/>
        <family val="3"/>
      </rPr>
      <t xml:space="preserve"> </t>
    </r>
    <r>
      <rPr>
        <strike/>
        <sz val="11"/>
        <rFont val="游ゴシック Medium"/>
        <family val="3"/>
        <charset val="128"/>
      </rPr>
      <t>嘉市</t>
    </r>
    <rPh sb="0" eb="2">
      <t>カナザワ</t>
    </rPh>
    <rPh sb="3" eb="5">
      <t>カイチ</t>
    </rPh>
    <phoneticPr fontId="1"/>
  </si>
  <si>
    <r>
      <rPr>
        <strike/>
        <sz val="11"/>
        <rFont val="游ゴシック Medium"/>
        <family val="3"/>
        <charset val="128"/>
      </rPr>
      <t>久米宏一</t>
    </r>
    <rPh sb="0" eb="2">
      <t>クメ</t>
    </rPh>
    <rPh sb="2" eb="4">
      <t>コウイチ</t>
    </rPh>
    <phoneticPr fontId="1"/>
  </si>
  <si>
    <r>
      <rPr>
        <strike/>
        <sz val="11"/>
        <rFont val="游ゴシック Medium"/>
        <family val="3"/>
        <charset val="128"/>
      </rPr>
      <t>つしま丸のそうなん</t>
    </r>
    <r>
      <rPr>
        <strike/>
        <sz val="11"/>
        <rFont val="Consolas"/>
        <family val="3"/>
      </rPr>
      <t xml:space="preserve"> </t>
    </r>
    <r>
      <rPr>
        <strike/>
        <sz val="11"/>
        <rFont val="游ゴシック Medium"/>
        <family val="3"/>
        <charset val="128"/>
      </rPr>
      <t>沖縄のこどもたち</t>
    </r>
    <rPh sb="3" eb="4">
      <t>マル</t>
    </rPh>
    <rPh sb="10" eb="12">
      <t>オキナワ</t>
    </rPh>
    <phoneticPr fontId="1"/>
  </si>
  <si>
    <r>
      <t>3~6</t>
    </r>
    <r>
      <rPr>
        <strike/>
        <sz val="11"/>
        <rFont val="游ゴシック Medium"/>
        <family val="3"/>
        <charset val="128"/>
      </rPr>
      <t>年向き</t>
    </r>
    <rPh sb="3" eb="4">
      <t>ネン</t>
    </rPh>
    <rPh sb="4" eb="5">
      <t>ム</t>
    </rPh>
    <phoneticPr fontId="1"/>
  </si>
  <si>
    <r>
      <rPr>
        <strike/>
        <sz val="11"/>
        <rFont val="游ゴシック Medium"/>
        <family val="3"/>
        <charset val="128"/>
      </rPr>
      <t>秀樹実家</t>
    </r>
    <r>
      <rPr>
        <strike/>
        <sz val="11"/>
        <rFont val="Consolas"/>
        <family val="3"/>
      </rPr>
      <t>/</t>
    </r>
    <r>
      <rPr>
        <strike/>
        <sz val="11"/>
        <rFont val="游ゴシック Medium"/>
        <family val="3"/>
        <charset val="128"/>
      </rPr>
      <t>虚偽を含むクズ本</t>
    </r>
    <r>
      <rPr>
        <strike/>
        <sz val="11"/>
        <rFont val="Consolas"/>
        <family val="3"/>
      </rPr>
      <t>/</t>
    </r>
    <r>
      <rPr>
        <strike/>
        <sz val="11"/>
        <rFont val="游ゴシック Medium"/>
        <family val="3"/>
        <charset val="128"/>
      </rPr>
      <t>往来座に売る</t>
    </r>
    <rPh sb="0" eb="2">
      <t>ヒデキ</t>
    </rPh>
    <rPh sb="2" eb="4">
      <t>ジッカ</t>
    </rPh>
    <rPh sb="5" eb="7">
      <t>キョギ</t>
    </rPh>
    <rPh sb="8" eb="9">
      <t>フク</t>
    </rPh>
    <rPh sb="12" eb="13">
      <t>ボン</t>
    </rPh>
    <rPh sb="14" eb="16">
      <t>オウライ</t>
    </rPh>
    <rPh sb="16" eb="17">
      <t>ザ</t>
    </rPh>
    <rPh sb="18" eb="19">
      <t>ウ</t>
    </rPh>
    <phoneticPr fontId="1"/>
  </si>
  <si>
    <r>
      <rPr>
        <strike/>
        <sz val="11"/>
        <rFont val="游ゴシック Medium"/>
        <family val="3"/>
        <charset val="128"/>
      </rPr>
      <t>山中冬児</t>
    </r>
    <rPh sb="0" eb="2">
      <t>ヤマナカ</t>
    </rPh>
    <phoneticPr fontId="1"/>
  </si>
  <si>
    <r>
      <rPr>
        <strike/>
        <sz val="11"/>
        <rFont val="游ゴシック Medium"/>
        <family val="3"/>
        <charset val="128"/>
      </rPr>
      <t>ふしぎなオロロン</t>
    </r>
    <r>
      <rPr>
        <strike/>
        <sz val="11"/>
        <rFont val="Consolas"/>
        <family val="3"/>
      </rPr>
      <t xml:space="preserve"> </t>
    </r>
    <r>
      <rPr>
        <strike/>
        <sz val="11"/>
        <rFont val="游ゴシック Medium"/>
        <family val="3"/>
        <charset val="128"/>
      </rPr>
      <t>サヨナラきかんしゃ</t>
    </r>
    <r>
      <rPr>
        <strike/>
        <sz val="11"/>
        <rFont val="Consolas"/>
        <family val="3"/>
      </rPr>
      <t>/</t>
    </r>
    <r>
      <rPr>
        <strike/>
        <sz val="11"/>
        <rFont val="游ゴシック Medium"/>
        <family val="3"/>
        <charset val="128"/>
      </rPr>
      <t>ねすみの国</t>
    </r>
    <r>
      <rPr>
        <strike/>
        <sz val="11"/>
        <rFont val="Consolas"/>
        <family val="3"/>
      </rPr>
      <t>/</t>
    </r>
    <r>
      <rPr>
        <strike/>
        <sz val="11"/>
        <rFont val="游ゴシック Medium"/>
        <family val="3"/>
        <charset val="128"/>
      </rPr>
      <t>あっぱれ大将</t>
    </r>
    <r>
      <rPr>
        <strike/>
        <sz val="11"/>
        <rFont val="Consolas"/>
        <family val="3"/>
      </rPr>
      <t>/</t>
    </r>
    <r>
      <rPr>
        <strike/>
        <sz val="11"/>
        <rFont val="游ゴシック Medium"/>
        <family val="3"/>
        <charset val="128"/>
      </rPr>
      <t>涙の十字架</t>
    </r>
    <rPh sb="23" eb="24">
      <t>クニ</t>
    </rPh>
    <rPh sb="29" eb="31">
      <t>タイショウ</t>
    </rPh>
    <rPh sb="32" eb="33">
      <t>ナミダ</t>
    </rPh>
    <rPh sb="34" eb="37">
      <t>ジュウジカ</t>
    </rPh>
    <phoneticPr fontId="1"/>
  </si>
  <si>
    <r>
      <rPr>
        <strike/>
        <sz val="11"/>
        <rFont val="游ゴシック Medium"/>
        <family val="3"/>
        <charset val="128"/>
      </rPr>
      <t>学校の先生が書いた新作童話集</t>
    </r>
    <rPh sb="0" eb="2">
      <t>ガッコウ</t>
    </rPh>
    <rPh sb="3" eb="5">
      <t>センセイ</t>
    </rPh>
    <rPh sb="6" eb="7">
      <t>カ</t>
    </rPh>
    <rPh sb="9" eb="11">
      <t>シンサク</t>
    </rPh>
    <rPh sb="11" eb="13">
      <t>ドウワ</t>
    </rPh>
    <rPh sb="13" eb="14">
      <t>シュウ</t>
    </rPh>
    <phoneticPr fontId="1"/>
  </si>
  <si>
    <r>
      <rPr>
        <strike/>
        <sz val="11"/>
        <rFont val="游ゴシック Medium"/>
        <family val="3"/>
        <charset val="128"/>
      </rPr>
      <t>児童憲章愛の会</t>
    </r>
    <rPh sb="0" eb="2">
      <t>ジドウ</t>
    </rPh>
    <rPh sb="2" eb="4">
      <t>ケンショウ</t>
    </rPh>
    <rPh sb="4" eb="5">
      <t>アイ</t>
    </rPh>
    <rPh sb="6" eb="7">
      <t>カイ</t>
    </rPh>
    <phoneticPr fontId="1"/>
  </si>
  <si>
    <r>
      <rPr>
        <strike/>
        <sz val="11"/>
        <rFont val="游ゴシック Medium"/>
        <family val="3"/>
        <charset val="128"/>
      </rPr>
      <t>伊勢田邦貴</t>
    </r>
    <r>
      <rPr>
        <strike/>
        <sz val="11"/>
        <rFont val="Consolas"/>
        <family val="3"/>
      </rPr>
      <t>(</t>
    </r>
    <r>
      <rPr>
        <strike/>
        <sz val="11"/>
        <rFont val="游ゴシック Medium"/>
        <family val="3"/>
        <charset val="128"/>
      </rPr>
      <t>邦彦改め</t>
    </r>
    <r>
      <rPr>
        <strike/>
        <sz val="11"/>
        <rFont val="Consolas"/>
        <family val="3"/>
      </rPr>
      <t>)</t>
    </r>
    <rPh sb="0" eb="3">
      <t>イセダ</t>
    </rPh>
    <rPh sb="3" eb="5">
      <t>クニタカ</t>
    </rPh>
    <rPh sb="6" eb="8">
      <t>クニヒコ</t>
    </rPh>
    <rPh sb="8" eb="9">
      <t>アラタ</t>
    </rPh>
    <phoneticPr fontId="1"/>
  </si>
  <si>
    <r>
      <rPr>
        <strike/>
        <sz val="11"/>
        <rFont val="游ゴシック Medium"/>
        <family val="3"/>
        <charset val="128"/>
      </rPr>
      <t>オオカミぼくじょう</t>
    </r>
    <r>
      <rPr>
        <strike/>
        <sz val="11"/>
        <rFont val="Consolas"/>
        <family val="3"/>
      </rPr>
      <t xml:space="preserve"> </t>
    </r>
    <r>
      <rPr>
        <strike/>
        <sz val="11"/>
        <rFont val="游ゴシック Medium"/>
        <family val="3"/>
        <charset val="128"/>
      </rPr>
      <t>まめ太の火</t>
    </r>
    <r>
      <rPr>
        <strike/>
        <sz val="11"/>
        <rFont val="Consolas"/>
        <family val="3"/>
      </rPr>
      <t xml:space="preserve"> </t>
    </r>
    <r>
      <rPr>
        <strike/>
        <sz val="11"/>
        <rFont val="游ゴシック Medium"/>
        <family val="3"/>
        <charset val="128"/>
      </rPr>
      <t>あまがき太郎としぶがき次郎</t>
    </r>
    <r>
      <rPr>
        <strike/>
        <sz val="11"/>
        <rFont val="Consolas"/>
        <family val="3"/>
      </rPr>
      <t xml:space="preserve"> </t>
    </r>
    <r>
      <rPr>
        <strike/>
        <sz val="11"/>
        <rFont val="游ゴシック Medium"/>
        <family val="3"/>
        <charset val="128"/>
      </rPr>
      <t>仙人ほおずき</t>
    </r>
    <r>
      <rPr>
        <strike/>
        <sz val="11"/>
        <rFont val="Consolas"/>
        <family val="3"/>
      </rPr>
      <t xml:space="preserve"> </t>
    </r>
    <r>
      <rPr>
        <strike/>
        <sz val="11"/>
        <rFont val="游ゴシック Medium"/>
        <family val="3"/>
        <charset val="128"/>
      </rPr>
      <t>かきの実</t>
    </r>
    <rPh sb="12" eb="13">
      <t>タ</t>
    </rPh>
    <rPh sb="14" eb="15">
      <t>ヒ</t>
    </rPh>
    <rPh sb="20" eb="22">
      <t>タロウ</t>
    </rPh>
    <rPh sb="27" eb="29">
      <t>ジロウ</t>
    </rPh>
    <rPh sb="30" eb="32">
      <t>センニン</t>
    </rPh>
    <rPh sb="40" eb="41">
      <t>ミ</t>
    </rPh>
    <phoneticPr fontId="1"/>
  </si>
  <si>
    <r>
      <rPr>
        <strike/>
        <sz val="11"/>
        <rFont val="游ゴシック Medium"/>
        <family val="3"/>
        <charset val="128"/>
      </rPr>
      <t>高木</t>
    </r>
    <r>
      <rPr>
        <strike/>
        <sz val="11"/>
        <rFont val="Consolas"/>
        <family val="3"/>
      </rPr>
      <t xml:space="preserve"> </t>
    </r>
    <r>
      <rPr>
        <strike/>
        <sz val="11"/>
        <rFont val="游ゴシック Medium"/>
        <family val="3"/>
        <charset val="128"/>
      </rPr>
      <t>卓</t>
    </r>
    <rPh sb="0" eb="2">
      <t>タカギ</t>
    </rPh>
    <rPh sb="3" eb="4">
      <t>タク</t>
    </rPh>
    <phoneticPr fontId="1"/>
  </si>
  <si>
    <r>
      <rPr>
        <strike/>
        <sz val="11"/>
        <rFont val="游ゴシック Medium"/>
        <family val="3"/>
        <charset val="128"/>
      </rPr>
      <t>十五少年漂流記</t>
    </r>
    <rPh sb="0" eb="2">
      <t>ジュウゴ</t>
    </rPh>
    <rPh sb="2" eb="4">
      <t>ショウネン</t>
    </rPh>
    <rPh sb="4" eb="6">
      <t>ヒョウリュウ</t>
    </rPh>
    <rPh sb="6" eb="7">
      <t>キ</t>
    </rPh>
    <phoneticPr fontId="1"/>
  </si>
  <si>
    <r>
      <rPr>
        <strike/>
        <sz val="11"/>
        <rFont val="游ゴシック Medium"/>
        <family val="3"/>
        <charset val="128"/>
      </rPr>
      <t>外国名作</t>
    </r>
    <r>
      <rPr>
        <strike/>
        <sz val="11"/>
        <rFont val="Consolas"/>
        <family val="3"/>
      </rPr>
      <t xml:space="preserve"> 43</t>
    </r>
    <rPh sb="0" eb="2">
      <t>ガイコク</t>
    </rPh>
    <rPh sb="2" eb="4">
      <t>メイサク</t>
    </rPh>
    <phoneticPr fontId="1"/>
  </si>
  <si>
    <r>
      <rPr>
        <strike/>
        <sz val="11"/>
        <rFont val="游ゴシック Medium"/>
        <family val="3"/>
        <charset val="128"/>
      </rPr>
      <t>文研出版</t>
    </r>
    <rPh sb="0" eb="1">
      <t>ブン</t>
    </rPh>
    <rPh sb="1" eb="2">
      <t>ケン</t>
    </rPh>
    <rPh sb="2" eb="4">
      <t>シュッパン</t>
    </rPh>
    <phoneticPr fontId="1"/>
  </si>
  <si>
    <r>
      <rPr>
        <strike/>
        <sz val="11"/>
        <rFont val="游ゴシック Medium"/>
        <family val="3"/>
        <charset val="128"/>
      </rPr>
      <t>秀樹実家</t>
    </r>
    <rPh sb="0" eb="2">
      <t>ヒデキ</t>
    </rPh>
    <rPh sb="2" eb="4">
      <t>ジッカ</t>
    </rPh>
    <phoneticPr fontId="1"/>
  </si>
  <si>
    <r>
      <rPr>
        <strike/>
        <sz val="11"/>
        <rFont val="游ゴシック Medium"/>
        <family val="3"/>
        <charset val="128"/>
      </rPr>
      <t>那須辰造</t>
    </r>
    <rPh sb="0" eb="2">
      <t>ナス</t>
    </rPh>
    <rPh sb="2" eb="4">
      <t>タツゾウ</t>
    </rPh>
    <phoneticPr fontId="1"/>
  </si>
  <si>
    <r>
      <rPr>
        <strike/>
        <sz val="11"/>
        <rFont val="游ゴシック Medium"/>
        <family val="3"/>
        <charset val="128"/>
      </rPr>
      <t>海底二万里</t>
    </r>
    <rPh sb="0" eb="2">
      <t>カイテイ</t>
    </rPh>
    <rPh sb="2" eb="5">
      <t>ニマンリ</t>
    </rPh>
    <phoneticPr fontId="1"/>
  </si>
  <si>
    <r>
      <rPr>
        <strike/>
        <sz val="11"/>
        <rFont val="游ゴシック Medium"/>
        <family val="3"/>
        <charset val="128"/>
      </rPr>
      <t>少年少女世界の名作</t>
    </r>
    <r>
      <rPr>
        <strike/>
        <sz val="11"/>
        <rFont val="Consolas"/>
        <family val="3"/>
      </rPr>
      <t xml:space="preserve"> 22</t>
    </r>
    <rPh sb="0" eb="2">
      <t>ショウネン</t>
    </rPh>
    <rPh sb="2" eb="4">
      <t>ショウジョ</t>
    </rPh>
    <rPh sb="4" eb="6">
      <t>セカイ</t>
    </rPh>
    <rPh sb="7" eb="9">
      <t>メイサク</t>
    </rPh>
    <phoneticPr fontId="1"/>
  </si>
  <si>
    <r>
      <rPr>
        <sz val="11"/>
        <rFont val="游ゴシック Medium"/>
        <family val="3"/>
        <charset val="128"/>
      </rPr>
      <t>平野</t>
    </r>
    <r>
      <rPr>
        <sz val="11"/>
        <rFont val="Consolas"/>
        <family val="3"/>
      </rPr>
      <t xml:space="preserve"> </t>
    </r>
    <r>
      <rPr>
        <sz val="11"/>
        <rFont val="游ゴシック Medium"/>
        <family val="3"/>
        <charset val="128"/>
      </rPr>
      <t>直</t>
    </r>
    <rPh sb="0" eb="2">
      <t>ヒラノ</t>
    </rPh>
    <rPh sb="3" eb="4">
      <t>タダシ</t>
    </rPh>
    <phoneticPr fontId="1"/>
  </si>
  <si>
    <r>
      <rPr>
        <sz val="11"/>
        <rFont val="游ゴシック Medium"/>
        <family val="3"/>
        <charset val="128"/>
      </rPr>
      <t>宝島</t>
    </r>
    <rPh sb="0" eb="2">
      <t>タカラジマ</t>
    </rPh>
    <phoneticPr fontId="1"/>
  </si>
  <si>
    <r>
      <rPr>
        <sz val="11"/>
        <rFont val="游ゴシック Medium"/>
        <family val="3"/>
        <charset val="128"/>
      </rPr>
      <t>少年少女世界の名作</t>
    </r>
    <r>
      <rPr>
        <sz val="11"/>
        <rFont val="Consolas"/>
        <family val="3"/>
      </rPr>
      <t xml:space="preserve"> 03</t>
    </r>
    <rPh sb="0" eb="2">
      <t>ショウネン</t>
    </rPh>
    <rPh sb="2" eb="4">
      <t>ショウジョ</t>
    </rPh>
    <rPh sb="4" eb="6">
      <t>セカイ</t>
    </rPh>
    <rPh sb="7" eb="9">
      <t>メイサク</t>
    </rPh>
    <phoneticPr fontId="1"/>
  </si>
  <si>
    <r>
      <rPr>
        <sz val="11"/>
        <rFont val="游ゴシック Medium"/>
        <family val="3"/>
        <charset val="128"/>
      </rPr>
      <t>十返舎一九</t>
    </r>
    <rPh sb="0" eb="3">
      <t>ジュッペンシャ</t>
    </rPh>
    <rPh sb="3" eb="5">
      <t>イック</t>
    </rPh>
    <phoneticPr fontId="1"/>
  </si>
  <si>
    <r>
      <rPr>
        <sz val="11"/>
        <rFont val="游ゴシック Medium"/>
        <family val="3"/>
        <charset val="128"/>
      </rPr>
      <t>森</t>
    </r>
    <r>
      <rPr>
        <sz val="11"/>
        <rFont val="Consolas"/>
        <family val="3"/>
      </rPr>
      <t xml:space="preserve"> </t>
    </r>
    <r>
      <rPr>
        <sz val="11"/>
        <rFont val="游ゴシック Medium"/>
        <family val="3"/>
        <charset val="128"/>
      </rPr>
      <t>いたる</t>
    </r>
    <rPh sb="0" eb="1">
      <t>モリ</t>
    </rPh>
    <phoneticPr fontId="1"/>
  </si>
  <si>
    <r>
      <rPr>
        <sz val="11"/>
        <rFont val="游ゴシック Medium"/>
        <family val="3"/>
        <charset val="128"/>
      </rPr>
      <t>やじさん</t>
    </r>
    <r>
      <rPr>
        <sz val="11"/>
        <rFont val="Consolas"/>
        <family val="3"/>
      </rPr>
      <t xml:space="preserve"> </t>
    </r>
    <r>
      <rPr>
        <sz val="11"/>
        <rFont val="游ゴシック Medium"/>
        <family val="3"/>
        <charset val="128"/>
      </rPr>
      <t>きたさん</t>
    </r>
    <phoneticPr fontId="1"/>
  </si>
  <si>
    <r>
      <rPr>
        <sz val="11"/>
        <rFont val="游ゴシック Medium"/>
        <family val="3"/>
        <charset val="128"/>
      </rPr>
      <t>母と子の名作文学</t>
    </r>
    <r>
      <rPr>
        <sz val="11"/>
        <rFont val="Consolas"/>
        <family val="3"/>
      </rPr>
      <t xml:space="preserve"> 29</t>
    </r>
    <rPh sb="0" eb="1">
      <t>ハハ</t>
    </rPh>
    <rPh sb="2" eb="3">
      <t>コ</t>
    </rPh>
    <rPh sb="4" eb="6">
      <t>メイサク</t>
    </rPh>
    <rPh sb="6" eb="8">
      <t>ブンガク</t>
    </rPh>
    <phoneticPr fontId="1"/>
  </si>
  <si>
    <r>
      <t>ancient/</t>
    </r>
    <r>
      <rPr>
        <sz val="11"/>
        <rFont val="游ゴシック Medium"/>
        <family val="3"/>
        <charset val="128"/>
      </rPr>
      <t>童話</t>
    </r>
    <rPh sb="8" eb="10">
      <t>ドウワ</t>
    </rPh>
    <phoneticPr fontId="1"/>
  </si>
  <si>
    <r>
      <rPr>
        <sz val="11"/>
        <rFont val="游ゴシック Medium"/>
        <family val="3"/>
        <charset val="128"/>
      </rPr>
      <t>曲亭馬琴</t>
    </r>
    <rPh sb="0" eb="2">
      <t>キョクテイ</t>
    </rPh>
    <rPh sb="2" eb="4">
      <t>バキン</t>
    </rPh>
    <phoneticPr fontId="1"/>
  </si>
  <si>
    <r>
      <rPr>
        <sz val="11"/>
        <rFont val="游ゴシック Medium"/>
        <family val="3"/>
        <charset val="128"/>
      </rPr>
      <t>高木</t>
    </r>
    <r>
      <rPr>
        <sz val="11"/>
        <rFont val="Consolas"/>
        <family val="3"/>
      </rPr>
      <t xml:space="preserve"> </t>
    </r>
    <r>
      <rPr>
        <sz val="11"/>
        <rFont val="游ゴシック Medium"/>
        <family val="3"/>
        <charset val="128"/>
      </rPr>
      <t>卓</t>
    </r>
    <rPh sb="0" eb="2">
      <t>タカギ</t>
    </rPh>
    <rPh sb="3" eb="4">
      <t>タク</t>
    </rPh>
    <phoneticPr fontId="1"/>
  </si>
  <si>
    <r>
      <rPr>
        <sz val="11"/>
        <rFont val="游ゴシック Medium"/>
        <family val="3"/>
        <charset val="128"/>
      </rPr>
      <t>里見八犬伝</t>
    </r>
    <rPh sb="0" eb="2">
      <t>サトミ</t>
    </rPh>
    <rPh sb="2" eb="5">
      <t>ハッケンデン</t>
    </rPh>
    <phoneticPr fontId="1"/>
  </si>
  <si>
    <r>
      <rPr>
        <sz val="11"/>
        <rFont val="游ゴシック Medium"/>
        <family val="3"/>
        <charset val="128"/>
      </rPr>
      <t>古典文学全集</t>
    </r>
    <r>
      <rPr>
        <sz val="11"/>
        <rFont val="Consolas"/>
        <family val="3"/>
      </rPr>
      <t xml:space="preserve"> 23</t>
    </r>
    <rPh sb="0" eb="2">
      <t>コテン</t>
    </rPh>
    <rPh sb="2" eb="4">
      <t>ブンガク</t>
    </rPh>
    <rPh sb="4" eb="6">
      <t>ゼンシュウ</t>
    </rPh>
    <phoneticPr fontId="1"/>
  </si>
  <si>
    <r>
      <rPr>
        <sz val="11"/>
        <rFont val="游ゴシック Medium"/>
        <family val="3"/>
        <charset val="128"/>
      </rPr>
      <t>木下順二</t>
    </r>
    <rPh sb="0" eb="2">
      <t>キノシタ</t>
    </rPh>
    <rPh sb="2" eb="4">
      <t>ジュンジ</t>
    </rPh>
    <phoneticPr fontId="1"/>
  </si>
  <si>
    <r>
      <rPr>
        <sz val="11"/>
        <rFont val="游ゴシック Medium"/>
        <family val="3"/>
        <charset val="128"/>
      </rPr>
      <t>夕鶴</t>
    </r>
    <rPh sb="0" eb="2">
      <t>ユウヅル</t>
    </rPh>
    <phoneticPr fontId="1"/>
  </si>
  <si>
    <r>
      <rPr>
        <sz val="11"/>
        <rFont val="游ゴシック Medium"/>
        <family val="3"/>
        <charset val="128"/>
      </rPr>
      <t>ジュニア版</t>
    </r>
    <r>
      <rPr>
        <sz val="11"/>
        <rFont val="Consolas"/>
        <family val="3"/>
      </rPr>
      <t xml:space="preserve"> </t>
    </r>
    <r>
      <rPr>
        <sz val="11"/>
        <rFont val="游ゴシック Medium"/>
        <family val="3"/>
        <charset val="128"/>
      </rPr>
      <t>日本の文学</t>
    </r>
    <r>
      <rPr>
        <sz val="11"/>
        <rFont val="Consolas"/>
        <family val="3"/>
      </rPr>
      <t xml:space="preserve"> 10</t>
    </r>
    <rPh sb="4" eb="5">
      <t>バン</t>
    </rPh>
    <rPh sb="6" eb="8">
      <t>ニホン</t>
    </rPh>
    <rPh sb="9" eb="11">
      <t>ブンガク</t>
    </rPh>
    <phoneticPr fontId="1"/>
  </si>
  <si>
    <r>
      <rPr>
        <strike/>
        <sz val="11"/>
        <rFont val="游ゴシック Medium"/>
        <family val="3"/>
        <charset val="128"/>
      </rPr>
      <t>アミーチス</t>
    </r>
    <r>
      <rPr>
        <strike/>
        <sz val="11"/>
        <rFont val="Consolas"/>
        <family val="3"/>
      </rPr>
      <t xml:space="preserve">,Edmond </t>
    </r>
    <r>
      <rPr>
        <strike/>
        <sz val="11"/>
        <rFont val="游ゴシック Medium"/>
        <family val="3"/>
        <charset val="128"/>
      </rPr>
      <t>デ</t>
    </r>
    <rPh sb="6" eb="12">
      <t>エドモンド</t>
    </rPh>
    <phoneticPr fontId="1"/>
  </si>
  <si>
    <r>
      <rPr>
        <strike/>
        <sz val="11"/>
        <rFont val="游ゴシック Medium"/>
        <family val="3"/>
        <charset val="128"/>
      </rPr>
      <t>野長瀬正夫</t>
    </r>
    <rPh sb="0" eb="3">
      <t>ノナガセ</t>
    </rPh>
    <rPh sb="3" eb="5">
      <t>マサオ</t>
    </rPh>
    <phoneticPr fontId="1"/>
  </si>
  <si>
    <r>
      <rPr>
        <strike/>
        <sz val="11"/>
        <rFont val="游ゴシック Medium"/>
        <family val="3"/>
        <charset val="128"/>
      </rPr>
      <t>母をたずねて</t>
    </r>
    <rPh sb="0" eb="1">
      <t>ハハ</t>
    </rPh>
    <phoneticPr fontId="1"/>
  </si>
  <si>
    <r>
      <rPr>
        <strike/>
        <sz val="11"/>
        <rFont val="游ゴシック Medium"/>
        <family val="3"/>
        <charset val="128"/>
      </rPr>
      <t>たのしい名作童話</t>
    </r>
    <r>
      <rPr>
        <strike/>
        <sz val="11"/>
        <rFont val="Consolas"/>
        <family val="3"/>
      </rPr>
      <t xml:space="preserve"> 23</t>
    </r>
    <rPh sb="4" eb="6">
      <t>メイサク</t>
    </rPh>
    <rPh sb="6" eb="8">
      <t>ドウワ</t>
    </rPh>
    <phoneticPr fontId="1"/>
  </si>
  <si>
    <r>
      <rPr>
        <sz val="11"/>
        <rFont val="游ゴシック Medium"/>
        <family val="3"/>
        <charset val="128"/>
      </rPr>
      <t>角田光男</t>
    </r>
    <rPh sb="0" eb="2">
      <t>カクタ</t>
    </rPh>
    <rPh sb="2" eb="4">
      <t>ミツオ</t>
    </rPh>
    <phoneticPr fontId="1"/>
  </si>
  <si>
    <r>
      <rPr>
        <sz val="11"/>
        <rFont val="游ゴシック Medium"/>
        <family val="3"/>
        <charset val="128"/>
      </rPr>
      <t>井口文秀</t>
    </r>
    <rPh sb="0" eb="2">
      <t>イグチ</t>
    </rPh>
    <rPh sb="2" eb="4">
      <t>ブンシュウ</t>
    </rPh>
    <phoneticPr fontId="1"/>
  </si>
  <si>
    <r>
      <rPr>
        <sz val="11"/>
        <rFont val="游ゴシック Medium"/>
        <family val="3"/>
        <charset val="128"/>
      </rPr>
      <t>つむじまがり</t>
    </r>
    <r>
      <rPr>
        <sz val="11"/>
        <rFont val="Consolas"/>
        <family val="3"/>
      </rPr>
      <t xml:space="preserve"> </t>
    </r>
    <r>
      <rPr>
        <sz val="11"/>
        <rFont val="游ゴシック Medium"/>
        <family val="3"/>
        <charset val="128"/>
      </rPr>
      <t>へそまがり</t>
    </r>
    <phoneticPr fontId="1"/>
  </si>
  <si>
    <r>
      <rPr>
        <sz val="11"/>
        <rFont val="游ゴシック Medium"/>
        <family val="3"/>
        <charset val="128"/>
      </rPr>
      <t>新選創作童話</t>
    </r>
    <r>
      <rPr>
        <sz val="11"/>
        <rFont val="Consolas"/>
        <family val="3"/>
      </rPr>
      <t xml:space="preserve"> 10/</t>
    </r>
    <r>
      <rPr>
        <sz val="11"/>
        <rFont val="游ゴシック Medium"/>
        <family val="3"/>
        <charset val="128"/>
      </rPr>
      <t>課題図書</t>
    </r>
    <r>
      <rPr>
        <sz val="11"/>
        <rFont val="Consolas"/>
        <family val="3"/>
      </rPr>
      <t>/2~4</t>
    </r>
    <r>
      <rPr>
        <sz val="11"/>
        <rFont val="游ゴシック Medium"/>
        <family val="3"/>
        <charset val="128"/>
      </rPr>
      <t>年向き</t>
    </r>
    <rPh sb="0" eb="2">
      <t>シンセン</t>
    </rPh>
    <rPh sb="2" eb="4">
      <t>ソウサク</t>
    </rPh>
    <rPh sb="4" eb="6">
      <t>ドウワ</t>
    </rPh>
    <rPh sb="10" eb="12">
      <t>カダイ</t>
    </rPh>
    <rPh sb="12" eb="14">
      <t>トショ</t>
    </rPh>
    <rPh sb="18" eb="19">
      <t>ネン</t>
    </rPh>
    <rPh sb="19" eb="20">
      <t>ム</t>
    </rPh>
    <phoneticPr fontId="1"/>
  </si>
  <si>
    <r>
      <rPr>
        <sz val="11"/>
        <rFont val="游ゴシック Medium"/>
        <family val="3"/>
        <charset val="128"/>
      </rPr>
      <t>国土社</t>
    </r>
    <rPh sb="0" eb="2">
      <t>コクド</t>
    </rPh>
    <rPh sb="2" eb="3">
      <t>シャ</t>
    </rPh>
    <phoneticPr fontId="1"/>
  </si>
  <si>
    <r>
      <rPr>
        <sz val="11"/>
        <rFont val="游ゴシック Medium"/>
        <family val="3"/>
        <charset val="128"/>
      </rPr>
      <t>バージェス</t>
    </r>
    <r>
      <rPr>
        <sz val="11"/>
        <rFont val="Consolas"/>
        <family val="3"/>
      </rPr>
      <t>,</t>
    </r>
    <r>
      <rPr>
        <sz val="11"/>
        <rFont val="游ゴシック Medium"/>
        <family val="3"/>
        <charset val="128"/>
      </rPr>
      <t>ソーントン</t>
    </r>
    <phoneticPr fontId="1"/>
  </si>
  <si>
    <r>
      <rPr>
        <sz val="11"/>
        <rFont val="游ゴシック Medium"/>
        <family val="3"/>
        <charset val="128"/>
      </rPr>
      <t>前田三恵子</t>
    </r>
    <r>
      <rPr>
        <sz val="11"/>
        <rFont val="Consolas"/>
        <family val="3"/>
      </rPr>
      <t>/</t>
    </r>
    <r>
      <rPr>
        <sz val="11"/>
        <rFont val="游ゴシック Medium"/>
        <family val="3"/>
        <charset val="128"/>
      </rPr>
      <t>富永秀夫</t>
    </r>
    <rPh sb="0" eb="2">
      <t>マエダ</t>
    </rPh>
    <rPh sb="2" eb="5">
      <t>ミエコ</t>
    </rPh>
    <rPh sb="6" eb="8">
      <t>トミナガ</t>
    </rPh>
    <rPh sb="8" eb="10">
      <t>ヒデオ</t>
    </rPh>
    <phoneticPr fontId="1"/>
  </si>
  <si>
    <r>
      <rPr>
        <sz val="11"/>
        <rFont val="游ゴシック Medium"/>
        <family val="3"/>
        <charset val="128"/>
      </rPr>
      <t>訳</t>
    </r>
    <r>
      <rPr>
        <sz val="11"/>
        <rFont val="Consolas"/>
        <family val="3"/>
      </rPr>
      <t>/</t>
    </r>
    <r>
      <rPr>
        <sz val="11"/>
        <rFont val="游ゴシック Medium"/>
        <family val="3"/>
        <charset val="128"/>
      </rPr>
      <t>絵</t>
    </r>
    <rPh sb="0" eb="1">
      <t>ヤク</t>
    </rPh>
    <rPh sb="2" eb="3">
      <t>エ</t>
    </rPh>
    <phoneticPr fontId="1"/>
  </si>
  <si>
    <r>
      <rPr>
        <sz val="11"/>
        <rFont val="游ゴシック Medium"/>
        <family val="3"/>
        <charset val="128"/>
      </rPr>
      <t>ふくろねずみのビリーおじさん</t>
    </r>
    <phoneticPr fontId="1"/>
  </si>
  <si>
    <r>
      <rPr>
        <sz val="11"/>
        <rFont val="游ゴシック Medium"/>
        <family val="3"/>
        <charset val="128"/>
      </rPr>
      <t>バージェス</t>
    </r>
    <r>
      <rPr>
        <sz val="11"/>
        <rFont val="Consolas"/>
        <family val="3"/>
      </rPr>
      <t xml:space="preserve"> </t>
    </r>
    <r>
      <rPr>
        <sz val="11"/>
        <rFont val="游ゴシック Medium"/>
        <family val="3"/>
        <charset val="128"/>
      </rPr>
      <t>アニマル・ブックス</t>
    </r>
    <phoneticPr fontId="1"/>
  </si>
  <si>
    <r>
      <rPr>
        <sz val="11"/>
        <rFont val="游ゴシック Medium"/>
        <family val="3"/>
        <charset val="128"/>
      </rPr>
      <t>生源寺美子</t>
    </r>
    <rPh sb="0" eb="3">
      <t>ショウゲンジ</t>
    </rPh>
    <rPh sb="3" eb="5">
      <t>ハルコ</t>
    </rPh>
    <phoneticPr fontId="1"/>
  </si>
  <si>
    <r>
      <rPr>
        <sz val="11"/>
        <rFont val="游ゴシック Medium"/>
        <family val="3"/>
        <charset val="128"/>
      </rPr>
      <t>岩淵慶造</t>
    </r>
    <rPh sb="0" eb="2">
      <t>イワブチ</t>
    </rPh>
    <rPh sb="2" eb="4">
      <t>ケイゾウ</t>
    </rPh>
    <phoneticPr fontId="1"/>
  </si>
  <si>
    <r>
      <rPr>
        <sz val="11"/>
        <rFont val="游ゴシック Medium"/>
        <family val="3"/>
        <charset val="128"/>
      </rPr>
      <t>マキオのひとり旅</t>
    </r>
    <rPh sb="7" eb="8">
      <t>タビ</t>
    </rPh>
    <phoneticPr fontId="1"/>
  </si>
  <si>
    <r>
      <t>913/</t>
    </r>
    <r>
      <rPr>
        <sz val="11"/>
        <rFont val="游ゴシック Medium"/>
        <family val="3"/>
        <charset val="128"/>
      </rPr>
      <t>創作児童文学</t>
    </r>
    <r>
      <rPr>
        <sz val="11"/>
        <rFont val="Consolas"/>
        <family val="3"/>
      </rPr>
      <t>18</t>
    </r>
    <rPh sb="4" eb="6">
      <t>ソウサク</t>
    </rPh>
    <rPh sb="6" eb="8">
      <t>ジドウ</t>
    </rPh>
    <rPh sb="8" eb="10">
      <t>ブンガク</t>
    </rPh>
    <phoneticPr fontId="1"/>
  </si>
  <si>
    <r>
      <rPr>
        <sz val="11"/>
        <rFont val="游ゴシック Medium"/>
        <family val="3"/>
        <charset val="128"/>
      </rPr>
      <t>図書館</t>
    </r>
    <rPh sb="0" eb="3">
      <t>トショカン</t>
    </rPh>
    <phoneticPr fontId="1"/>
  </si>
  <si>
    <r>
      <rPr>
        <sz val="11"/>
        <rFont val="游ゴシック Medium"/>
        <family val="3"/>
        <charset val="128"/>
      </rPr>
      <t>伊藤洋子が入手</t>
    </r>
    <rPh sb="0" eb="2">
      <t>イトウ</t>
    </rPh>
    <rPh sb="2" eb="4">
      <t>ヨウコ</t>
    </rPh>
    <rPh sb="5" eb="7">
      <t>ニュウシュ</t>
    </rPh>
    <phoneticPr fontId="1"/>
  </si>
  <si>
    <r>
      <rPr>
        <sz val="11"/>
        <rFont val="游ゴシック Medium"/>
        <family val="3"/>
        <charset val="128"/>
      </rPr>
      <t>世界名作アニメ絵本</t>
    </r>
    <r>
      <rPr>
        <sz val="11"/>
        <rFont val="Consolas"/>
        <family val="3"/>
      </rPr>
      <t>/</t>
    </r>
    <r>
      <rPr>
        <sz val="11"/>
        <rFont val="游ゴシック Medium"/>
        <family val="3"/>
        <charset val="128"/>
      </rPr>
      <t>アンデルセン</t>
    </r>
    <rPh sb="0" eb="2">
      <t>セカイ</t>
    </rPh>
    <rPh sb="2" eb="4">
      <t>メイサク</t>
    </rPh>
    <rPh sb="7" eb="9">
      <t>エホン</t>
    </rPh>
    <phoneticPr fontId="1"/>
  </si>
  <si>
    <r>
      <rPr>
        <sz val="11"/>
        <rFont val="游ゴシック Medium"/>
        <family val="3"/>
        <charset val="128"/>
      </rPr>
      <t>赤いくつ</t>
    </r>
    <rPh sb="0" eb="1">
      <t>アカ</t>
    </rPh>
    <phoneticPr fontId="1"/>
  </si>
  <si>
    <r>
      <rPr>
        <sz val="11"/>
        <rFont val="游ゴシック Medium"/>
        <family val="3"/>
        <charset val="128"/>
      </rPr>
      <t>永岡書店</t>
    </r>
    <rPh sb="0" eb="2">
      <t>ナガオカ</t>
    </rPh>
    <rPh sb="2" eb="4">
      <t>ショテン</t>
    </rPh>
    <phoneticPr fontId="1"/>
  </si>
  <si>
    <r>
      <rPr>
        <sz val="11"/>
        <rFont val="游ゴシック Medium"/>
        <family val="3"/>
        <charset val="128"/>
      </rPr>
      <t>世界名作アニメ絵本</t>
    </r>
    <rPh sb="0" eb="2">
      <t>セカイ</t>
    </rPh>
    <rPh sb="2" eb="4">
      <t>メイサク</t>
    </rPh>
    <rPh sb="7" eb="9">
      <t>エホン</t>
    </rPh>
    <phoneticPr fontId="1"/>
  </si>
  <si>
    <r>
      <rPr>
        <sz val="11"/>
        <rFont val="游ゴシック Medium"/>
        <family val="3"/>
        <charset val="128"/>
      </rPr>
      <t>まよ中のおひめさま</t>
    </r>
    <rPh sb="2" eb="3">
      <t>ナカ</t>
    </rPh>
    <phoneticPr fontId="1"/>
  </si>
  <si>
    <r>
      <rPr>
        <strike/>
        <sz val="11"/>
        <rFont val="游ゴシック Medium"/>
        <family val="3"/>
        <charset val="128"/>
      </rPr>
      <t>愛知県小中学校長会</t>
    </r>
    <rPh sb="0" eb="3">
      <t>アイチケン</t>
    </rPh>
    <rPh sb="3" eb="9">
      <t>ショウチュウガッコウチョウカイ</t>
    </rPh>
    <phoneticPr fontId="1"/>
  </si>
  <si>
    <r>
      <rPr>
        <strike/>
        <sz val="11"/>
        <rFont val="游ゴシック Medium"/>
        <family val="3"/>
        <charset val="128"/>
      </rPr>
      <t>ほいほいどり</t>
    </r>
    <phoneticPr fontId="1"/>
  </si>
  <si>
    <r>
      <rPr>
        <strike/>
        <sz val="11"/>
        <rFont val="游ゴシック Medium"/>
        <family val="3"/>
        <charset val="128"/>
      </rPr>
      <t>あいちの</t>
    </r>
    <r>
      <rPr>
        <strike/>
        <sz val="11"/>
        <rFont val="Consolas"/>
        <family val="3"/>
      </rPr>
      <t xml:space="preserve"> </t>
    </r>
    <r>
      <rPr>
        <strike/>
        <sz val="11"/>
        <rFont val="游ゴシック Medium"/>
        <family val="3"/>
        <charset val="128"/>
      </rPr>
      <t>むかしばなし</t>
    </r>
    <r>
      <rPr>
        <strike/>
        <sz val="11"/>
        <rFont val="Consolas"/>
        <family val="3"/>
      </rPr>
      <t xml:space="preserve"> 1</t>
    </r>
    <phoneticPr fontId="1"/>
  </si>
  <si>
    <r>
      <rPr>
        <strike/>
        <sz val="11"/>
        <rFont val="游ゴシック Medium"/>
        <family val="3"/>
        <charset val="128"/>
      </rPr>
      <t>愛知県教育振興会</t>
    </r>
    <r>
      <rPr>
        <strike/>
        <sz val="11"/>
        <rFont val="Consolas"/>
        <family val="3"/>
      </rPr>
      <t>:</t>
    </r>
    <r>
      <rPr>
        <strike/>
        <sz val="11"/>
        <rFont val="游ゴシック Medium"/>
        <family val="3"/>
        <charset val="128"/>
      </rPr>
      <t>発行</t>
    </r>
    <rPh sb="0" eb="3">
      <t>アイチケン</t>
    </rPh>
    <rPh sb="3" eb="5">
      <t>キョウイク</t>
    </rPh>
    <rPh sb="5" eb="8">
      <t>シンコウカイ</t>
    </rPh>
    <rPh sb="9" eb="11">
      <t>ハッコウ</t>
    </rPh>
    <phoneticPr fontId="1"/>
  </si>
  <si>
    <r>
      <rPr>
        <strike/>
        <sz val="11"/>
        <rFont val="游ゴシック Medium"/>
        <family val="3"/>
        <charset val="128"/>
      </rPr>
      <t>白い光</t>
    </r>
    <rPh sb="0" eb="1">
      <t>シロ</t>
    </rPh>
    <rPh sb="2" eb="3">
      <t>ヒカリ</t>
    </rPh>
    <phoneticPr fontId="1"/>
  </si>
  <si>
    <r>
      <rPr>
        <sz val="11"/>
        <rFont val="游ゴシック Medium"/>
        <family val="3"/>
        <charset val="128"/>
      </rPr>
      <t>阿児町</t>
    </r>
    <rPh sb="0" eb="3">
      <t>アゴチョウ</t>
    </rPh>
    <phoneticPr fontId="1"/>
  </si>
  <si>
    <r>
      <rPr>
        <sz val="11"/>
        <rFont val="游ゴシック Medium"/>
        <family val="3"/>
        <charset val="128"/>
      </rPr>
      <t>阿児のむかしばなし</t>
    </r>
    <rPh sb="0" eb="2">
      <t>アゴ</t>
    </rPh>
    <phoneticPr fontId="1"/>
  </si>
  <si>
    <r>
      <rPr>
        <sz val="11"/>
        <rFont val="游ゴシック Medium"/>
        <family val="3"/>
        <charset val="128"/>
      </rPr>
      <t>阿児町三十周年記念</t>
    </r>
    <rPh sb="0" eb="3">
      <t>アゴチョウ</t>
    </rPh>
    <rPh sb="3" eb="7">
      <t>サンジュウシュウネン</t>
    </rPh>
    <rPh sb="7" eb="9">
      <t>キネン</t>
    </rPh>
    <phoneticPr fontId="1"/>
  </si>
  <si>
    <r>
      <rPr>
        <sz val="11"/>
        <rFont val="游ゴシック Medium"/>
        <family val="3"/>
        <charset val="128"/>
      </rPr>
      <t>岡田書店</t>
    </r>
    <rPh sb="0" eb="2">
      <t>オカダ</t>
    </rPh>
    <rPh sb="2" eb="4">
      <t>ショテン</t>
    </rPh>
    <phoneticPr fontId="1"/>
  </si>
  <si>
    <r>
      <rPr>
        <sz val="11"/>
        <rFont val="游ゴシック Medium"/>
        <family val="3"/>
        <charset val="128"/>
      </rPr>
      <t>児童書</t>
    </r>
    <rPh sb="0" eb="3">
      <t>ジドウショ</t>
    </rPh>
    <phoneticPr fontId="1"/>
  </si>
  <si>
    <r>
      <rPr>
        <sz val="11"/>
        <rFont val="游ゴシック Medium"/>
        <family val="3"/>
        <charset val="128"/>
      </rPr>
      <t>浜野政雄</t>
    </r>
    <rPh sb="0" eb="2">
      <t>ハマノ</t>
    </rPh>
    <rPh sb="2" eb="4">
      <t>マサオ</t>
    </rPh>
    <phoneticPr fontId="1"/>
  </si>
  <si>
    <r>
      <rPr>
        <sz val="11"/>
        <rFont val="游ゴシック Medium"/>
        <family val="3"/>
        <charset val="128"/>
      </rPr>
      <t>ベートーベン</t>
    </r>
    <phoneticPr fontId="1"/>
  </si>
  <si>
    <r>
      <rPr>
        <sz val="11"/>
        <rFont val="游ゴシック Medium"/>
        <family val="3"/>
        <charset val="128"/>
      </rPr>
      <t>子どもの伝記全集</t>
    </r>
    <r>
      <rPr>
        <sz val="11"/>
        <rFont val="Consolas"/>
        <family val="3"/>
      </rPr>
      <t xml:space="preserve"> 15</t>
    </r>
    <rPh sb="0" eb="1">
      <t>コ</t>
    </rPh>
    <rPh sb="4" eb="6">
      <t>デンキ</t>
    </rPh>
    <rPh sb="6" eb="8">
      <t>ゼンシュウ</t>
    </rPh>
    <phoneticPr fontId="1"/>
  </si>
  <si>
    <r>
      <rPr>
        <sz val="11"/>
        <rFont val="游ゴシック Medium"/>
        <family val="3"/>
        <charset val="128"/>
      </rPr>
      <t>従姉妹太田伊早子の部屋</t>
    </r>
    <rPh sb="0" eb="3">
      <t>イトコ</t>
    </rPh>
    <rPh sb="3" eb="5">
      <t>オオタ</t>
    </rPh>
    <rPh sb="5" eb="8">
      <t>イサコ</t>
    </rPh>
    <rPh sb="9" eb="11">
      <t>ヘヤ</t>
    </rPh>
    <phoneticPr fontId="1"/>
  </si>
  <si>
    <r>
      <rPr>
        <sz val="11"/>
        <rFont val="游ゴシック Medium"/>
        <family val="3"/>
        <charset val="128"/>
      </rPr>
      <t>小畠郁夫</t>
    </r>
    <rPh sb="0" eb="2">
      <t>オバタ</t>
    </rPh>
    <rPh sb="2" eb="4">
      <t>イクオ</t>
    </rPh>
    <phoneticPr fontId="1"/>
  </si>
  <si>
    <r>
      <rPr>
        <sz val="11"/>
        <rFont val="游ゴシック Medium"/>
        <family val="3"/>
        <charset val="128"/>
      </rPr>
      <t>著</t>
    </r>
    <r>
      <rPr>
        <sz val="11"/>
        <rFont val="Consolas"/>
        <family val="3"/>
      </rPr>
      <t>:</t>
    </r>
    <r>
      <rPr>
        <sz val="11"/>
        <rFont val="游ゴシック Medium"/>
        <family val="3"/>
        <charset val="128"/>
      </rPr>
      <t>国立科学博物館・理学教授</t>
    </r>
    <rPh sb="0" eb="1">
      <t>チョ</t>
    </rPh>
    <rPh sb="2" eb="4">
      <t>コクリツ</t>
    </rPh>
    <rPh sb="4" eb="6">
      <t>カガク</t>
    </rPh>
    <rPh sb="6" eb="9">
      <t>ハクブツカン</t>
    </rPh>
    <rPh sb="10" eb="12">
      <t>リガク</t>
    </rPh>
    <rPh sb="12" eb="14">
      <t>キョウジュ</t>
    </rPh>
    <phoneticPr fontId="1"/>
  </si>
  <si>
    <r>
      <rPr>
        <sz val="11"/>
        <rFont val="游ゴシック Medium"/>
        <family val="3"/>
        <charset val="128"/>
      </rPr>
      <t>さいとうプロダクション</t>
    </r>
    <phoneticPr fontId="1"/>
  </si>
  <si>
    <r>
      <rPr>
        <sz val="11"/>
        <rFont val="游ゴシック Medium"/>
        <family val="3"/>
        <charset val="128"/>
      </rPr>
      <t>カバー絵</t>
    </r>
    <rPh sb="3" eb="4">
      <t>エ</t>
    </rPh>
    <phoneticPr fontId="1"/>
  </si>
  <si>
    <r>
      <rPr>
        <sz val="11"/>
        <rFont val="游ゴシック Medium"/>
        <family val="3"/>
        <charset val="128"/>
      </rPr>
      <t>恐竜のなぞをたずねて</t>
    </r>
    <rPh sb="0" eb="2">
      <t>キョウリュウ</t>
    </rPh>
    <phoneticPr fontId="1"/>
  </si>
  <si>
    <r>
      <rPr>
        <sz val="11"/>
        <rFont val="游ゴシック Medium"/>
        <family val="3"/>
        <charset val="128"/>
      </rPr>
      <t>世界のこどもノンフィクション</t>
    </r>
    <r>
      <rPr>
        <sz val="11"/>
        <rFont val="Consolas"/>
        <family val="3"/>
      </rPr>
      <t xml:space="preserve"> 3 NF</t>
    </r>
    <rPh sb="0" eb="2">
      <t>セカイ</t>
    </rPh>
    <phoneticPr fontId="1"/>
  </si>
  <si>
    <r>
      <rPr>
        <sz val="11"/>
        <rFont val="游ゴシック Medium"/>
        <family val="3"/>
        <charset val="128"/>
      </rPr>
      <t>スタジオ・</t>
    </r>
    <r>
      <rPr>
        <sz val="11"/>
        <rFont val="Consolas"/>
        <family val="3"/>
      </rPr>
      <t>K</t>
    </r>
    <phoneticPr fontId="1"/>
  </si>
  <si>
    <r>
      <rPr>
        <sz val="11"/>
        <rFont val="游ゴシック Medium"/>
        <family val="3"/>
        <charset val="128"/>
      </rPr>
      <t>制作</t>
    </r>
    <rPh sb="0" eb="2">
      <t>セイサク</t>
    </rPh>
    <phoneticPr fontId="1"/>
  </si>
  <si>
    <r>
      <rPr>
        <sz val="11"/>
        <rFont val="游ゴシック Medium"/>
        <family val="3"/>
        <charset val="128"/>
      </rPr>
      <t>恐怖の地震画報</t>
    </r>
    <rPh sb="0" eb="2">
      <t>キョウフ</t>
    </rPh>
    <rPh sb="3" eb="5">
      <t>ジシン</t>
    </rPh>
    <rPh sb="5" eb="7">
      <t>ガホウ</t>
    </rPh>
    <phoneticPr fontId="1"/>
  </si>
  <si>
    <r>
      <rPr>
        <sz val="11"/>
        <rFont val="游ゴシック Medium"/>
        <family val="3"/>
        <charset val="128"/>
      </rPr>
      <t>黒崎出版</t>
    </r>
    <rPh sb="0" eb="2">
      <t>クロサキ</t>
    </rPh>
    <rPh sb="2" eb="4">
      <t>シュッパン</t>
    </rPh>
    <phoneticPr fontId="1"/>
  </si>
  <si>
    <r>
      <rPr>
        <sz val="11"/>
        <rFont val="游ゴシック Medium"/>
        <family val="3"/>
        <charset val="128"/>
      </rPr>
      <t>秀樹実家</t>
    </r>
    <r>
      <rPr>
        <sz val="11"/>
        <rFont val="Consolas"/>
        <family val="3"/>
      </rPr>
      <t>/</t>
    </r>
    <r>
      <rPr>
        <sz val="11"/>
        <rFont val="游ゴシック Medium"/>
        <family val="3"/>
        <charset val="128"/>
      </rPr>
      <t>中一コース</t>
    </r>
    <r>
      <rPr>
        <sz val="11"/>
        <rFont val="Consolas"/>
        <family val="3"/>
      </rPr>
      <t>~</t>
    </r>
    <r>
      <rPr>
        <sz val="11"/>
        <rFont val="游ゴシック Medium"/>
        <family val="3"/>
        <charset val="128"/>
      </rPr>
      <t>中三コースの記事</t>
    </r>
    <r>
      <rPr>
        <sz val="11"/>
        <rFont val="Consolas"/>
        <family val="3"/>
      </rPr>
      <t>10</t>
    </r>
    <r>
      <rPr>
        <sz val="11"/>
        <rFont val="游ゴシック Medium"/>
        <family val="3"/>
        <charset val="128"/>
      </rPr>
      <t>編弱を同封</t>
    </r>
    <rPh sb="0" eb="2">
      <t>ヒデキ</t>
    </rPh>
    <rPh sb="2" eb="4">
      <t>ジッカ</t>
    </rPh>
    <rPh sb="5" eb="7">
      <t>チュウイチ</t>
    </rPh>
    <rPh sb="11" eb="13">
      <t>チュウサン</t>
    </rPh>
    <rPh sb="17" eb="19">
      <t>キジ</t>
    </rPh>
    <rPh sb="21" eb="22">
      <t>ヘン</t>
    </rPh>
    <rPh sb="22" eb="23">
      <t>ジャク</t>
    </rPh>
    <rPh sb="24" eb="26">
      <t>ドウフウ</t>
    </rPh>
    <phoneticPr fontId="1"/>
  </si>
  <si>
    <r>
      <rPr>
        <sz val="11"/>
        <rFont val="游ゴシック Medium"/>
        <family val="3"/>
        <charset val="128"/>
      </rPr>
      <t>まんが世界昔ばなし</t>
    </r>
    <rPh sb="3" eb="5">
      <t>セカイ</t>
    </rPh>
    <rPh sb="5" eb="6">
      <t>ムカシ</t>
    </rPh>
    <phoneticPr fontId="1"/>
  </si>
  <si>
    <r>
      <rPr>
        <sz val="11"/>
        <rFont val="游ゴシック Medium"/>
        <family val="3"/>
        <charset val="128"/>
      </rPr>
      <t>原作</t>
    </r>
    <rPh sb="0" eb="2">
      <t>ゲンサク</t>
    </rPh>
    <phoneticPr fontId="1"/>
  </si>
  <si>
    <r>
      <rPr>
        <sz val="11"/>
        <rFont val="游ゴシック Medium"/>
        <family val="3"/>
        <charset val="128"/>
      </rPr>
      <t>わがままな巨人</t>
    </r>
    <rPh sb="5" eb="7">
      <t>キョジン</t>
    </rPh>
    <phoneticPr fontId="1"/>
  </si>
  <si>
    <r>
      <rPr>
        <sz val="11"/>
        <rFont val="游ゴシック Medium"/>
        <family val="3"/>
        <charset val="128"/>
      </rPr>
      <t>第</t>
    </r>
    <r>
      <rPr>
        <sz val="11"/>
        <rFont val="Consolas"/>
        <family val="3"/>
      </rPr>
      <t>14</t>
    </r>
    <r>
      <rPr>
        <sz val="11"/>
        <rFont val="游ゴシック Medium"/>
        <family val="3"/>
        <charset val="128"/>
      </rPr>
      <t>話</t>
    </r>
    <rPh sb="0" eb="1">
      <t>ダイ</t>
    </rPh>
    <rPh sb="3" eb="4">
      <t>ワ</t>
    </rPh>
    <phoneticPr fontId="1"/>
  </si>
  <si>
    <r>
      <rPr>
        <sz val="11"/>
        <rFont val="游ゴシック Medium"/>
        <family val="3"/>
        <charset val="128"/>
      </rPr>
      <t>国際情報社</t>
    </r>
    <rPh sb="0" eb="2">
      <t>コクサイ</t>
    </rPh>
    <rPh sb="2" eb="4">
      <t>ジョウホウ</t>
    </rPh>
    <rPh sb="4" eb="5">
      <t>シャ</t>
    </rPh>
    <phoneticPr fontId="1"/>
  </si>
  <si>
    <r>
      <t>Book Off</t>
    </r>
    <r>
      <rPr>
        <sz val="11"/>
        <rFont val="游ゴシック Medium"/>
        <family val="3"/>
        <charset val="128"/>
      </rPr>
      <t>目白駅前</t>
    </r>
    <rPh sb="0" eb="8">
      <t>ブックオフ</t>
    </rPh>
    <rPh sb="8" eb="10">
      <t>メジロ</t>
    </rPh>
    <rPh sb="10" eb="12">
      <t>エキマエ</t>
    </rPh>
    <phoneticPr fontId="1"/>
  </si>
  <si>
    <r>
      <rPr>
        <sz val="11"/>
        <rFont val="游ゴシック Medium"/>
        <family val="3"/>
        <charset val="128"/>
      </rPr>
      <t>エミリーの赤いてぶくろ</t>
    </r>
    <rPh sb="5" eb="6">
      <t>アカ</t>
    </rPh>
    <phoneticPr fontId="1"/>
  </si>
  <si>
    <r>
      <rPr>
        <sz val="11"/>
        <rFont val="游ゴシック Medium"/>
        <family val="3"/>
        <charset val="128"/>
      </rPr>
      <t>第</t>
    </r>
    <r>
      <rPr>
        <sz val="11"/>
        <rFont val="Consolas"/>
        <family val="3"/>
      </rPr>
      <t>39</t>
    </r>
    <r>
      <rPr>
        <sz val="11"/>
        <rFont val="游ゴシック Medium"/>
        <family val="3"/>
        <charset val="128"/>
      </rPr>
      <t>話</t>
    </r>
    <rPh sb="0" eb="1">
      <t>ダイ</t>
    </rPh>
    <rPh sb="3" eb="4">
      <t>ワ</t>
    </rPh>
    <phoneticPr fontId="1"/>
  </si>
  <si>
    <r>
      <rPr>
        <sz val="11"/>
        <rFont val="游ゴシック Medium"/>
        <family val="3"/>
        <charset val="128"/>
      </rPr>
      <t>まんが日本昔ばなし</t>
    </r>
    <rPh sb="3" eb="5">
      <t>ニホン</t>
    </rPh>
    <rPh sb="5" eb="6">
      <t>ムカシ</t>
    </rPh>
    <phoneticPr fontId="1"/>
  </si>
  <si>
    <r>
      <rPr>
        <sz val="11"/>
        <rFont val="游ゴシック Medium"/>
        <family val="3"/>
        <charset val="128"/>
      </rPr>
      <t>ねずみのすもう</t>
    </r>
    <phoneticPr fontId="1"/>
  </si>
  <si>
    <r>
      <rPr>
        <sz val="11"/>
        <rFont val="游ゴシック Medium"/>
        <family val="3"/>
        <charset val="128"/>
      </rPr>
      <t>第</t>
    </r>
    <r>
      <rPr>
        <sz val="11"/>
        <rFont val="Consolas"/>
        <family val="3"/>
      </rPr>
      <t>13</t>
    </r>
    <r>
      <rPr>
        <sz val="11"/>
        <rFont val="游ゴシック Medium"/>
        <family val="3"/>
        <charset val="128"/>
      </rPr>
      <t>話</t>
    </r>
    <rPh sb="0" eb="1">
      <t>ダイ</t>
    </rPh>
    <rPh sb="3" eb="4">
      <t>ワ</t>
    </rPh>
    <phoneticPr fontId="1"/>
  </si>
  <si>
    <r>
      <rPr>
        <sz val="11"/>
        <rFont val="游ゴシック Medium"/>
        <family val="3"/>
        <charset val="128"/>
      </rPr>
      <t>サラ文庫</t>
    </r>
    <rPh sb="2" eb="4">
      <t>ブンコ</t>
    </rPh>
    <phoneticPr fontId="1"/>
  </si>
  <si>
    <r>
      <rPr>
        <sz val="11"/>
        <rFont val="游ゴシック Medium"/>
        <family val="3"/>
        <charset val="128"/>
      </rPr>
      <t>さるかに合戦</t>
    </r>
    <rPh sb="4" eb="6">
      <t>ガッセン</t>
    </rPh>
    <phoneticPr fontId="1"/>
  </si>
  <si>
    <r>
      <rPr>
        <sz val="11"/>
        <rFont val="游ゴシック Medium"/>
        <family val="3"/>
        <charset val="128"/>
      </rPr>
      <t>第</t>
    </r>
    <r>
      <rPr>
        <sz val="11"/>
        <rFont val="Consolas"/>
        <family val="3"/>
      </rPr>
      <t>66</t>
    </r>
    <r>
      <rPr>
        <sz val="11"/>
        <rFont val="游ゴシック Medium"/>
        <family val="3"/>
        <charset val="128"/>
      </rPr>
      <t>話</t>
    </r>
    <rPh sb="0" eb="1">
      <t>ダイ</t>
    </rPh>
    <rPh sb="3" eb="4">
      <t>ワ</t>
    </rPh>
    <phoneticPr fontId="1"/>
  </si>
  <si>
    <r>
      <rPr>
        <sz val="11"/>
        <rFont val="游ゴシック Medium"/>
        <family val="3"/>
        <charset val="128"/>
      </rPr>
      <t>かっぱの雨ごい</t>
    </r>
    <rPh sb="4" eb="5">
      <t>アマ</t>
    </rPh>
    <phoneticPr fontId="1"/>
  </si>
  <si>
    <r>
      <rPr>
        <sz val="11"/>
        <rFont val="游ゴシック Medium"/>
        <family val="3"/>
        <charset val="128"/>
      </rPr>
      <t>第</t>
    </r>
    <r>
      <rPr>
        <sz val="11"/>
        <rFont val="Consolas"/>
        <family val="3"/>
      </rPr>
      <t>72</t>
    </r>
    <r>
      <rPr>
        <sz val="11"/>
        <rFont val="游ゴシック Medium"/>
        <family val="3"/>
        <charset val="128"/>
      </rPr>
      <t>話</t>
    </r>
    <rPh sb="0" eb="1">
      <t>ダイ</t>
    </rPh>
    <rPh sb="3" eb="4">
      <t>ワ</t>
    </rPh>
    <phoneticPr fontId="1"/>
  </si>
  <si>
    <r>
      <rPr>
        <sz val="11"/>
        <rFont val="游ゴシック Medium"/>
        <family val="3"/>
        <charset val="128"/>
      </rPr>
      <t>にせ本尊</t>
    </r>
    <rPh sb="2" eb="4">
      <t>ホンゾン</t>
    </rPh>
    <phoneticPr fontId="1"/>
  </si>
  <si>
    <r>
      <rPr>
        <sz val="11"/>
        <rFont val="游ゴシック Medium"/>
        <family val="3"/>
        <charset val="128"/>
      </rPr>
      <t>第</t>
    </r>
    <r>
      <rPr>
        <sz val="11"/>
        <rFont val="Consolas"/>
        <family val="3"/>
      </rPr>
      <t>74</t>
    </r>
    <r>
      <rPr>
        <sz val="11"/>
        <rFont val="游ゴシック Medium"/>
        <family val="3"/>
        <charset val="128"/>
      </rPr>
      <t>話</t>
    </r>
    <rPh sb="0" eb="1">
      <t>ダイ</t>
    </rPh>
    <rPh sb="3" eb="4">
      <t>ワ</t>
    </rPh>
    <phoneticPr fontId="1"/>
  </si>
  <si>
    <r>
      <t>Grover</t>
    </r>
    <r>
      <rPr>
        <sz val="11"/>
        <rFont val="游ゴシック Medium"/>
        <family val="3"/>
        <charset val="128"/>
      </rPr>
      <t>の冒険旅行</t>
    </r>
    <rPh sb="0" eb="6">
      <t>グローバー</t>
    </rPh>
    <rPh sb="7" eb="9">
      <t>ボウケン</t>
    </rPh>
    <rPh sb="9" eb="11">
      <t>リョコウ</t>
    </rPh>
    <phoneticPr fontId="1"/>
  </si>
  <si>
    <r>
      <t>The</t>
    </r>
    <r>
      <rPr>
        <sz val="11"/>
        <rFont val="游ゴシック Medium"/>
        <family val="3"/>
        <charset val="128"/>
      </rPr>
      <t>　</t>
    </r>
    <r>
      <rPr>
        <sz val="11"/>
        <rFont val="Consolas"/>
        <family val="3"/>
      </rPr>
      <t>Learning Company</t>
    </r>
    <r>
      <rPr>
        <sz val="11"/>
        <rFont val="游ゴシック Medium"/>
        <family val="3"/>
        <charset val="128"/>
      </rPr>
      <t>㈱</t>
    </r>
    <phoneticPr fontId="1"/>
  </si>
  <si>
    <r>
      <rPr>
        <sz val="11"/>
        <rFont val="游ゴシック Medium"/>
        <family val="3"/>
        <charset val="128"/>
      </rPr>
      <t>高橋春雄</t>
    </r>
    <rPh sb="0" eb="2">
      <t>タカハシ</t>
    </rPh>
    <rPh sb="2" eb="4">
      <t>ハルオ</t>
    </rPh>
    <phoneticPr fontId="1"/>
  </si>
  <si>
    <r>
      <rPr>
        <sz val="11"/>
        <rFont val="游ゴシック Medium"/>
        <family val="3"/>
        <charset val="128"/>
      </rPr>
      <t>おりがみあそび</t>
    </r>
    <phoneticPr fontId="1"/>
  </si>
  <si>
    <r>
      <rPr>
        <sz val="11"/>
        <rFont val="游ゴシック Medium"/>
        <family val="3"/>
        <charset val="128"/>
      </rPr>
      <t>有紀書房</t>
    </r>
    <rPh sb="0" eb="2">
      <t>ユキ</t>
    </rPh>
    <rPh sb="2" eb="4">
      <t>ショボウ</t>
    </rPh>
    <phoneticPr fontId="1"/>
  </si>
  <si>
    <r>
      <rPr>
        <sz val="11"/>
        <rFont val="游ゴシック Medium"/>
        <family val="3"/>
        <charset val="128"/>
      </rPr>
      <t>廃棄物から拾得</t>
    </r>
    <rPh sb="0" eb="3">
      <t>ハイキブツ</t>
    </rPh>
    <rPh sb="5" eb="7">
      <t>シュウトク</t>
    </rPh>
    <phoneticPr fontId="1"/>
  </si>
  <si>
    <r>
      <rPr>
        <sz val="11"/>
        <rFont val="游ゴシック Medium"/>
        <family val="3"/>
        <charset val="128"/>
      </rPr>
      <t>儿童折紙全</t>
    </r>
    <r>
      <rPr>
        <sz val="11"/>
        <rFont val="Consolas"/>
        <family val="3"/>
      </rPr>
      <t>*</t>
    </r>
    <rPh sb="0" eb="1">
      <t>ジン</t>
    </rPh>
    <rPh sb="1" eb="2">
      <t>ワラワ</t>
    </rPh>
    <rPh sb="2" eb="4">
      <t>オリガミ</t>
    </rPh>
    <rPh sb="4" eb="5">
      <t>ゼン</t>
    </rPh>
    <phoneticPr fontId="1"/>
  </si>
  <si>
    <r>
      <rPr>
        <sz val="11"/>
        <rFont val="游ゴシック Medium"/>
        <family val="3"/>
        <charset val="128"/>
      </rPr>
      <t>吉林美朮出版社</t>
    </r>
    <rPh sb="0" eb="1">
      <t>ヨシ</t>
    </rPh>
    <rPh sb="1" eb="2">
      <t>リン</t>
    </rPh>
    <rPh sb="2" eb="3">
      <t>ビ</t>
    </rPh>
    <rPh sb="3" eb="4">
      <t>ジュツ</t>
    </rPh>
    <rPh sb="4" eb="7">
      <t>シュッパンシャ</t>
    </rPh>
    <phoneticPr fontId="1"/>
  </si>
  <si>
    <r>
      <rPr>
        <sz val="11"/>
        <rFont val="游ゴシック Medium"/>
        <family val="3"/>
        <charset val="128"/>
      </rPr>
      <t>小堀夏世から贈呈</t>
    </r>
    <rPh sb="0" eb="2">
      <t>コボリ</t>
    </rPh>
    <rPh sb="2" eb="3">
      <t>ナツ</t>
    </rPh>
    <rPh sb="3" eb="4">
      <t>ヨ</t>
    </rPh>
    <rPh sb="6" eb="8">
      <t>ゾウテイ</t>
    </rPh>
    <phoneticPr fontId="1"/>
  </si>
  <si>
    <r>
      <rPr>
        <sz val="11"/>
        <rFont val="游ゴシック Medium"/>
        <family val="3"/>
        <charset val="128"/>
      </rPr>
      <t>小孩学画</t>
    </r>
    <r>
      <rPr>
        <sz val="11"/>
        <rFont val="Consolas"/>
        <family val="3"/>
      </rPr>
      <t xml:space="preserve"> </t>
    </r>
    <r>
      <rPr>
        <sz val="11"/>
        <rFont val="游ゴシック Medium"/>
        <family val="3"/>
        <charset val="128"/>
      </rPr>
      <t>水墨画</t>
    </r>
    <r>
      <rPr>
        <sz val="11"/>
        <rFont val="Consolas"/>
        <family val="3"/>
      </rPr>
      <t xml:space="preserve"> </t>
    </r>
    <r>
      <rPr>
        <sz val="11"/>
        <rFont val="游ゴシック Medium"/>
        <family val="3"/>
        <charset val="128"/>
      </rPr>
      <t>小小孩</t>
    </r>
    <r>
      <rPr>
        <sz val="11"/>
        <rFont val="Consolas"/>
        <family val="3"/>
      </rPr>
      <t xml:space="preserve"> </t>
    </r>
    <rPh sb="0" eb="1">
      <t>ショウ</t>
    </rPh>
    <rPh sb="1" eb="2">
      <t>カイ</t>
    </rPh>
    <rPh sb="2" eb="3">
      <t>ガク</t>
    </rPh>
    <rPh sb="3" eb="4">
      <t>ガ</t>
    </rPh>
    <rPh sb="5" eb="8">
      <t>スイボクガ</t>
    </rPh>
    <rPh sb="9" eb="10">
      <t>ショウ</t>
    </rPh>
    <rPh sb="10" eb="11">
      <t>ショウ</t>
    </rPh>
    <rPh sb="11" eb="12">
      <t>カイ</t>
    </rPh>
    <phoneticPr fontId="1"/>
  </si>
  <si>
    <r>
      <t>8.90</t>
    </r>
    <r>
      <rPr>
        <sz val="11"/>
        <rFont val="游ゴシック Medium"/>
        <family val="3"/>
        <charset val="128"/>
      </rPr>
      <t>元</t>
    </r>
    <r>
      <rPr>
        <sz val="11"/>
        <rFont val="ＭＳ Ｐゴシック"/>
        <family val="3"/>
        <charset val="128"/>
      </rPr>
      <t/>
    </r>
    <rPh sb="4" eb="5">
      <t>ゲン</t>
    </rPh>
    <phoneticPr fontId="1"/>
  </si>
  <si>
    <r>
      <rPr>
        <sz val="11"/>
        <rFont val="游ゴシック Medium"/>
        <family val="3"/>
        <charset val="128"/>
      </rPr>
      <t>小手撕紙</t>
    </r>
    <r>
      <rPr>
        <sz val="11"/>
        <rFont val="Consolas"/>
        <family val="3"/>
      </rPr>
      <t xml:space="preserve"> </t>
    </r>
    <r>
      <rPr>
        <sz val="11"/>
        <rFont val="游ゴシック Medium"/>
        <family val="3"/>
        <charset val="128"/>
      </rPr>
      <t>ちぎり絵</t>
    </r>
    <r>
      <rPr>
        <sz val="11"/>
        <rFont val="Consolas"/>
        <family val="3"/>
      </rPr>
      <t xml:space="preserve"> </t>
    </r>
    <r>
      <rPr>
        <sz val="11"/>
        <rFont val="游ゴシック Medium"/>
        <family val="3"/>
        <charset val="128"/>
      </rPr>
      <t>小小孩</t>
    </r>
    <r>
      <rPr>
        <sz val="11"/>
        <rFont val="Consolas"/>
        <family val="3"/>
      </rPr>
      <t xml:space="preserve"> </t>
    </r>
    <rPh sb="0" eb="1">
      <t>ショウ</t>
    </rPh>
    <rPh sb="1" eb="2">
      <t>シュ</t>
    </rPh>
    <rPh sb="2" eb="3">
      <t>サ</t>
    </rPh>
    <rPh sb="3" eb="4">
      <t>シ</t>
    </rPh>
    <rPh sb="8" eb="9">
      <t>エ</t>
    </rPh>
    <rPh sb="10" eb="11">
      <t>ショウ</t>
    </rPh>
    <rPh sb="11" eb="12">
      <t>ショウ</t>
    </rPh>
    <rPh sb="12" eb="13">
      <t>カイ</t>
    </rPh>
    <phoneticPr fontId="1"/>
  </si>
  <si>
    <r>
      <t>7.90</t>
    </r>
    <r>
      <rPr>
        <sz val="11"/>
        <rFont val="游ゴシック Medium"/>
        <family val="3"/>
        <charset val="128"/>
      </rPr>
      <t>元</t>
    </r>
    <rPh sb="4" eb="5">
      <t>ゲン</t>
    </rPh>
    <phoneticPr fontId="1"/>
  </si>
  <si>
    <r>
      <rPr>
        <sz val="11"/>
        <rFont val="游ゴシック Medium"/>
        <family val="3"/>
        <charset val="128"/>
      </rPr>
      <t>ワンダーリリアンで編むキュートなリリアン手芸</t>
    </r>
    <rPh sb="9" eb="10">
      <t>ア</t>
    </rPh>
    <rPh sb="20" eb="22">
      <t>シュゲイ</t>
    </rPh>
    <phoneticPr fontId="1"/>
  </si>
  <si>
    <r>
      <rPr>
        <sz val="11"/>
        <rFont val="游ゴシック Medium"/>
        <family val="3"/>
        <charset val="128"/>
      </rPr>
      <t>ブティック社</t>
    </r>
    <rPh sb="5" eb="6">
      <t>シャ</t>
    </rPh>
    <phoneticPr fontId="1"/>
  </si>
  <si>
    <r>
      <rPr>
        <sz val="11"/>
        <rFont val="游ゴシック Medium"/>
        <family val="3"/>
        <charset val="128"/>
      </rPr>
      <t>古川万里から贈呈</t>
    </r>
    <rPh sb="0" eb="2">
      <t>フルカワ</t>
    </rPh>
    <rPh sb="2" eb="4">
      <t>マリ</t>
    </rPh>
    <rPh sb="6" eb="8">
      <t>ゾウテイ</t>
    </rPh>
    <phoneticPr fontId="1"/>
  </si>
  <si>
    <r>
      <rPr>
        <strike/>
        <sz val="11"/>
        <rFont val="游ゴシック Medium"/>
        <family val="3"/>
        <charset val="128"/>
      </rPr>
      <t>古川清行</t>
    </r>
    <rPh sb="0" eb="2">
      <t>フルカワ</t>
    </rPh>
    <rPh sb="2" eb="4">
      <t>キヨユキ</t>
    </rPh>
    <phoneticPr fontId="1"/>
  </si>
  <si>
    <r>
      <rPr>
        <strike/>
        <sz val="11"/>
        <rFont val="游ゴシック Medium"/>
        <family val="3"/>
        <charset val="128"/>
      </rPr>
      <t>社会科なぜなぜ教室</t>
    </r>
    <r>
      <rPr>
        <strike/>
        <sz val="11"/>
        <rFont val="Consolas"/>
        <family val="3"/>
      </rPr>
      <t xml:space="preserve"> </t>
    </r>
    <r>
      <rPr>
        <strike/>
        <sz val="11"/>
        <rFont val="游ゴシック Medium"/>
        <family val="3"/>
        <charset val="128"/>
      </rPr>
      <t>四年</t>
    </r>
    <rPh sb="0" eb="3">
      <t>シャカイカ</t>
    </rPh>
    <rPh sb="7" eb="9">
      <t>キョウシツ</t>
    </rPh>
    <rPh sb="10" eb="12">
      <t>ヨネン</t>
    </rPh>
    <phoneticPr fontId="1"/>
  </si>
  <si>
    <r>
      <rPr>
        <strike/>
        <sz val="11"/>
        <rFont val="游ゴシック Medium"/>
        <family val="3"/>
        <charset val="128"/>
      </rPr>
      <t>四年生の質問にやさしく答えた</t>
    </r>
    <r>
      <rPr>
        <strike/>
        <sz val="11"/>
        <rFont val="Consolas"/>
        <family val="3"/>
      </rPr>
      <t>/</t>
    </r>
    <r>
      <rPr>
        <strike/>
        <sz val="11"/>
        <rFont val="游ゴシック Medium"/>
        <family val="3"/>
        <charset val="128"/>
      </rPr>
      <t>改訂版</t>
    </r>
    <rPh sb="0" eb="3">
      <t>ヨネンセイ</t>
    </rPh>
    <rPh sb="4" eb="6">
      <t>シツモン</t>
    </rPh>
    <rPh sb="11" eb="12">
      <t>コタ</t>
    </rPh>
    <rPh sb="15" eb="18">
      <t>カイテイバン</t>
    </rPh>
    <phoneticPr fontId="1"/>
  </si>
  <si>
    <r>
      <rPr>
        <strike/>
        <sz val="11"/>
        <rFont val="游ゴシック Medium"/>
        <family val="3"/>
        <charset val="128"/>
      </rPr>
      <t>講談社</t>
    </r>
    <rPh sb="0" eb="3">
      <t>コウダンシャ</t>
    </rPh>
    <phoneticPr fontId="1"/>
  </si>
  <si>
    <r>
      <rPr>
        <sz val="11"/>
        <rFont val="游ゴシック Medium"/>
        <family val="3"/>
        <charset val="128"/>
      </rPr>
      <t>画集</t>
    </r>
    <rPh sb="0" eb="2">
      <t>ガシュウ</t>
    </rPh>
    <phoneticPr fontId="1"/>
  </si>
  <si>
    <r>
      <rPr>
        <sz val="11"/>
        <rFont val="游ゴシック Medium"/>
        <family val="3"/>
        <charset val="128"/>
      </rPr>
      <t>画集</t>
    </r>
    <r>
      <rPr>
        <sz val="11"/>
        <rFont val="Consolas"/>
        <family val="3"/>
      </rPr>
      <t>/pamphlet</t>
    </r>
    <rPh sb="0" eb="2">
      <t>ガシュウ</t>
    </rPh>
    <rPh sb="3" eb="11">
      <t>パンフレット</t>
    </rPh>
    <phoneticPr fontId="1"/>
  </si>
  <si>
    <r>
      <t>foreign/</t>
    </r>
    <r>
      <rPr>
        <sz val="11"/>
        <rFont val="游ゴシック Medium"/>
        <family val="3"/>
        <charset val="128"/>
      </rPr>
      <t>身内</t>
    </r>
    <rPh sb="8" eb="10">
      <t>ミウチ</t>
    </rPh>
    <phoneticPr fontId="1"/>
  </si>
  <si>
    <r>
      <t>identite's nomades/yubokuteki shutai/</t>
    </r>
    <r>
      <rPr>
        <sz val="11"/>
        <rFont val="游ゴシック Medium"/>
        <family val="3"/>
        <charset val="128"/>
      </rPr>
      <t>遊牧的主体</t>
    </r>
    <rPh sb="37" eb="40">
      <t>ユウボクテキ</t>
    </rPh>
    <rPh sb="40" eb="42">
      <t>シュタイ</t>
    </rPh>
    <phoneticPr fontId="1"/>
  </si>
  <si>
    <r>
      <t>foreign/</t>
    </r>
    <r>
      <rPr>
        <sz val="11"/>
        <rFont val="游ゴシック Medium"/>
        <family val="3"/>
        <charset val="128"/>
      </rPr>
      <t>身内</t>
    </r>
    <r>
      <rPr>
        <sz val="11"/>
        <rFont val="Consolas"/>
        <family val="3"/>
      </rPr>
      <t>/poland</t>
    </r>
    <rPh sb="8" eb="10">
      <t>ミウチ</t>
    </rPh>
    <phoneticPr fontId="1"/>
  </si>
  <si>
    <r>
      <rPr>
        <sz val="11"/>
        <rFont val="游ゴシック Medium"/>
        <family val="3"/>
        <charset val="128"/>
      </rPr>
      <t>六人のポーランドの芸術家達</t>
    </r>
    <rPh sb="0" eb="2">
      <t>ロクニン</t>
    </rPh>
    <rPh sb="9" eb="13">
      <t>ゲイジュツカタチ</t>
    </rPh>
    <phoneticPr fontId="1"/>
  </si>
  <si>
    <r>
      <t>Good Morning Tokyo/</t>
    </r>
    <r>
      <rPr>
        <sz val="11"/>
        <rFont val="游ゴシック Medium"/>
        <family val="3"/>
        <charset val="128"/>
      </rPr>
      <t>おはよう東京</t>
    </r>
    <rPh sb="23" eb="25">
      <t>トウキョウ</t>
    </rPh>
    <phoneticPr fontId="1"/>
  </si>
  <si>
    <r>
      <t xml:space="preserve">~09/25 </t>
    </r>
    <r>
      <rPr>
        <sz val="11"/>
        <rFont val="游ゴシック Medium"/>
        <family val="3"/>
        <charset val="128"/>
      </rPr>
      <t>贈与</t>
    </r>
    <rPh sb="7" eb="9">
      <t>ゾウヨ</t>
    </rPh>
    <phoneticPr fontId="1"/>
  </si>
  <si>
    <r>
      <t>foreign/</t>
    </r>
    <r>
      <rPr>
        <sz val="11"/>
        <rFont val="游ゴシック Medium"/>
        <family val="3"/>
        <charset val="128"/>
      </rPr>
      <t>身内</t>
    </r>
    <r>
      <rPr>
        <sz val="11"/>
        <rFont val="Consolas"/>
        <family val="3"/>
      </rPr>
      <t>/japan</t>
    </r>
    <rPh sb="8" eb="10">
      <t>ミウチ</t>
    </rPh>
    <phoneticPr fontId="1"/>
  </si>
  <si>
    <r>
      <t>MMAC</t>
    </r>
    <r>
      <rPr>
        <sz val="11"/>
        <rFont val="游ゴシック Medium"/>
        <family val="3"/>
        <charset val="128"/>
      </rPr>
      <t>十周年記念</t>
    </r>
    <r>
      <rPr>
        <sz val="11"/>
        <rFont val="Consolas"/>
        <family val="3"/>
      </rPr>
      <t xml:space="preserve"> special issue</t>
    </r>
    <rPh sb="4" eb="7">
      <t>ジッシュウネン</t>
    </rPh>
    <rPh sb="7" eb="9">
      <t>キネン</t>
    </rPh>
    <phoneticPr fontId="1"/>
  </si>
  <si>
    <r>
      <rPr>
        <sz val="11"/>
        <rFont val="游ゴシック Medium"/>
        <family val="3"/>
        <charset val="128"/>
      </rPr>
      <t>古川万里から</t>
    </r>
    <rPh sb="0" eb="2">
      <t>フルカワ</t>
    </rPh>
    <rPh sb="2" eb="4">
      <t>マリ</t>
    </rPh>
    <phoneticPr fontId="1"/>
  </si>
  <si>
    <r>
      <rPr>
        <sz val="11"/>
        <rFont val="游ゴシック Medium"/>
        <family val="3"/>
        <charset val="128"/>
      </rPr>
      <t>斎藤昌子</t>
    </r>
    <rPh sb="0" eb="2">
      <t>サイトウ</t>
    </rPh>
    <rPh sb="2" eb="4">
      <t>マサコ</t>
    </rPh>
    <phoneticPr fontId="1"/>
  </si>
  <si>
    <r>
      <rPr>
        <sz val="11"/>
        <rFont val="游ゴシック Medium"/>
        <family val="3"/>
        <charset val="128"/>
      </rPr>
      <t>Ｎ市の風景</t>
    </r>
    <rPh sb="1" eb="2">
      <t>シ</t>
    </rPh>
    <rPh sb="3" eb="5">
      <t>フウケイ</t>
    </rPh>
    <phoneticPr fontId="1"/>
  </si>
  <si>
    <r>
      <rPr>
        <sz val="11"/>
        <rFont val="游ゴシック Medium"/>
        <family val="3"/>
        <charset val="128"/>
      </rPr>
      <t>オフィス･ツルカメ</t>
    </r>
    <phoneticPr fontId="1"/>
  </si>
  <si>
    <r>
      <rPr>
        <sz val="11"/>
        <rFont val="游ゴシック Medium"/>
        <family val="3"/>
        <charset val="128"/>
      </rPr>
      <t>斎藤真一</t>
    </r>
    <rPh sb="0" eb="2">
      <t>サイトウ</t>
    </rPh>
    <rPh sb="2" eb="4">
      <t>シンイチ</t>
    </rPh>
    <phoneticPr fontId="1"/>
  </si>
  <si>
    <r>
      <rPr>
        <sz val="11"/>
        <rFont val="游ゴシック Medium"/>
        <family val="3"/>
        <charset val="128"/>
      </rPr>
      <t>明治吉原細見記</t>
    </r>
    <rPh sb="0" eb="2">
      <t>メイジ</t>
    </rPh>
    <rPh sb="2" eb="4">
      <t>ヨシワラ</t>
    </rPh>
    <rPh sb="4" eb="6">
      <t>サイケン</t>
    </rPh>
    <rPh sb="6" eb="7">
      <t>キ</t>
    </rPh>
    <phoneticPr fontId="1"/>
  </si>
  <si>
    <r>
      <rPr>
        <sz val="11"/>
        <rFont val="游ゴシック Medium"/>
        <family val="3"/>
        <charset val="128"/>
      </rPr>
      <t>池袋古書館</t>
    </r>
    <r>
      <rPr>
        <sz val="11"/>
        <rFont val="Consolas"/>
        <family val="3"/>
      </rPr>
      <t>/</t>
    </r>
    <r>
      <rPr>
        <sz val="11"/>
        <rFont val="游ゴシック Medium"/>
        <family val="3"/>
        <charset val="128"/>
      </rPr>
      <t>有限会社</t>
    </r>
    <r>
      <rPr>
        <sz val="11"/>
        <rFont val="Consolas"/>
        <family val="3"/>
      </rPr>
      <t>/2F</t>
    </r>
    <rPh sb="0" eb="2">
      <t>イケブクロ</t>
    </rPh>
    <rPh sb="2" eb="4">
      <t>コショ</t>
    </rPh>
    <rPh sb="4" eb="5">
      <t>カン</t>
    </rPh>
    <rPh sb="6" eb="10">
      <t>ユウゲンガイシャ</t>
    </rPh>
    <phoneticPr fontId="1"/>
  </si>
  <si>
    <r>
      <rPr>
        <sz val="11"/>
        <rFont val="游ゴシック Medium"/>
        <family val="3"/>
        <charset val="128"/>
      </rPr>
      <t>宮島永太良</t>
    </r>
    <rPh sb="0" eb="2">
      <t>ミヤジマ</t>
    </rPh>
    <rPh sb="2" eb="5">
      <t>エイタロウ</t>
    </rPh>
    <phoneticPr fontId="1"/>
  </si>
  <si>
    <r>
      <t>Hakken Art Museum/</t>
    </r>
    <r>
      <rPr>
        <sz val="11"/>
        <rFont val="游ゴシック Medium"/>
        <family val="3"/>
        <charset val="128"/>
      </rPr>
      <t>発見美術館</t>
    </r>
    <r>
      <rPr>
        <sz val="11"/>
        <rFont val="Consolas"/>
        <family val="3"/>
      </rPr>
      <t>/</t>
    </r>
    <r>
      <rPr>
        <sz val="11"/>
        <rFont val="游ゴシック Medium"/>
        <family val="3"/>
        <charset val="128"/>
      </rPr>
      <t>美の巨匠たちと、その世界</t>
    </r>
    <rPh sb="18" eb="20">
      <t>ハッケン</t>
    </rPh>
    <rPh sb="20" eb="23">
      <t>ビジュツカン</t>
    </rPh>
    <rPh sb="24" eb="25">
      <t>ビ</t>
    </rPh>
    <rPh sb="26" eb="28">
      <t>キョショウ</t>
    </rPh>
    <rPh sb="34" eb="36">
      <t>セカイ</t>
    </rPh>
    <phoneticPr fontId="1"/>
  </si>
  <si>
    <r>
      <rPr>
        <sz val="11"/>
        <rFont val="游ゴシック Medium"/>
        <family val="3"/>
        <charset val="128"/>
      </rPr>
      <t>ライト</t>
    </r>
    <phoneticPr fontId="1"/>
  </si>
  <si>
    <r>
      <rPr>
        <sz val="11"/>
        <rFont val="游ゴシック Medium"/>
        <family val="3"/>
        <charset val="128"/>
      </rPr>
      <t>八田</t>
    </r>
    <r>
      <rPr>
        <sz val="11"/>
        <rFont val="Consolas"/>
        <family val="3"/>
      </rPr>
      <t xml:space="preserve"> </t>
    </r>
    <r>
      <rPr>
        <sz val="11"/>
        <rFont val="游ゴシック Medium"/>
        <family val="3"/>
        <charset val="128"/>
      </rPr>
      <t>淳</t>
    </r>
    <rPh sb="0" eb="2">
      <t>ハッタ</t>
    </rPh>
    <rPh sb="3" eb="4">
      <t>ジュン</t>
    </rPh>
    <phoneticPr fontId="1"/>
  </si>
  <si>
    <r>
      <rPr>
        <sz val="11"/>
        <rFont val="游ゴシック Medium"/>
        <family val="3"/>
        <charset val="128"/>
      </rPr>
      <t>フジ借形</t>
    </r>
    <rPh sb="2" eb="4">
      <t>シャクケイ</t>
    </rPh>
    <phoneticPr fontId="1"/>
  </si>
  <si>
    <r>
      <rPr>
        <sz val="11"/>
        <rFont val="游ゴシック Medium"/>
        <family val="3"/>
        <charset val="128"/>
      </rPr>
      <t>贈呈、しかも</t>
    </r>
    <r>
      <rPr>
        <sz val="11"/>
        <rFont val="Consolas"/>
        <family val="3"/>
      </rPr>
      <t>3</t>
    </r>
    <r>
      <rPr>
        <sz val="11"/>
        <rFont val="游ゴシック Medium"/>
        <family val="3"/>
        <charset val="128"/>
      </rPr>
      <t>冊</t>
    </r>
    <rPh sb="0" eb="2">
      <t>ゾウテイ</t>
    </rPh>
    <rPh sb="7" eb="8">
      <t>サツ</t>
    </rPh>
    <phoneticPr fontId="1"/>
  </si>
  <si>
    <r>
      <rPr>
        <sz val="11"/>
        <rFont val="游ゴシック Medium"/>
        <family val="3"/>
        <charset val="128"/>
      </rPr>
      <t>同人誌</t>
    </r>
    <rPh sb="0" eb="3">
      <t>ドウジンシ</t>
    </rPh>
    <phoneticPr fontId="1"/>
  </si>
  <si>
    <r>
      <rPr>
        <sz val="11"/>
        <rFont val="游ゴシック Medium"/>
        <family val="3"/>
        <charset val="128"/>
      </rPr>
      <t>ふたば工房</t>
    </r>
    <rPh sb="3" eb="5">
      <t>コウボウ</t>
    </rPh>
    <phoneticPr fontId="1"/>
  </si>
  <si>
    <r>
      <rPr>
        <sz val="11"/>
        <rFont val="游ゴシック Medium"/>
        <family val="3"/>
        <charset val="128"/>
      </rPr>
      <t>本人から</t>
    </r>
    <r>
      <rPr>
        <sz val="11"/>
        <rFont val="Consolas"/>
        <family val="3"/>
      </rPr>
      <t>?</t>
    </r>
    <rPh sb="0" eb="2">
      <t>ホンニン</t>
    </rPh>
    <phoneticPr fontId="1"/>
  </si>
  <si>
    <r>
      <rPr>
        <sz val="11"/>
        <rFont val="游ゴシック Medium"/>
        <family val="3"/>
        <charset val="128"/>
      </rPr>
      <t>贈呈</t>
    </r>
    <r>
      <rPr>
        <sz val="11"/>
        <rFont val="Consolas"/>
        <family val="3"/>
      </rPr>
      <t>?</t>
    </r>
    <rPh sb="0" eb="2">
      <t>ゾウテイ</t>
    </rPh>
    <phoneticPr fontId="1"/>
  </si>
  <si>
    <r>
      <rPr>
        <sz val="11"/>
        <rFont val="游ゴシック Medium"/>
        <family val="3"/>
        <charset val="128"/>
      </rPr>
      <t>スペッキヲ</t>
    </r>
    <r>
      <rPr>
        <sz val="11"/>
        <rFont val="Consolas"/>
        <family val="3"/>
      </rPr>
      <t>53</t>
    </r>
    <phoneticPr fontId="1"/>
  </si>
  <si>
    <r>
      <rPr>
        <sz val="11"/>
        <rFont val="游ゴシック Medium"/>
        <family val="3"/>
        <charset val="128"/>
      </rPr>
      <t>スペッキヲの会</t>
    </r>
    <rPh sb="6" eb="7">
      <t>カイ</t>
    </rPh>
    <phoneticPr fontId="1"/>
  </si>
  <si>
    <r>
      <rPr>
        <sz val="11"/>
        <rFont val="游ゴシック Medium"/>
        <family val="3"/>
        <charset val="128"/>
      </rPr>
      <t>野毛</t>
    </r>
    <r>
      <rPr>
        <sz val="11"/>
        <rFont val="Consolas"/>
        <family val="3"/>
      </rPr>
      <t xml:space="preserve"> </t>
    </r>
    <r>
      <rPr>
        <sz val="11"/>
        <rFont val="游ゴシック Medium"/>
        <family val="3"/>
        <charset val="128"/>
      </rPr>
      <t>風太郎</t>
    </r>
    <rPh sb="0" eb="2">
      <t>ノゲ</t>
    </rPh>
    <rPh sb="3" eb="6">
      <t>フウタロウ</t>
    </rPh>
    <phoneticPr fontId="1"/>
  </si>
  <si>
    <r>
      <rPr>
        <sz val="11"/>
        <rFont val="游ゴシック Medium"/>
        <family val="3"/>
        <charset val="128"/>
      </rPr>
      <t>横浜・野毛大道芝居の日々</t>
    </r>
    <rPh sb="0" eb="2">
      <t>ヨコハマ</t>
    </rPh>
    <rPh sb="3" eb="5">
      <t>ノゲ</t>
    </rPh>
    <rPh sb="5" eb="7">
      <t>ダイドウ</t>
    </rPh>
    <rPh sb="7" eb="9">
      <t>シバイ</t>
    </rPh>
    <rPh sb="10" eb="12">
      <t>ヒビ</t>
    </rPh>
    <phoneticPr fontId="1"/>
  </si>
  <si>
    <r>
      <rPr>
        <sz val="11"/>
        <rFont val="游ゴシック Medium"/>
        <family val="3"/>
        <charset val="128"/>
      </rPr>
      <t>山中企画</t>
    </r>
    <r>
      <rPr>
        <sz val="11"/>
        <rFont val="Consolas"/>
        <family val="3"/>
      </rPr>
      <t>/</t>
    </r>
    <r>
      <rPr>
        <sz val="11"/>
        <rFont val="游ゴシック Medium"/>
        <family val="3"/>
        <charset val="128"/>
      </rPr>
      <t>星雲社</t>
    </r>
    <rPh sb="0" eb="4">
      <t>ヤマナカキカク</t>
    </rPh>
    <rPh sb="5" eb="8">
      <t>セイウンシャ</t>
    </rPh>
    <phoneticPr fontId="1"/>
  </si>
  <si>
    <r>
      <rPr>
        <sz val="11"/>
        <rFont val="游ゴシック Medium"/>
        <family val="3"/>
        <charset val="128"/>
      </rPr>
      <t>新書</t>
    </r>
    <rPh sb="0" eb="2">
      <t>シンショ</t>
    </rPh>
    <phoneticPr fontId="1"/>
  </si>
  <si>
    <r>
      <rPr>
        <sz val="11"/>
        <rFont val="游ゴシック Medium"/>
        <family val="3"/>
        <charset val="128"/>
      </rPr>
      <t>秋山祐徳太子</t>
    </r>
    <rPh sb="0" eb="2">
      <t>アキヤマ</t>
    </rPh>
    <rPh sb="2" eb="6">
      <t>ユウトクタイシ</t>
    </rPh>
    <phoneticPr fontId="1"/>
  </si>
  <si>
    <r>
      <rPr>
        <sz val="11"/>
        <rFont val="游ゴシック Medium"/>
        <family val="3"/>
        <charset val="128"/>
      </rPr>
      <t>現代美術家</t>
    </r>
    <rPh sb="0" eb="5">
      <t>ゲンダイビジュツカ</t>
    </rPh>
    <phoneticPr fontId="1"/>
  </si>
  <si>
    <r>
      <rPr>
        <sz val="11"/>
        <rFont val="游ゴシック Medium"/>
        <family val="3"/>
        <charset val="128"/>
      </rPr>
      <t>赤瀬川原平</t>
    </r>
    <rPh sb="0" eb="3">
      <t>アカセガワ</t>
    </rPh>
    <rPh sb="3" eb="5">
      <t>ゲンペイ</t>
    </rPh>
    <phoneticPr fontId="1"/>
  </si>
  <si>
    <r>
      <rPr>
        <sz val="11"/>
        <rFont val="游ゴシック Medium"/>
        <family val="3"/>
        <charset val="128"/>
      </rPr>
      <t>巻末「</t>
    </r>
    <r>
      <rPr>
        <sz val="11"/>
        <rFont val="Consolas"/>
        <family val="3"/>
      </rPr>
      <t>R70</t>
    </r>
    <r>
      <rPr>
        <sz val="11"/>
        <rFont val="游ゴシック Medium"/>
        <family val="3"/>
        <charset val="128"/>
      </rPr>
      <t>指定」対談</t>
    </r>
    <rPh sb="0" eb="2">
      <t>カンマツ</t>
    </rPh>
    <rPh sb="6" eb="8">
      <t>シテイ</t>
    </rPh>
    <rPh sb="9" eb="11">
      <t>タイダン</t>
    </rPh>
    <phoneticPr fontId="1"/>
  </si>
  <si>
    <r>
      <rPr>
        <sz val="11"/>
        <rFont val="游ゴシック Medium"/>
        <family val="3"/>
        <charset val="128"/>
      </rPr>
      <t>天然老人</t>
    </r>
    <r>
      <rPr>
        <sz val="11"/>
        <rFont val="Consolas"/>
        <family val="3"/>
      </rPr>
      <t xml:space="preserve"> </t>
    </r>
    <r>
      <rPr>
        <sz val="11"/>
        <rFont val="游ゴシック Medium"/>
        <family val="3"/>
        <charset val="128"/>
      </rPr>
      <t>こんなに楽しい独居生活</t>
    </r>
    <rPh sb="0" eb="2">
      <t>テンネン</t>
    </rPh>
    <rPh sb="2" eb="4">
      <t>ロウジン</t>
    </rPh>
    <rPh sb="9" eb="10">
      <t>タノ</t>
    </rPh>
    <rPh sb="12" eb="14">
      <t>ドッキョ</t>
    </rPh>
    <rPh sb="14" eb="16">
      <t>セイカツ</t>
    </rPh>
    <phoneticPr fontId="1"/>
  </si>
  <si>
    <r>
      <rPr>
        <sz val="11"/>
        <rFont val="游ゴシック Medium"/>
        <family val="3"/>
        <charset val="128"/>
      </rPr>
      <t>アスキー新書</t>
    </r>
    <r>
      <rPr>
        <sz val="11"/>
        <rFont val="Consolas"/>
        <family val="3"/>
      </rPr>
      <t>/</t>
    </r>
    <r>
      <rPr>
        <sz val="11"/>
        <rFont val="游ゴシック Medium"/>
        <family val="3"/>
        <charset val="128"/>
      </rPr>
      <t>アスキー・メディアワークス</t>
    </r>
    <rPh sb="4" eb="6">
      <t>シンショ</t>
    </rPh>
    <phoneticPr fontId="1"/>
  </si>
  <si>
    <r>
      <rPr>
        <sz val="11"/>
        <rFont val="游ゴシック Medium"/>
        <family val="3"/>
        <charset val="128"/>
      </rPr>
      <t>共鳴する場へ</t>
    </r>
    <r>
      <rPr>
        <sz val="11"/>
        <rFont val="Consolas"/>
        <family val="3"/>
      </rPr>
      <t>/Cre'er un lieu qui re'sonne/Without Identity, Without Frontier</t>
    </r>
    <rPh sb="0" eb="2">
      <t>キョウメイ</t>
    </rPh>
    <rPh sb="4" eb="5">
      <t>バ</t>
    </rPh>
    <phoneticPr fontId="1"/>
  </si>
  <si>
    <r>
      <rPr>
        <sz val="11"/>
        <rFont val="游ゴシック Medium"/>
        <family val="3"/>
        <charset val="128"/>
      </rPr>
      <t>芸術計画</t>
    </r>
    <r>
      <rPr>
        <sz val="11"/>
        <rFont val="Consolas"/>
        <family val="3"/>
      </rPr>
      <t>Z</t>
    </r>
    <r>
      <rPr>
        <sz val="11"/>
        <rFont val="游ゴシック Medium"/>
        <family val="3"/>
        <charset val="128"/>
      </rPr>
      <t>･</t>
    </r>
    <r>
      <rPr>
        <sz val="11"/>
        <rFont val="Consolas"/>
        <family val="3"/>
      </rPr>
      <t>A</t>
    </r>
    <rPh sb="0" eb="2">
      <t>ゲイジュツ</t>
    </rPh>
    <rPh sb="2" eb="4">
      <t>ケイカク</t>
    </rPh>
    <phoneticPr fontId="1"/>
  </si>
  <si>
    <r>
      <rPr>
        <sz val="11"/>
        <rFont val="游ゴシック Medium"/>
        <family val="3"/>
        <charset val="128"/>
      </rPr>
      <t>島村宗充から</t>
    </r>
    <rPh sb="0" eb="2">
      <t>シマムラ</t>
    </rPh>
    <rPh sb="2" eb="4">
      <t>ムネミツ</t>
    </rPh>
    <phoneticPr fontId="1"/>
  </si>
  <si>
    <r>
      <rPr>
        <sz val="11"/>
        <rFont val="游ゴシック Medium"/>
        <family val="3"/>
        <charset val="128"/>
      </rPr>
      <t>本人</t>
    </r>
    <rPh sb="0" eb="2">
      <t>ホンニン</t>
    </rPh>
    <phoneticPr fontId="1"/>
  </si>
  <si>
    <r>
      <t>2008 Exhibition of a New Asian Jump/</t>
    </r>
    <r>
      <rPr>
        <sz val="11"/>
        <rFont val="游ゴシック Medium"/>
        <family val="3"/>
        <charset val="128"/>
      </rPr>
      <t>亞細亞跳躍展</t>
    </r>
    <rPh sb="36" eb="39">
      <t>アジア</t>
    </rPh>
    <rPh sb="39" eb="41">
      <t>チョウヤク</t>
    </rPh>
    <rPh sb="41" eb="42">
      <t>テン</t>
    </rPh>
    <phoneticPr fontId="1"/>
  </si>
  <si>
    <r>
      <t>SILK GALLERY/</t>
    </r>
    <r>
      <rPr>
        <sz val="11"/>
        <rFont val="游ゴシック Medium"/>
        <family val="3"/>
        <charset val="128"/>
      </rPr>
      <t>駐韓日本大使館広報文化院</t>
    </r>
    <rPh sb="13" eb="15">
      <t>チュウカン</t>
    </rPh>
    <rPh sb="15" eb="17">
      <t>ニホン</t>
    </rPh>
    <rPh sb="17" eb="20">
      <t>タイシカン</t>
    </rPh>
    <rPh sb="20" eb="22">
      <t>コウホウ</t>
    </rPh>
    <rPh sb="22" eb="24">
      <t>ブンカ</t>
    </rPh>
    <rPh sb="24" eb="25">
      <t>イン</t>
    </rPh>
    <phoneticPr fontId="1"/>
  </si>
  <si>
    <r>
      <t xml:space="preserve">2008 Busan International Modern Indian Ink Painting Exhibition / 2008 </t>
    </r>
    <r>
      <rPr>
        <sz val="11"/>
        <rFont val="游ゴシック Medium"/>
        <family val="3"/>
        <charset val="128"/>
      </rPr>
      <t>釜山國際現代水墨画展</t>
    </r>
    <rPh sb="70" eb="72">
      <t>プサン</t>
    </rPh>
    <rPh sb="72" eb="73">
      <t>クニ</t>
    </rPh>
    <rPh sb="73" eb="74">
      <t>サイ</t>
    </rPh>
    <rPh sb="74" eb="76">
      <t>ゲンダイ</t>
    </rPh>
    <rPh sb="76" eb="79">
      <t>スイボクガ</t>
    </rPh>
    <rPh sb="79" eb="80">
      <t>テン</t>
    </rPh>
    <phoneticPr fontId="1"/>
  </si>
  <si>
    <r>
      <rPr>
        <sz val="11"/>
        <rFont val="游ゴシック Medium"/>
        <family val="3"/>
        <charset val="128"/>
      </rPr>
      <t>鄭璟娟</t>
    </r>
    <r>
      <rPr>
        <sz val="11"/>
        <rFont val="Consolas"/>
        <family val="3"/>
      </rPr>
      <t>/Chung,Kyoung-Yeon</t>
    </r>
    <rPh sb="0" eb="1">
      <t>テイ</t>
    </rPh>
    <rPh sb="1" eb="2">
      <t>ケイ</t>
    </rPh>
    <rPh sb="2" eb="3">
      <t>エン</t>
    </rPh>
    <phoneticPr fontId="1"/>
  </si>
  <si>
    <r>
      <t>Ancient Futures / cau / 2008 Korea</t>
    </r>
    <r>
      <rPr>
        <sz val="11"/>
        <rFont val="游ゴシック Medium"/>
        <family val="3"/>
        <charset val="128"/>
      </rPr>
      <t>・</t>
    </r>
    <r>
      <rPr>
        <sz val="11"/>
        <rFont val="Consolas"/>
        <family val="3"/>
      </rPr>
      <t>Japan Modern Art Exchange Exhibition</t>
    </r>
    <phoneticPr fontId="1"/>
  </si>
  <si>
    <r>
      <rPr>
        <sz val="11"/>
        <rFont val="游ゴシック Medium"/>
        <family val="3"/>
        <charset val="128"/>
      </rPr>
      <t>日韓現代美術祭</t>
    </r>
    <rPh sb="0" eb="2">
      <t>ニッカン</t>
    </rPh>
    <rPh sb="2" eb="4">
      <t>ゲンダイ</t>
    </rPh>
    <rPh sb="4" eb="6">
      <t>ビジュツ</t>
    </rPh>
    <rPh sb="6" eb="7">
      <t>サイ</t>
    </rPh>
    <phoneticPr fontId="1"/>
  </si>
  <si>
    <r>
      <rPr>
        <sz val="11"/>
        <rFont val="游ゴシック Medium"/>
        <family val="3"/>
        <charset val="128"/>
      </rPr>
      <t>高橋</t>
    </r>
    <r>
      <rPr>
        <sz val="11"/>
        <rFont val="Consolas"/>
        <family val="3"/>
      </rPr>
      <t xml:space="preserve"> </t>
    </r>
    <r>
      <rPr>
        <sz val="11"/>
        <rFont val="游ゴシック Medium"/>
        <family val="3"/>
        <charset val="128"/>
      </rPr>
      <t>勝</t>
    </r>
    <rPh sb="0" eb="2">
      <t>タカハシ</t>
    </rPh>
    <rPh sb="3" eb="4">
      <t>マサル</t>
    </rPh>
    <phoneticPr fontId="1"/>
  </si>
  <si>
    <r>
      <t>10</t>
    </r>
    <r>
      <rPr>
        <sz val="11"/>
        <rFont val="游ゴシック Medium"/>
        <family val="3"/>
        <charset val="128"/>
      </rPr>
      <t>月の海風</t>
    </r>
    <rPh sb="2" eb="3">
      <t>ガツ</t>
    </rPh>
    <rPh sb="4" eb="6">
      <t>ウミカゼ</t>
    </rPh>
    <phoneticPr fontId="1"/>
  </si>
  <si>
    <r>
      <rPr>
        <sz val="11"/>
        <rFont val="游ゴシック Medium"/>
        <family val="3"/>
        <charset val="128"/>
      </rPr>
      <t>韓日友情年</t>
    </r>
    <r>
      <rPr>
        <sz val="11"/>
        <rFont val="Consolas"/>
        <family val="3"/>
      </rPr>
      <t>2005</t>
    </r>
    <rPh sb="0" eb="2">
      <t>カンニチ</t>
    </rPh>
    <rPh sb="2" eb="4">
      <t>ユウジョウ</t>
    </rPh>
    <rPh sb="4" eb="5">
      <t>ネン</t>
    </rPh>
    <phoneticPr fontId="1"/>
  </si>
  <si>
    <r>
      <rPr>
        <sz val="11"/>
        <rFont val="游ゴシック Medium"/>
        <family val="3"/>
        <charset val="128"/>
      </rPr>
      <t>釜山文化会館</t>
    </r>
    <rPh sb="0" eb="2">
      <t>プサン</t>
    </rPh>
    <rPh sb="2" eb="4">
      <t>ブンカ</t>
    </rPh>
    <rPh sb="4" eb="6">
      <t>カイカン</t>
    </rPh>
    <phoneticPr fontId="1"/>
  </si>
  <si>
    <r>
      <rPr>
        <sz val="11"/>
        <rFont val="游ゴシック Medium"/>
        <family val="3"/>
        <charset val="128"/>
      </rPr>
      <t>日韓</t>
    </r>
    <r>
      <rPr>
        <sz val="11"/>
        <rFont val="Consolas"/>
        <family val="3"/>
      </rPr>
      <t xml:space="preserve"> </t>
    </r>
    <r>
      <rPr>
        <sz val="11"/>
        <rFont val="游ゴシック Medium"/>
        <family val="3"/>
        <charset val="128"/>
      </rPr>
      <t>現代</t>
    </r>
    <r>
      <rPr>
        <sz val="11"/>
        <rFont val="Consolas"/>
        <family val="3"/>
      </rPr>
      <t xml:space="preserve"> </t>
    </r>
    <r>
      <rPr>
        <sz val="11"/>
        <rFont val="游ゴシック Medium"/>
        <family val="3"/>
        <charset val="128"/>
      </rPr>
      <t>絵画</t>
    </r>
    <r>
      <rPr>
        <sz val="11"/>
        <rFont val="Consolas"/>
        <family val="3"/>
      </rPr>
      <t xml:space="preserve"> </t>
    </r>
    <r>
      <rPr>
        <sz val="11"/>
        <rFont val="游ゴシック Medium"/>
        <family val="3"/>
        <charset val="128"/>
      </rPr>
      <t>交流</t>
    </r>
    <r>
      <rPr>
        <sz val="11"/>
        <rFont val="Consolas"/>
        <family val="3"/>
      </rPr>
      <t xml:space="preserve"> </t>
    </r>
    <r>
      <rPr>
        <sz val="11"/>
        <rFont val="游ゴシック Medium"/>
        <family val="3"/>
        <charset val="128"/>
      </rPr>
      <t>展</t>
    </r>
    <rPh sb="0" eb="2">
      <t>ニッカン</t>
    </rPh>
    <rPh sb="3" eb="5">
      <t>ゲンダイ</t>
    </rPh>
    <rPh sb="6" eb="8">
      <t>カイガ</t>
    </rPh>
    <rPh sb="9" eb="11">
      <t>コウリュウ</t>
    </rPh>
    <rPh sb="12" eb="13">
      <t>テン</t>
    </rPh>
    <phoneticPr fontId="1"/>
  </si>
  <si>
    <r>
      <rPr>
        <sz val="11"/>
        <rFont val="游ゴシック Medium"/>
        <family val="3"/>
        <charset val="128"/>
      </rPr>
      <t>第</t>
    </r>
    <r>
      <rPr>
        <sz val="11"/>
        <rFont val="Consolas"/>
        <family val="3"/>
      </rPr>
      <t>10</t>
    </r>
    <r>
      <rPr>
        <sz val="11"/>
        <rFont val="游ゴシック Medium"/>
        <family val="3"/>
        <charset val="128"/>
      </rPr>
      <t>回日韓現代美術交流展</t>
    </r>
    <rPh sb="0" eb="1">
      <t>ダイ</t>
    </rPh>
    <rPh sb="3" eb="4">
      <t>カイ</t>
    </rPh>
    <rPh sb="4" eb="6">
      <t>ニッカン</t>
    </rPh>
    <rPh sb="6" eb="8">
      <t>ゲンダイ</t>
    </rPh>
    <rPh sb="8" eb="10">
      <t>ビジュツ</t>
    </rPh>
    <rPh sb="10" eb="12">
      <t>コウリュウ</t>
    </rPh>
    <rPh sb="12" eb="13">
      <t>テン</t>
    </rPh>
    <phoneticPr fontId="1"/>
  </si>
  <si>
    <r>
      <t>2007 Japan</t>
    </r>
    <r>
      <rPr>
        <sz val="11"/>
        <rFont val="游ゴシック Medium"/>
        <family val="3"/>
        <charset val="128"/>
      </rPr>
      <t>・</t>
    </r>
    <r>
      <rPr>
        <sz val="11"/>
        <rFont val="Consolas"/>
        <family val="3"/>
      </rPr>
      <t>korea contemporary art festival in SENDAI</t>
    </r>
    <phoneticPr fontId="1"/>
  </si>
  <si>
    <r>
      <rPr>
        <sz val="11"/>
        <rFont val="游ゴシック Medium"/>
        <family val="3"/>
        <charset val="128"/>
      </rPr>
      <t>四十二手</t>
    </r>
    <r>
      <rPr>
        <sz val="11"/>
        <rFont val="Consolas"/>
        <family val="3"/>
      </rPr>
      <t xml:space="preserve"> </t>
    </r>
    <r>
      <rPr>
        <sz val="11"/>
        <rFont val="游ゴシック Medium"/>
        <family val="3"/>
        <charset val="128"/>
      </rPr>
      <t>眞言</t>
    </r>
    <rPh sb="0" eb="3">
      <t>シジュウニ</t>
    </rPh>
    <rPh sb="3" eb="4">
      <t>シュ</t>
    </rPh>
    <rPh sb="5" eb="7">
      <t>シンゴン</t>
    </rPh>
    <phoneticPr fontId="1"/>
  </si>
  <si>
    <r>
      <rPr>
        <sz val="11"/>
        <rFont val="游ゴシック Medium"/>
        <family val="3"/>
        <charset val="128"/>
      </rPr>
      <t>蔚山</t>
    </r>
    <rPh sb="0" eb="2">
      <t>ウルサン</t>
    </rPh>
    <phoneticPr fontId="1"/>
  </si>
  <si>
    <r>
      <rPr>
        <sz val="11"/>
        <rFont val="游ゴシック Medium"/>
        <family val="3"/>
        <charset val="128"/>
      </rPr>
      <t>新聞</t>
    </r>
    <rPh sb="0" eb="2">
      <t>シンブン</t>
    </rPh>
    <phoneticPr fontId="1"/>
  </si>
  <si>
    <r>
      <rPr>
        <sz val="11"/>
        <rFont val="游ゴシック Medium"/>
        <family val="3"/>
        <charset val="128"/>
      </rPr>
      <t>記事掲載。</t>
    </r>
    <r>
      <rPr>
        <sz val="11"/>
        <rFont val="Consolas"/>
        <family val="3"/>
      </rPr>
      <t>2005 Korea Japan contemporary art festival in ULSAN</t>
    </r>
    <rPh sb="0" eb="2">
      <t>キジ</t>
    </rPh>
    <rPh sb="2" eb="4">
      <t>ケイサイ</t>
    </rPh>
    <phoneticPr fontId="1"/>
  </si>
  <si>
    <r>
      <t>26th International Impact art festival 2005/</t>
    </r>
    <r>
      <rPr>
        <sz val="11"/>
        <rFont val="游ゴシック Medium"/>
        <family val="3"/>
        <charset val="128"/>
      </rPr>
      <t>第</t>
    </r>
    <r>
      <rPr>
        <sz val="11"/>
        <rFont val="Consolas"/>
        <family val="3"/>
      </rPr>
      <t>26</t>
    </r>
    <r>
      <rPr>
        <sz val="11"/>
        <rFont val="游ゴシック Medium"/>
        <family val="3"/>
        <charset val="128"/>
      </rPr>
      <t>回インパクトアートフェスティバル</t>
    </r>
    <r>
      <rPr>
        <sz val="11"/>
        <rFont val="Consolas"/>
        <family val="3"/>
      </rPr>
      <t xml:space="preserve"> 2005</t>
    </r>
    <rPh sb="44" eb="45">
      <t>ダイ</t>
    </rPh>
    <rPh sb="47" eb="48">
      <t>カイ</t>
    </rPh>
    <phoneticPr fontId="1"/>
  </si>
  <si>
    <r>
      <rPr>
        <sz val="11"/>
        <rFont val="游ゴシック Medium"/>
        <family val="3"/>
        <charset val="128"/>
      </rPr>
      <t>京都国際芸術センター</t>
    </r>
    <rPh sb="0" eb="2">
      <t>キョウト</t>
    </rPh>
    <rPh sb="2" eb="4">
      <t>コクサイ</t>
    </rPh>
    <rPh sb="4" eb="6">
      <t>ゲイジュツ</t>
    </rPh>
    <phoneticPr fontId="1"/>
  </si>
  <si>
    <r>
      <rPr>
        <sz val="11"/>
        <rFont val="游ゴシック Medium"/>
        <family val="3"/>
        <charset val="128"/>
      </rPr>
      <t>郭</t>
    </r>
    <r>
      <rPr>
        <sz val="11"/>
        <rFont val="Consolas"/>
        <family val="3"/>
      </rPr>
      <t xml:space="preserve"> </t>
    </r>
    <r>
      <rPr>
        <sz val="11"/>
        <rFont val="游ゴシック Medium"/>
        <family val="3"/>
        <charset val="128"/>
      </rPr>
      <t>徳俊から</t>
    </r>
    <rPh sb="0" eb="1">
      <t>カク</t>
    </rPh>
    <rPh sb="2" eb="4">
      <t>トクジュン</t>
    </rPh>
    <phoneticPr fontId="1"/>
  </si>
  <si>
    <r>
      <t>27th International Impact art festival 2006/</t>
    </r>
    <r>
      <rPr>
        <sz val="11"/>
        <rFont val="游ゴシック Medium"/>
        <family val="3"/>
        <charset val="128"/>
      </rPr>
      <t>第</t>
    </r>
    <r>
      <rPr>
        <sz val="11"/>
        <rFont val="Consolas"/>
        <family val="3"/>
      </rPr>
      <t>27</t>
    </r>
    <r>
      <rPr>
        <sz val="11"/>
        <rFont val="游ゴシック Medium"/>
        <family val="3"/>
        <charset val="128"/>
      </rPr>
      <t>回インパクトアートフェスティバル</t>
    </r>
    <r>
      <rPr>
        <sz val="11"/>
        <rFont val="Consolas"/>
        <family val="3"/>
      </rPr>
      <t xml:space="preserve"> 2006</t>
    </r>
    <rPh sb="44" eb="45">
      <t>ダイ</t>
    </rPh>
    <rPh sb="47" eb="48">
      <t>カイ</t>
    </rPh>
    <phoneticPr fontId="1"/>
  </si>
  <si>
    <r>
      <rPr>
        <sz val="11"/>
        <rFont val="游ゴシック Medium"/>
        <family val="3"/>
        <charset val="128"/>
      </rPr>
      <t>郭</t>
    </r>
    <r>
      <rPr>
        <sz val="11"/>
        <rFont val="Consolas"/>
        <family val="3"/>
      </rPr>
      <t xml:space="preserve"> </t>
    </r>
    <r>
      <rPr>
        <sz val="11"/>
        <rFont val="游ゴシック Medium"/>
        <family val="3"/>
        <charset val="128"/>
      </rPr>
      <t>徳俊</t>
    </r>
    <rPh sb="0" eb="1">
      <t>カク</t>
    </rPh>
    <rPh sb="2" eb="4">
      <t>トクジュン</t>
    </rPh>
    <phoneticPr fontId="1"/>
  </si>
  <si>
    <r>
      <rPr>
        <sz val="11"/>
        <rFont val="游ゴシック Medium"/>
        <family val="3"/>
        <charset val="128"/>
      </rPr>
      <t>現代美術の断面</t>
    </r>
    <r>
      <rPr>
        <sz val="11"/>
        <rFont val="Consolas"/>
        <family val="3"/>
      </rPr>
      <t>/</t>
    </r>
    <r>
      <rPr>
        <sz val="11"/>
        <rFont val="游ゴシック Medium"/>
        <family val="3"/>
        <charset val="128"/>
      </rPr>
      <t>日韓</t>
    </r>
    <r>
      <rPr>
        <sz val="11"/>
        <rFont val="Consolas"/>
        <family val="3"/>
      </rPr>
      <t xml:space="preserve"> 2000-2009</t>
    </r>
    <r>
      <rPr>
        <sz val="11"/>
        <rFont val="游ゴシック Medium"/>
        <family val="3"/>
        <charset val="128"/>
      </rPr>
      <t>前記の現況</t>
    </r>
    <r>
      <rPr>
        <sz val="11"/>
        <rFont val="Consolas"/>
        <family val="3"/>
      </rPr>
      <t>/Profile of contemporary art/The early 2000s in Japan and Korea</t>
    </r>
    <rPh sb="0" eb="2">
      <t>ゲンダイ</t>
    </rPh>
    <rPh sb="2" eb="4">
      <t>ビジュツ</t>
    </rPh>
    <rPh sb="5" eb="7">
      <t>ダンメン</t>
    </rPh>
    <rPh sb="8" eb="10">
      <t>ニッカン</t>
    </rPh>
    <rPh sb="20" eb="22">
      <t>ゼンキ</t>
    </rPh>
    <rPh sb="23" eb="25">
      <t>ゲンキョウ</t>
    </rPh>
    <phoneticPr fontId="1"/>
  </si>
  <si>
    <r>
      <rPr>
        <sz val="11"/>
        <rFont val="游ゴシック Medium"/>
        <family val="3"/>
        <charset val="128"/>
      </rPr>
      <t>日韓現代美術</t>
    </r>
    <r>
      <rPr>
        <sz val="11"/>
        <rFont val="Consolas"/>
        <family val="3"/>
      </rPr>
      <t xml:space="preserve"> 2016</t>
    </r>
    <rPh sb="0" eb="2">
      <t>ニッカン</t>
    </rPh>
    <rPh sb="2" eb="4">
      <t>ゲンダイ</t>
    </rPh>
    <rPh sb="4" eb="6">
      <t>ビジュツ</t>
    </rPh>
    <phoneticPr fontId="1"/>
  </si>
  <si>
    <r>
      <rPr>
        <sz val="11"/>
        <rFont val="游ゴシック Medium"/>
        <family val="3"/>
        <charset val="128"/>
      </rPr>
      <t>共存の社会的意味展</t>
    </r>
    <rPh sb="0" eb="2">
      <t>キョウゾン</t>
    </rPh>
    <rPh sb="3" eb="6">
      <t>シャカイテキ</t>
    </rPh>
    <rPh sb="6" eb="8">
      <t>イミ</t>
    </rPh>
    <rPh sb="8" eb="9">
      <t>テン</t>
    </rPh>
    <phoneticPr fontId="1"/>
  </si>
  <si>
    <r>
      <rPr>
        <sz val="11"/>
        <rFont val="游ゴシック Medium"/>
        <family val="3"/>
        <charset val="128"/>
      </rPr>
      <t>日韓現代美術</t>
    </r>
    <r>
      <rPr>
        <sz val="11"/>
        <rFont val="Consolas"/>
        <family val="3"/>
      </rPr>
      <t>100</t>
    </r>
    <r>
      <rPr>
        <sz val="11"/>
        <rFont val="游ゴシック Medium"/>
        <family val="3"/>
        <charset val="128"/>
      </rPr>
      <t>人展</t>
    </r>
    <rPh sb="0" eb="2">
      <t>ニッカン</t>
    </rPh>
    <rPh sb="2" eb="4">
      <t>ゲンダイ</t>
    </rPh>
    <rPh sb="4" eb="6">
      <t>ビジュツ</t>
    </rPh>
    <rPh sb="9" eb="10">
      <t>ニン</t>
    </rPh>
    <rPh sb="10" eb="11">
      <t>テン</t>
    </rPh>
    <phoneticPr fontId="1"/>
  </si>
  <si>
    <r>
      <rPr>
        <sz val="11"/>
        <rFont val="游ゴシック Medium"/>
        <family val="3"/>
        <charset val="128"/>
      </rPr>
      <t>日韓現代美術</t>
    </r>
    <r>
      <rPr>
        <sz val="11"/>
        <rFont val="Consolas"/>
        <family val="3"/>
      </rPr>
      <t xml:space="preserve"> 2015</t>
    </r>
    <rPh sb="0" eb="2">
      <t>ニッカン</t>
    </rPh>
    <rPh sb="2" eb="4">
      <t>ゲンダイ</t>
    </rPh>
    <rPh sb="4" eb="6">
      <t>ビジュツ</t>
    </rPh>
    <phoneticPr fontId="1"/>
  </si>
  <si>
    <r>
      <t>Black Tornado</t>
    </r>
    <r>
      <rPr>
        <sz val="11"/>
        <rFont val="游ゴシック Medium"/>
        <family val="3"/>
        <charset val="128"/>
      </rPr>
      <t>展</t>
    </r>
    <rPh sb="13" eb="14">
      <t>テン</t>
    </rPh>
    <phoneticPr fontId="1"/>
  </si>
  <si>
    <r>
      <rPr>
        <sz val="11"/>
        <rFont val="游ゴシック Medium"/>
        <family val="3"/>
        <charset val="128"/>
      </rPr>
      <t>日韓現代美術</t>
    </r>
    <r>
      <rPr>
        <sz val="11"/>
        <rFont val="Consolas"/>
        <family val="3"/>
      </rPr>
      <t xml:space="preserve"> 2014</t>
    </r>
    <rPh sb="0" eb="2">
      <t>ニッカン</t>
    </rPh>
    <rPh sb="2" eb="4">
      <t>ゲンダイ</t>
    </rPh>
    <rPh sb="4" eb="6">
      <t>ビジュツ</t>
    </rPh>
    <phoneticPr fontId="1"/>
  </si>
  <si>
    <r>
      <rPr>
        <sz val="11"/>
        <rFont val="游ゴシック Medium"/>
        <family val="3"/>
        <charset val="128"/>
      </rPr>
      <t>時代変化の間隔展</t>
    </r>
    <rPh sb="0" eb="2">
      <t>ジダイ</t>
    </rPh>
    <rPh sb="2" eb="4">
      <t>ヘンカ</t>
    </rPh>
    <rPh sb="5" eb="7">
      <t>カンカク</t>
    </rPh>
    <rPh sb="7" eb="8">
      <t>テン</t>
    </rPh>
    <phoneticPr fontId="1"/>
  </si>
  <si>
    <r>
      <t>2</t>
    </r>
    <r>
      <rPr>
        <sz val="11"/>
        <rFont val="游ゴシック Medium"/>
        <family val="3"/>
        <charset val="128"/>
      </rPr>
      <t>部ある</t>
    </r>
    <rPh sb="1" eb="2">
      <t>ブ</t>
    </rPh>
    <phoneticPr fontId="1"/>
  </si>
  <si>
    <r>
      <rPr>
        <sz val="11"/>
        <rFont val="游ゴシック Medium"/>
        <family val="3"/>
        <charset val="128"/>
      </rPr>
      <t>日韓現代美術</t>
    </r>
    <r>
      <rPr>
        <sz val="11"/>
        <rFont val="Consolas"/>
        <family val="3"/>
      </rPr>
      <t xml:space="preserve"> 2013</t>
    </r>
    <rPh sb="0" eb="2">
      <t>ニッカン</t>
    </rPh>
    <rPh sb="2" eb="4">
      <t>ゲンダイ</t>
    </rPh>
    <rPh sb="4" eb="6">
      <t>ビジュツ</t>
    </rPh>
    <phoneticPr fontId="1"/>
  </si>
  <si>
    <r>
      <rPr>
        <sz val="11"/>
        <rFont val="游ゴシック Medium"/>
        <family val="3"/>
        <charset val="128"/>
      </rPr>
      <t>感性共有の価値展</t>
    </r>
    <rPh sb="0" eb="2">
      <t>カンセイ</t>
    </rPh>
    <rPh sb="2" eb="4">
      <t>キョウユウ</t>
    </rPh>
    <rPh sb="5" eb="7">
      <t>カチ</t>
    </rPh>
    <rPh sb="7" eb="8">
      <t>テン</t>
    </rPh>
    <phoneticPr fontId="1"/>
  </si>
  <si>
    <r>
      <rPr>
        <sz val="11"/>
        <rFont val="游ゴシック Medium"/>
        <family val="3"/>
        <charset val="128"/>
      </rPr>
      <t>日韓現代美術展</t>
    </r>
    <r>
      <rPr>
        <sz val="11"/>
        <rFont val="Consolas"/>
        <family val="3"/>
      </rPr>
      <t xml:space="preserve"> 2012</t>
    </r>
    <rPh sb="0" eb="2">
      <t>ニッカン</t>
    </rPh>
    <rPh sb="2" eb="4">
      <t>ゲンダイ</t>
    </rPh>
    <rPh sb="4" eb="6">
      <t>ビジュツ</t>
    </rPh>
    <rPh sb="6" eb="7">
      <t>テン</t>
    </rPh>
    <phoneticPr fontId="1"/>
  </si>
  <si>
    <r>
      <rPr>
        <sz val="11"/>
        <rFont val="游ゴシック Medium"/>
        <family val="3"/>
        <charset val="128"/>
      </rPr>
      <t>転換のための進歩</t>
    </r>
    <rPh sb="0" eb="2">
      <t>テンカン</t>
    </rPh>
    <rPh sb="6" eb="8">
      <t>シンポ</t>
    </rPh>
    <phoneticPr fontId="1"/>
  </si>
  <si>
    <r>
      <t>4</t>
    </r>
    <r>
      <rPr>
        <sz val="11"/>
        <rFont val="游ゴシック Medium"/>
        <family val="3"/>
        <charset val="128"/>
      </rPr>
      <t>部ある</t>
    </r>
    <rPh sb="1" eb="2">
      <t>ブ</t>
    </rPh>
    <phoneticPr fontId="1"/>
  </si>
  <si>
    <r>
      <rPr>
        <sz val="11"/>
        <rFont val="游ゴシック Medium"/>
        <family val="3"/>
        <charset val="128"/>
      </rPr>
      <t>日韓現代美術</t>
    </r>
    <r>
      <rPr>
        <sz val="11"/>
        <rFont val="Consolas"/>
        <family val="3"/>
      </rPr>
      <t>100</t>
    </r>
    <r>
      <rPr>
        <sz val="11"/>
        <rFont val="游ゴシック Medium"/>
        <family val="3"/>
        <charset val="128"/>
      </rPr>
      <t>人展</t>
    </r>
    <r>
      <rPr>
        <sz val="11"/>
        <rFont val="Consolas"/>
        <family val="3"/>
      </rPr>
      <t xml:space="preserve"> 2011</t>
    </r>
    <rPh sb="0" eb="2">
      <t>ニッカン</t>
    </rPh>
    <rPh sb="2" eb="4">
      <t>ゲンダイ</t>
    </rPh>
    <rPh sb="4" eb="6">
      <t>ビジュツ</t>
    </rPh>
    <rPh sb="9" eb="10">
      <t>ニン</t>
    </rPh>
    <rPh sb="10" eb="11">
      <t>テン</t>
    </rPh>
    <phoneticPr fontId="1"/>
  </si>
  <si>
    <r>
      <t>"</t>
    </r>
    <r>
      <rPr>
        <sz val="11"/>
        <rFont val="游ゴシック Medium"/>
        <family val="3"/>
        <charset val="128"/>
      </rPr>
      <t>生成と消滅</t>
    </r>
    <r>
      <rPr>
        <sz val="11"/>
        <rFont val="Consolas"/>
        <family val="3"/>
      </rPr>
      <t>"</t>
    </r>
    <r>
      <rPr>
        <sz val="11"/>
        <rFont val="游ゴシック Medium"/>
        <family val="3"/>
        <charset val="128"/>
      </rPr>
      <t>その境界から感動を見つめる</t>
    </r>
    <rPh sb="1" eb="3">
      <t>セイセイ</t>
    </rPh>
    <rPh sb="4" eb="6">
      <t>ショウメツ</t>
    </rPh>
    <rPh sb="9" eb="11">
      <t>キョウカイ</t>
    </rPh>
    <rPh sb="13" eb="15">
      <t>カンドウ</t>
    </rPh>
    <rPh sb="16" eb="17">
      <t>ミ</t>
    </rPh>
    <phoneticPr fontId="1"/>
  </si>
  <si>
    <r>
      <rPr>
        <sz val="11"/>
        <rFont val="游ゴシック Medium"/>
        <family val="3"/>
        <charset val="128"/>
      </rPr>
      <t>日韓現代美術</t>
    </r>
    <r>
      <rPr>
        <sz val="11"/>
        <rFont val="Consolas"/>
        <family val="3"/>
      </rPr>
      <t>100</t>
    </r>
    <r>
      <rPr>
        <sz val="11"/>
        <rFont val="游ゴシック Medium"/>
        <family val="3"/>
        <charset val="128"/>
      </rPr>
      <t>人展</t>
    </r>
    <r>
      <rPr>
        <sz val="11"/>
        <rFont val="Consolas"/>
        <family val="3"/>
      </rPr>
      <t xml:space="preserve"> 2010</t>
    </r>
    <r>
      <rPr>
        <sz val="11"/>
        <rFont val="ＭＳ Ｐゴシック"/>
        <family val="3"/>
        <charset val="128"/>
      </rPr>
      <t/>
    </r>
    <rPh sb="0" eb="2">
      <t>ニッカン</t>
    </rPh>
    <rPh sb="2" eb="4">
      <t>ゲンダイ</t>
    </rPh>
    <rPh sb="4" eb="6">
      <t>ビジュツ</t>
    </rPh>
    <rPh sb="9" eb="10">
      <t>ニン</t>
    </rPh>
    <rPh sb="10" eb="11">
      <t>テン</t>
    </rPh>
    <phoneticPr fontId="1"/>
  </si>
  <si>
    <r>
      <rPr>
        <sz val="11"/>
        <rFont val="游ゴシック Medium"/>
        <family val="3"/>
        <charset val="128"/>
      </rPr>
      <t>変化しなければならない理由</t>
    </r>
    <rPh sb="0" eb="2">
      <t>ヘンカ</t>
    </rPh>
    <rPh sb="11" eb="13">
      <t>リユウ</t>
    </rPh>
    <phoneticPr fontId="1"/>
  </si>
  <si>
    <r>
      <rPr>
        <sz val="11"/>
        <rFont val="游ゴシック Medium"/>
        <family val="3"/>
        <charset val="128"/>
      </rPr>
      <t>日韓現代美術</t>
    </r>
    <r>
      <rPr>
        <sz val="11"/>
        <rFont val="Consolas"/>
        <family val="3"/>
      </rPr>
      <t>100</t>
    </r>
    <r>
      <rPr>
        <sz val="11"/>
        <rFont val="游ゴシック Medium"/>
        <family val="3"/>
        <charset val="128"/>
      </rPr>
      <t>人展</t>
    </r>
    <r>
      <rPr>
        <sz val="11"/>
        <rFont val="Consolas"/>
        <family val="3"/>
      </rPr>
      <t xml:space="preserve"> 2009</t>
    </r>
    <rPh sb="0" eb="2">
      <t>ニッカン</t>
    </rPh>
    <rPh sb="2" eb="4">
      <t>ゲンダイ</t>
    </rPh>
    <rPh sb="4" eb="6">
      <t>ビジュツ</t>
    </rPh>
    <rPh sb="9" eb="10">
      <t>ニン</t>
    </rPh>
    <rPh sb="10" eb="11">
      <t>テン</t>
    </rPh>
    <phoneticPr fontId="1"/>
  </si>
  <si>
    <r>
      <rPr>
        <sz val="11"/>
        <rFont val="游ゴシック Medium"/>
        <family val="3"/>
        <charset val="128"/>
      </rPr>
      <t>感動と契機の動力</t>
    </r>
    <rPh sb="0" eb="2">
      <t>カンドウ</t>
    </rPh>
    <rPh sb="3" eb="5">
      <t>ケイキ</t>
    </rPh>
    <rPh sb="6" eb="8">
      <t>ドウリョク</t>
    </rPh>
    <phoneticPr fontId="1"/>
  </si>
  <si>
    <r>
      <rPr>
        <sz val="11"/>
        <rFont val="游ゴシック Medium"/>
        <family val="3"/>
        <charset val="128"/>
      </rPr>
      <t>日韓現代美術</t>
    </r>
    <r>
      <rPr>
        <sz val="11"/>
        <rFont val="Consolas"/>
        <family val="3"/>
      </rPr>
      <t>100</t>
    </r>
    <r>
      <rPr>
        <sz val="11"/>
        <rFont val="游ゴシック Medium"/>
        <family val="3"/>
        <charset val="128"/>
      </rPr>
      <t>人展</t>
    </r>
    <r>
      <rPr>
        <sz val="11"/>
        <rFont val="Consolas"/>
        <family val="3"/>
      </rPr>
      <t xml:space="preserve"> 2008</t>
    </r>
    <rPh sb="0" eb="2">
      <t>ニッカン</t>
    </rPh>
    <rPh sb="2" eb="4">
      <t>ゲンダイ</t>
    </rPh>
    <rPh sb="4" eb="6">
      <t>ビジュツ</t>
    </rPh>
    <rPh sb="9" eb="10">
      <t>ニン</t>
    </rPh>
    <rPh sb="10" eb="11">
      <t>テン</t>
    </rPh>
    <phoneticPr fontId="1"/>
  </si>
  <si>
    <r>
      <rPr>
        <sz val="11"/>
        <rFont val="游ゴシック Medium"/>
        <family val="3"/>
        <charset val="128"/>
      </rPr>
      <t>自然と理性</t>
    </r>
    <rPh sb="0" eb="2">
      <t>シゼン</t>
    </rPh>
    <rPh sb="3" eb="5">
      <t>リセイ</t>
    </rPh>
    <phoneticPr fontId="1"/>
  </si>
  <si>
    <r>
      <rPr>
        <sz val="11"/>
        <rFont val="游ゴシック Medium"/>
        <family val="3"/>
        <charset val="128"/>
      </rPr>
      <t>日韓現代美術</t>
    </r>
    <r>
      <rPr>
        <sz val="11"/>
        <rFont val="Consolas"/>
        <family val="3"/>
      </rPr>
      <t>100</t>
    </r>
    <r>
      <rPr>
        <sz val="11"/>
        <rFont val="游ゴシック Medium"/>
        <family val="3"/>
        <charset val="128"/>
      </rPr>
      <t>人展</t>
    </r>
    <r>
      <rPr>
        <sz val="11"/>
        <rFont val="Consolas"/>
        <family val="3"/>
      </rPr>
      <t xml:space="preserve"> 2007</t>
    </r>
    <rPh sb="0" eb="2">
      <t>ニッカン</t>
    </rPh>
    <rPh sb="2" eb="4">
      <t>ゲンダイ</t>
    </rPh>
    <rPh sb="4" eb="6">
      <t>ビジュツ</t>
    </rPh>
    <rPh sb="9" eb="10">
      <t>ニン</t>
    </rPh>
    <rPh sb="10" eb="11">
      <t>テン</t>
    </rPh>
    <phoneticPr fontId="1"/>
  </si>
  <si>
    <r>
      <rPr>
        <sz val="11"/>
        <rFont val="游ゴシック Medium"/>
        <family val="3"/>
        <charset val="128"/>
      </rPr>
      <t>表現と意志そして歓喜</t>
    </r>
    <rPh sb="0" eb="2">
      <t>ヒョウゲン</t>
    </rPh>
    <rPh sb="3" eb="5">
      <t>イシ</t>
    </rPh>
    <rPh sb="8" eb="10">
      <t>カンキ</t>
    </rPh>
    <phoneticPr fontId="1"/>
  </si>
  <si>
    <r>
      <rPr>
        <sz val="11"/>
        <rFont val="游ゴシック Medium"/>
        <family val="3"/>
        <charset val="128"/>
      </rPr>
      <t>日韓現代美術</t>
    </r>
    <r>
      <rPr>
        <sz val="11"/>
        <rFont val="Consolas"/>
        <family val="3"/>
      </rPr>
      <t xml:space="preserve"> 2006</t>
    </r>
    <rPh sb="0" eb="2">
      <t>ニッカン</t>
    </rPh>
    <rPh sb="2" eb="4">
      <t>ゲンダイ</t>
    </rPh>
    <rPh sb="4" eb="6">
      <t>ビジュツ</t>
    </rPh>
    <phoneticPr fontId="1"/>
  </si>
  <si>
    <r>
      <rPr>
        <sz val="11"/>
        <rFont val="游ゴシック Medium"/>
        <family val="3"/>
        <charset val="128"/>
      </rPr>
      <t>感動と上昇の投影展</t>
    </r>
    <rPh sb="0" eb="2">
      <t>カンドウ</t>
    </rPh>
    <rPh sb="3" eb="5">
      <t>ジョウショウ</t>
    </rPh>
    <rPh sb="6" eb="8">
      <t>トウエイ</t>
    </rPh>
    <rPh sb="8" eb="9">
      <t>テン</t>
    </rPh>
    <phoneticPr fontId="1"/>
  </si>
  <si>
    <r>
      <rPr>
        <sz val="11"/>
        <rFont val="游ゴシック Medium"/>
        <family val="3"/>
        <charset val="128"/>
      </rPr>
      <t>日韓現代美術</t>
    </r>
    <r>
      <rPr>
        <sz val="11"/>
        <rFont val="Consolas"/>
        <family val="3"/>
      </rPr>
      <t>100</t>
    </r>
    <r>
      <rPr>
        <sz val="11"/>
        <rFont val="游ゴシック Medium"/>
        <family val="3"/>
        <charset val="128"/>
      </rPr>
      <t>人展</t>
    </r>
    <r>
      <rPr>
        <sz val="11"/>
        <rFont val="Consolas"/>
        <family val="3"/>
      </rPr>
      <t xml:space="preserve"> 2005</t>
    </r>
    <rPh sb="0" eb="2">
      <t>ニッカン</t>
    </rPh>
    <rPh sb="2" eb="4">
      <t>ゲンダイ</t>
    </rPh>
    <rPh sb="4" eb="6">
      <t>ビジュツ</t>
    </rPh>
    <rPh sb="9" eb="10">
      <t>ニン</t>
    </rPh>
    <rPh sb="10" eb="11">
      <t>テン</t>
    </rPh>
    <phoneticPr fontId="1"/>
  </si>
  <si>
    <r>
      <rPr>
        <sz val="11"/>
        <rFont val="游ゴシック Medium"/>
        <family val="3"/>
        <charset val="128"/>
      </rPr>
      <t>感性と熱情の波動</t>
    </r>
    <rPh sb="0" eb="2">
      <t>カンセイ</t>
    </rPh>
    <rPh sb="3" eb="5">
      <t>ネツジョウ</t>
    </rPh>
    <rPh sb="6" eb="8">
      <t>ハドウ</t>
    </rPh>
    <phoneticPr fontId="1"/>
  </si>
  <si>
    <r>
      <rPr>
        <sz val="11"/>
        <rFont val="游ゴシック Medium"/>
        <family val="3"/>
        <charset val="128"/>
      </rPr>
      <t>日韓現代美術</t>
    </r>
    <r>
      <rPr>
        <sz val="11"/>
        <rFont val="Consolas"/>
        <family val="3"/>
      </rPr>
      <t>100</t>
    </r>
    <r>
      <rPr>
        <sz val="11"/>
        <rFont val="游ゴシック Medium"/>
        <family val="3"/>
        <charset val="128"/>
      </rPr>
      <t>人展</t>
    </r>
    <r>
      <rPr>
        <sz val="11"/>
        <rFont val="Consolas"/>
        <family val="3"/>
      </rPr>
      <t xml:space="preserve"> 2004</t>
    </r>
    <rPh sb="0" eb="2">
      <t>ニッカン</t>
    </rPh>
    <rPh sb="2" eb="4">
      <t>ゲンダイ</t>
    </rPh>
    <rPh sb="4" eb="6">
      <t>ビジュツ</t>
    </rPh>
    <rPh sb="9" eb="10">
      <t>ニン</t>
    </rPh>
    <rPh sb="10" eb="11">
      <t>テン</t>
    </rPh>
    <phoneticPr fontId="1"/>
  </si>
  <si>
    <r>
      <rPr>
        <sz val="11"/>
        <rFont val="游ゴシック Medium"/>
        <family val="3"/>
        <charset val="128"/>
      </rPr>
      <t>日韓現代美術</t>
    </r>
    <r>
      <rPr>
        <sz val="11"/>
        <rFont val="Consolas"/>
        <family val="3"/>
      </rPr>
      <t>100</t>
    </r>
    <r>
      <rPr>
        <sz val="11"/>
        <rFont val="游ゴシック Medium"/>
        <family val="3"/>
        <charset val="128"/>
      </rPr>
      <t>人展</t>
    </r>
    <r>
      <rPr>
        <sz val="11"/>
        <rFont val="Consolas"/>
        <family val="3"/>
      </rPr>
      <t xml:space="preserve"> 2003</t>
    </r>
    <rPh sb="0" eb="2">
      <t>ニッカン</t>
    </rPh>
    <rPh sb="2" eb="4">
      <t>ゲンダイ</t>
    </rPh>
    <rPh sb="4" eb="6">
      <t>ビジュツ</t>
    </rPh>
    <rPh sb="9" eb="10">
      <t>ニン</t>
    </rPh>
    <rPh sb="10" eb="11">
      <t>テン</t>
    </rPh>
    <phoneticPr fontId="1"/>
  </si>
  <si>
    <r>
      <rPr>
        <sz val="11"/>
        <rFont val="游ゴシック Medium"/>
        <family val="3"/>
        <charset val="128"/>
      </rPr>
      <t>李</t>
    </r>
    <r>
      <rPr>
        <sz val="11"/>
        <rFont val="Consolas"/>
        <family val="3"/>
      </rPr>
      <t xml:space="preserve"> </t>
    </r>
    <r>
      <rPr>
        <sz val="11"/>
        <rFont val="游ゴシック Medium"/>
        <family val="3"/>
        <charset val="128"/>
      </rPr>
      <t>誠九</t>
    </r>
    <rPh sb="0" eb="1">
      <t>リ</t>
    </rPh>
    <rPh sb="2" eb="4">
      <t>Seoung-Ku</t>
    </rPh>
    <phoneticPr fontId="1"/>
  </si>
  <si>
    <r>
      <t xml:space="preserve">gallery </t>
    </r>
    <r>
      <rPr>
        <sz val="11"/>
        <rFont val="游ゴシック Medium"/>
        <family val="3"/>
        <charset val="128"/>
      </rPr>
      <t>倉屋</t>
    </r>
    <rPh sb="8" eb="10">
      <t>クラヤ</t>
    </rPh>
    <phoneticPr fontId="1"/>
  </si>
  <si>
    <r>
      <rPr>
        <sz val="11"/>
        <rFont val="游ゴシック Medium"/>
        <family val="3"/>
        <charset val="128"/>
      </rPr>
      <t>白川雅啓</t>
    </r>
    <rPh sb="0" eb="2">
      <t>シラカワ</t>
    </rPh>
    <rPh sb="2" eb="4">
      <t>マサアキ</t>
    </rPh>
    <phoneticPr fontId="1"/>
  </si>
  <si>
    <r>
      <rPr>
        <sz val="11"/>
        <rFont val="游ゴシック Medium"/>
        <family val="3"/>
        <charset val="128"/>
      </rPr>
      <t>資料もろもろ</t>
    </r>
    <rPh sb="0" eb="2">
      <t>シリョウ</t>
    </rPh>
    <phoneticPr fontId="1"/>
  </si>
  <si>
    <r>
      <rPr>
        <sz val="11"/>
        <rFont val="游ゴシック Medium"/>
        <family val="3"/>
        <charset val="128"/>
      </rPr>
      <t>国際ライブアート展</t>
    </r>
    <rPh sb="0" eb="2">
      <t>コクサイ</t>
    </rPh>
    <rPh sb="8" eb="9">
      <t>テン</t>
    </rPh>
    <phoneticPr fontId="1"/>
  </si>
  <si>
    <r>
      <t>ORIENT 2005/rainbow brigde/</t>
    </r>
    <r>
      <rPr>
        <sz val="11"/>
        <rFont val="游ゴシック Medium"/>
        <family val="3"/>
        <charset val="128"/>
      </rPr>
      <t>虹の架け橋</t>
    </r>
    <rPh sb="27" eb="28">
      <t>ニジ</t>
    </rPh>
    <rPh sb="29" eb="30">
      <t>カ</t>
    </rPh>
    <rPh sb="31" eb="32">
      <t>ハシ</t>
    </rPh>
    <phoneticPr fontId="1"/>
  </si>
  <si>
    <r>
      <t>the 50th anniversary of the establishment od diplomat5ic relations/</t>
    </r>
    <r>
      <rPr>
        <sz val="11"/>
        <rFont val="游ゴシック Medium"/>
        <family val="3"/>
        <charset val="128"/>
      </rPr>
      <t>ラオス</t>
    </r>
    <r>
      <rPr>
        <sz val="11"/>
        <rFont val="Consolas"/>
        <family val="3"/>
      </rPr>
      <t>-</t>
    </r>
    <r>
      <rPr>
        <sz val="11"/>
        <rFont val="游ゴシック Medium"/>
        <family val="3"/>
        <charset val="128"/>
      </rPr>
      <t>日本国交樹立</t>
    </r>
    <r>
      <rPr>
        <sz val="11"/>
        <rFont val="Consolas"/>
        <family val="3"/>
      </rPr>
      <t>50</t>
    </r>
    <r>
      <rPr>
        <sz val="11"/>
        <rFont val="游ゴシック Medium"/>
        <family val="3"/>
        <charset val="128"/>
      </rPr>
      <t>周年記念事業</t>
    </r>
    <rPh sb="71" eb="73">
      <t>ニホン</t>
    </rPh>
    <rPh sb="73" eb="75">
      <t>コッコウ</t>
    </rPh>
    <rPh sb="75" eb="77">
      <t>ジュリツ</t>
    </rPh>
    <rPh sb="79" eb="81">
      <t>シュウネン</t>
    </rPh>
    <rPh sb="81" eb="83">
      <t>キネン</t>
    </rPh>
    <rPh sb="83" eb="85">
      <t>ジギョウ</t>
    </rPh>
    <phoneticPr fontId="1"/>
  </si>
  <si>
    <r>
      <t>Kwak Duck-Jun:</t>
    </r>
    <r>
      <rPr>
        <sz val="11"/>
        <rFont val="游ゴシック Medium"/>
        <family val="3"/>
        <charset val="128"/>
      </rPr>
      <t>郭</t>
    </r>
    <r>
      <rPr>
        <sz val="11"/>
        <rFont val="Consolas"/>
        <family val="3"/>
      </rPr>
      <t xml:space="preserve"> </t>
    </r>
    <r>
      <rPr>
        <sz val="11"/>
        <rFont val="游ゴシック Medium"/>
        <family val="3"/>
        <charset val="128"/>
      </rPr>
      <t>徳俊</t>
    </r>
    <rPh sb="14" eb="15">
      <t>カク</t>
    </rPh>
    <rPh sb="16" eb="18">
      <t>ドゥクジュン</t>
    </rPh>
    <phoneticPr fontId="1"/>
  </si>
  <si>
    <r>
      <rPr>
        <sz val="11"/>
        <rFont val="游ゴシック Medium"/>
        <family val="3"/>
        <charset val="128"/>
      </rPr>
      <t>郭</t>
    </r>
    <r>
      <rPr>
        <sz val="11"/>
        <rFont val="Consolas"/>
        <family val="3"/>
      </rPr>
      <t xml:space="preserve"> </t>
    </r>
    <r>
      <rPr>
        <sz val="11"/>
        <rFont val="游ゴシック Medium"/>
        <family val="3"/>
        <charset val="128"/>
      </rPr>
      <t>徳俊</t>
    </r>
    <r>
      <rPr>
        <sz val="11"/>
        <rFont val="Consolas"/>
        <family val="3"/>
      </rPr>
      <t xml:space="preserve"> </t>
    </r>
    <r>
      <rPr>
        <sz val="11"/>
        <rFont val="游ゴシック Medium"/>
        <family val="3"/>
        <charset val="128"/>
      </rPr>
      <t>展</t>
    </r>
    <rPh sb="0" eb="1">
      <t>カク</t>
    </rPh>
    <rPh sb="2" eb="4">
      <t>ドゥクジュン</t>
    </rPh>
    <rPh sb="5" eb="6">
      <t>テン</t>
    </rPh>
    <phoneticPr fontId="1"/>
  </si>
  <si>
    <r>
      <rPr>
        <sz val="11"/>
        <rFont val="游ゴシック Medium"/>
        <family val="3"/>
        <charset val="128"/>
      </rPr>
      <t>新潟市美術館</t>
    </r>
    <r>
      <rPr>
        <sz val="11"/>
        <rFont val="Consolas"/>
        <family val="3"/>
      </rPr>
      <t>/</t>
    </r>
    <r>
      <rPr>
        <sz val="11"/>
        <rFont val="游ゴシック Medium"/>
        <family val="3"/>
        <charset val="128"/>
      </rPr>
      <t>田辺市立美術館</t>
    </r>
    <rPh sb="0" eb="3">
      <t>ニイガタシ</t>
    </rPh>
    <rPh sb="3" eb="6">
      <t>ビジュツカン</t>
    </rPh>
    <rPh sb="7" eb="9">
      <t>タナベ</t>
    </rPh>
    <rPh sb="9" eb="11">
      <t>シリツ</t>
    </rPh>
    <rPh sb="11" eb="14">
      <t>ビジュツカン</t>
    </rPh>
    <phoneticPr fontId="1"/>
  </si>
  <si>
    <r>
      <rPr>
        <sz val="11"/>
        <rFont val="游ゴシック Medium"/>
        <family val="3"/>
        <charset val="128"/>
      </rPr>
      <t>身内を含まない</t>
    </r>
    <rPh sb="0" eb="2">
      <t>ミウチ</t>
    </rPh>
    <rPh sb="3" eb="4">
      <t>フク</t>
    </rPh>
    <phoneticPr fontId="1"/>
  </si>
  <si>
    <r>
      <t>Bastille</t>
    </r>
    <r>
      <rPr>
        <sz val="11"/>
        <rFont val="游ゴシック Medium"/>
        <family val="3"/>
        <charset val="128"/>
      </rPr>
      <t>の古本屋</t>
    </r>
    <rPh sb="0" eb="8">
      <t>バスティーユ</t>
    </rPh>
    <rPh sb="9" eb="12">
      <t>フルホンヤ</t>
    </rPh>
    <phoneticPr fontId="1"/>
  </si>
  <si>
    <r>
      <rPr>
        <sz val="11"/>
        <rFont val="游ゴシック Medium"/>
        <family val="3"/>
        <charset val="128"/>
      </rPr>
      <t>￡</t>
    </r>
    <r>
      <rPr>
        <sz val="11"/>
        <rFont val="Consolas"/>
        <family val="3"/>
      </rPr>
      <t>06.99</t>
    </r>
    <phoneticPr fontId="1"/>
  </si>
  <si>
    <r>
      <rPr>
        <sz val="11"/>
        <rFont val="游ゴシック Medium"/>
        <family val="3"/>
        <charset val="128"/>
      </rPr>
      <t>￡</t>
    </r>
    <r>
      <rPr>
        <sz val="11"/>
        <rFont val="Consolas"/>
        <family val="3"/>
      </rPr>
      <t>07.99</t>
    </r>
    <phoneticPr fontId="1"/>
  </si>
  <si>
    <r>
      <rPr>
        <sz val="11"/>
        <rFont val="游ゴシック Medium"/>
        <family val="3"/>
        <charset val="128"/>
      </rPr>
      <t>￡</t>
    </r>
    <r>
      <rPr>
        <sz val="11"/>
        <rFont val="Consolas"/>
        <family val="3"/>
      </rPr>
      <t>19.99/$35.00</t>
    </r>
    <phoneticPr fontId="1"/>
  </si>
  <si>
    <r>
      <rPr>
        <sz val="11"/>
        <rFont val="游ゴシック Medium"/>
        <family val="3"/>
        <charset val="128"/>
      </rPr>
      <t>ヤン・シュヴァンクマイエル</t>
    </r>
    <phoneticPr fontId="1"/>
  </si>
  <si>
    <r>
      <t>Hearn,Lafcadio/</t>
    </r>
    <r>
      <rPr>
        <sz val="11"/>
        <rFont val="游ゴシック Medium"/>
        <family val="3"/>
        <charset val="128"/>
      </rPr>
      <t>平井</t>
    </r>
    <r>
      <rPr>
        <sz val="11"/>
        <rFont val="Consolas"/>
        <family val="3"/>
      </rPr>
      <t xml:space="preserve"> </t>
    </r>
    <r>
      <rPr>
        <sz val="11"/>
        <rFont val="游ゴシック Medium"/>
        <family val="3"/>
        <charset val="128"/>
      </rPr>
      <t>呈一</t>
    </r>
    <rPh sb="0" eb="5">
      <t>ハーン</t>
    </rPh>
    <rPh sb="6" eb="14">
      <t>ラフカディオ</t>
    </rPh>
    <rPh sb="15" eb="17">
      <t>ヒライ</t>
    </rPh>
    <rPh sb="18" eb="20">
      <t>テイイチ</t>
    </rPh>
    <phoneticPr fontId="1"/>
  </si>
  <si>
    <r>
      <rPr>
        <sz val="11"/>
        <rFont val="游ゴシック Medium"/>
        <family val="3"/>
        <charset val="128"/>
      </rPr>
      <t>著</t>
    </r>
    <r>
      <rPr>
        <sz val="11"/>
        <rFont val="Consolas"/>
        <family val="3"/>
      </rPr>
      <t>/</t>
    </r>
    <r>
      <rPr>
        <sz val="11"/>
        <rFont val="游ゴシック Medium"/>
        <family val="3"/>
        <charset val="128"/>
      </rPr>
      <t>訳</t>
    </r>
    <rPh sb="0" eb="1">
      <t>チョ</t>
    </rPh>
    <rPh sb="2" eb="3">
      <t>ヤク</t>
    </rPh>
    <phoneticPr fontId="1"/>
  </si>
  <si>
    <r>
      <rPr>
        <sz val="11"/>
        <rFont val="游ゴシック Medium"/>
        <family val="3"/>
        <charset val="128"/>
      </rPr>
      <t>怪談</t>
    </r>
    <rPh sb="0" eb="2">
      <t>カイダン</t>
    </rPh>
    <phoneticPr fontId="1"/>
  </si>
  <si>
    <r>
      <rPr>
        <sz val="11"/>
        <rFont val="游ゴシック Medium"/>
        <family val="3"/>
        <charset val="128"/>
      </rPr>
      <t>国書刊行会</t>
    </r>
    <rPh sb="0" eb="2">
      <t>コクショ</t>
    </rPh>
    <rPh sb="2" eb="4">
      <t>カンコウ</t>
    </rPh>
    <rPh sb="4" eb="5">
      <t>カイ</t>
    </rPh>
    <phoneticPr fontId="1"/>
  </si>
  <si>
    <r>
      <rPr>
        <sz val="11"/>
        <rFont val="游ゴシック Medium"/>
        <family val="3"/>
        <charset val="128"/>
      </rPr>
      <t>ラフォーレ原宿ミュージアム</t>
    </r>
    <rPh sb="5" eb="7">
      <t>ハラジュク</t>
    </rPh>
    <phoneticPr fontId="1"/>
  </si>
  <si>
    <r>
      <rPr>
        <sz val="11"/>
        <rFont val="游ゴシック Medium"/>
        <family val="3"/>
        <charset val="128"/>
      </rPr>
      <t>ヤン</t>
    </r>
    <r>
      <rPr>
        <sz val="11"/>
        <rFont val="Consolas"/>
        <family val="3"/>
      </rPr>
      <t xml:space="preserve"> &amp; </t>
    </r>
    <r>
      <rPr>
        <sz val="11"/>
        <rFont val="游ゴシック Medium"/>
        <family val="3"/>
        <charset val="128"/>
      </rPr>
      <t>エヴァ</t>
    </r>
    <r>
      <rPr>
        <sz val="11"/>
        <rFont val="Consolas"/>
        <family val="3"/>
      </rPr>
      <t xml:space="preserve"> </t>
    </r>
    <r>
      <rPr>
        <sz val="11"/>
        <rFont val="游ゴシック Medium"/>
        <family val="3"/>
        <charset val="128"/>
      </rPr>
      <t>シュヴァンクマイエル</t>
    </r>
    <phoneticPr fontId="1"/>
  </si>
  <si>
    <r>
      <rPr>
        <sz val="11"/>
        <rFont val="游ゴシック Medium"/>
        <family val="3"/>
        <charset val="128"/>
      </rPr>
      <t>ヤン</t>
    </r>
    <r>
      <rPr>
        <sz val="11"/>
        <rFont val="Consolas"/>
        <family val="3"/>
      </rPr>
      <t>&amp;</t>
    </r>
    <r>
      <rPr>
        <sz val="11"/>
        <rFont val="游ゴシック Medium"/>
        <family val="3"/>
        <charset val="128"/>
      </rPr>
      <t>エヴァ</t>
    </r>
    <r>
      <rPr>
        <sz val="11"/>
        <rFont val="Consolas"/>
        <family val="3"/>
      </rPr>
      <t xml:space="preserve"> </t>
    </r>
    <r>
      <rPr>
        <sz val="11"/>
        <rFont val="游ゴシック Medium"/>
        <family val="3"/>
        <charset val="128"/>
      </rPr>
      <t>シュヴァンクマイエル展</t>
    </r>
    <r>
      <rPr>
        <sz val="11"/>
        <rFont val="Consolas"/>
        <family val="3"/>
      </rPr>
      <t xml:space="preserve"> </t>
    </r>
    <r>
      <rPr>
        <sz val="11"/>
        <rFont val="游ゴシック Medium"/>
        <family val="3"/>
        <charset val="128"/>
      </rPr>
      <t>映画とその周辺</t>
    </r>
    <rPh sb="17" eb="18">
      <t>テン</t>
    </rPh>
    <rPh sb="19" eb="21">
      <t>エイガ</t>
    </rPh>
    <rPh sb="24" eb="26">
      <t>シュウヘン</t>
    </rPh>
    <phoneticPr fontId="1"/>
  </si>
  <si>
    <r>
      <rPr>
        <sz val="11"/>
        <rFont val="游ゴシック Medium"/>
        <family val="3"/>
        <charset val="128"/>
      </rPr>
      <t>雪山</t>
    </r>
    <r>
      <rPr>
        <sz val="11"/>
        <rFont val="Consolas"/>
        <family val="3"/>
      </rPr>
      <t xml:space="preserve"> </t>
    </r>
    <r>
      <rPr>
        <sz val="11"/>
        <rFont val="游ゴシック Medium"/>
        <family val="3"/>
        <charset val="128"/>
      </rPr>
      <t>行二</t>
    </r>
    <rPh sb="0" eb="2">
      <t>ユキヤマ</t>
    </rPh>
    <rPh sb="3" eb="5">
      <t>コウジ</t>
    </rPh>
    <phoneticPr fontId="1"/>
  </si>
  <si>
    <r>
      <rPr>
        <b/>
        <sz val="11"/>
        <color indexed="14"/>
        <rFont val="游ゴシック Medium"/>
        <family val="3"/>
        <charset val="128"/>
      </rPr>
      <t>ロス・カプリチョス</t>
    </r>
    <r>
      <rPr>
        <b/>
        <sz val="11"/>
        <color indexed="14"/>
        <rFont val="Consolas"/>
        <family val="3"/>
      </rPr>
      <t xml:space="preserve"> </t>
    </r>
    <r>
      <rPr>
        <b/>
        <sz val="11"/>
        <color indexed="14"/>
        <rFont val="游ゴシック Medium"/>
        <family val="3"/>
        <charset val="128"/>
      </rPr>
      <t>国立西洋美術館所蔵</t>
    </r>
    <r>
      <rPr>
        <b/>
        <sz val="11"/>
        <color indexed="14"/>
        <rFont val="Consolas"/>
        <family val="3"/>
      </rPr>
      <t xml:space="preserve"> </t>
    </r>
    <r>
      <rPr>
        <b/>
        <sz val="11"/>
        <color indexed="14"/>
        <rFont val="游ゴシック Medium"/>
        <family val="3"/>
        <charset val="128"/>
      </rPr>
      <t>寓意に満ちた幻想版画の世界</t>
    </r>
    <rPh sb="10" eb="12">
      <t>コクリツ</t>
    </rPh>
    <rPh sb="12" eb="14">
      <t>セイヨウ</t>
    </rPh>
    <rPh sb="14" eb="17">
      <t>ビジュツカン</t>
    </rPh>
    <rPh sb="17" eb="19">
      <t>ショゾウ</t>
    </rPh>
    <rPh sb="20" eb="22">
      <t>グウイ</t>
    </rPh>
    <rPh sb="23" eb="24">
      <t>ミ</t>
    </rPh>
    <rPh sb="26" eb="28">
      <t>ゲンソウ</t>
    </rPh>
    <rPh sb="28" eb="30">
      <t>ハンガ</t>
    </rPh>
    <rPh sb="31" eb="33">
      <t>セカイ</t>
    </rPh>
    <phoneticPr fontId="1"/>
  </si>
  <si>
    <r>
      <rPr>
        <sz val="11"/>
        <rFont val="游ゴシック Medium"/>
        <family val="3"/>
        <charset val="128"/>
      </rPr>
      <t>二玄社</t>
    </r>
    <rPh sb="0" eb="3">
      <t>ニゲンシャ</t>
    </rPh>
    <phoneticPr fontId="1"/>
  </si>
  <si>
    <r>
      <rPr>
        <sz val="11"/>
        <rFont val="游ゴシック Medium"/>
        <family val="3"/>
        <charset val="128"/>
      </rPr>
      <t>稲垣足穂</t>
    </r>
    <rPh sb="0" eb="2">
      <t>イナガキ</t>
    </rPh>
    <rPh sb="2" eb="4">
      <t>タルホ</t>
    </rPh>
    <phoneticPr fontId="1"/>
  </si>
  <si>
    <r>
      <rPr>
        <b/>
        <sz val="11"/>
        <color indexed="14"/>
        <rFont val="游ゴシック Medium"/>
        <family val="3"/>
        <charset val="128"/>
      </rPr>
      <t>絵本・逆流のエロス</t>
    </r>
    <rPh sb="0" eb="2">
      <t>エホン</t>
    </rPh>
    <rPh sb="3" eb="5">
      <t>ギャクリュウ</t>
    </rPh>
    <phoneticPr fontId="1"/>
  </si>
  <si>
    <r>
      <rPr>
        <sz val="11"/>
        <rFont val="游ゴシック Medium"/>
        <family val="3"/>
        <charset val="128"/>
      </rPr>
      <t>現代ブック社</t>
    </r>
    <rPh sb="0" eb="2">
      <t>ゲンダイ</t>
    </rPh>
    <rPh sb="5" eb="6">
      <t>シャ</t>
    </rPh>
    <phoneticPr fontId="1"/>
  </si>
  <si>
    <r>
      <rPr>
        <sz val="11"/>
        <rFont val="游ゴシック Medium"/>
        <family val="3"/>
        <charset val="128"/>
      </rPr>
      <t>鶴亀堂・大府市</t>
    </r>
    <rPh sb="0" eb="2">
      <t>ツルカメ</t>
    </rPh>
    <rPh sb="2" eb="3">
      <t>ドウ</t>
    </rPh>
    <rPh sb="4" eb="7">
      <t>オオブシ</t>
    </rPh>
    <phoneticPr fontId="1"/>
  </si>
  <si>
    <r>
      <t xml:space="preserve">Maya Maxx + </t>
    </r>
    <r>
      <rPr>
        <sz val="11"/>
        <rFont val="游ゴシック Medium"/>
        <family val="3"/>
        <charset val="128"/>
      </rPr>
      <t>ポンキッキーズ</t>
    </r>
    <rPh sb="0" eb="9">
      <t>マヤ マックス</t>
    </rPh>
    <phoneticPr fontId="1"/>
  </si>
  <si>
    <r>
      <t>Maya Maxx</t>
    </r>
    <r>
      <rPr>
        <sz val="8"/>
        <rFont val="游ゴシック Medium"/>
        <family val="3"/>
        <charset val="128"/>
      </rPr>
      <t>の</t>
    </r>
    <r>
      <rPr>
        <sz val="8"/>
        <rFont val="Consolas"/>
        <family val="3"/>
      </rPr>
      <t xml:space="preserve"> </t>
    </r>
    <r>
      <rPr>
        <sz val="11"/>
        <rFont val="游ゴシック Medium"/>
        <family val="3"/>
        <charset val="128"/>
      </rPr>
      <t>どこでも</t>
    </r>
    <r>
      <rPr>
        <sz val="11"/>
        <rFont val="Consolas"/>
        <family val="3"/>
      </rPr>
      <t>Canvas</t>
    </r>
    <rPh sb="0" eb="9">
      <t>マヤ マックス</t>
    </rPh>
    <rPh sb="15" eb="21">
      <t>キャンバス</t>
    </rPh>
    <phoneticPr fontId="1"/>
  </si>
  <si>
    <r>
      <rPr>
        <sz val="11"/>
        <rFont val="游ゴシック Medium"/>
        <family val="3"/>
        <charset val="128"/>
      </rPr>
      <t>池袋</t>
    </r>
    <r>
      <rPr>
        <sz val="11"/>
        <rFont val="Consolas"/>
        <family val="3"/>
      </rPr>
      <t>Metropolitan Plaza</t>
    </r>
    <r>
      <rPr>
        <sz val="11"/>
        <rFont val="游ゴシック Medium"/>
        <family val="3"/>
        <charset val="128"/>
      </rPr>
      <t>いけだ書店</t>
    </r>
    <rPh sb="0" eb="2">
      <t>イケブクロ</t>
    </rPh>
    <rPh sb="2" eb="20">
      <t>メトロポリタン　プラザ</t>
    </rPh>
    <rPh sb="23" eb="25">
      <t>ショテン</t>
    </rPh>
    <phoneticPr fontId="1"/>
  </si>
  <si>
    <r>
      <rPr>
        <sz val="11"/>
        <rFont val="游ゴシック Medium"/>
        <family val="3"/>
        <charset val="128"/>
      </rPr>
      <t>蜷川実花</t>
    </r>
    <rPh sb="0" eb="2">
      <t>ニナガワ</t>
    </rPh>
    <rPh sb="2" eb="4">
      <t>ミカ</t>
    </rPh>
    <phoneticPr fontId="1"/>
  </si>
  <si>
    <r>
      <t>Baby Blue Sky./</t>
    </r>
    <r>
      <rPr>
        <sz val="11"/>
        <rFont val="游ゴシック Medium"/>
        <family val="3"/>
        <charset val="128"/>
      </rPr>
      <t>めがみ</t>
    </r>
    <r>
      <rPr>
        <sz val="11"/>
        <rFont val="Consolas"/>
        <family val="3"/>
      </rPr>
      <t xml:space="preserve"> </t>
    </r>
    <r>
      <rPr>
        <sz val="11"/>
        <rFont val="游ゴシック Medium"/>
        <family val="3"/>
        <charset val="128"/>
      </rPr>
      <t>が</t>
    </r>
    <r>
      <rPr>
        <sz val="11"/>
        <rFont val="Consolas"/>
        <family val="3"/>
      </rPr>
      <t xml:space="preserve"> </t>
    </r>
    <r>
      <rPr>
        <sz val="11"/>
        <rFont val="游ゴシック Medium"/>
        <family val="3"/>
        <charset val="128"/>
      </rPr>
      <t>すむ島、イスラ･ムヘーレス</t>
    </r>
    <rPh sb="0" eb="4">
      <t>ベイビー</t>
    </rPh>
    <rPh sb="5" eb="9">
      <t>ブルー</t>
    </rPh>
    <rPh sb="10" eb="13">
      <t>スカイ</t>
    </rPh>
    <rPh sb="23" eb="24">
      <t>シマ</t>
    </rPh>
    <phoneticPr fontId="1"/>
  </si>
  <si>
    <r>
      <rPr>
        <sz val="11"/>
        <rFont val="游ゴシック Medium"/>
        <family val="3"/>
        <charset val="128"/>
      </rPr>
      <t>メタローグ</t>
    </r>
    <r>
      <rPr>
        <sz val="11"/>
        <rFont val="Consolas"/>
        <family val="3"/>
      </rPr>
      <t>/</t>
    </r>
    <r>
      <rPr>
        <sz val="11"/>
        <rFont val="游ゴシック Medium"/>
        <family val="3"/>
        <charset val="128"/>
      </rPr>
      <t>㈱</t>
    </r>
    <phoneticPr fontId="1"/>
  </si>
  <si>
    <r>
      <rPr>
        <sz val="11"/>
        <rFont val="游ゴシック Medium"/>
        <family val="3"/>
        <charset val="128"/>
      </rPr>
      <t>河出書房新社</t>
    </r>
    <r>
      <rPr>
        <sz val="11"/>
        <rFont val="Consolas"/>
        <family val="3"/>
      </rPr>
      <t>:</t>
    </r>
    <r>
      <rPr>
        <sz val="11"/>
        <rFont val="游ゴシック Medium"/>
        <family val="3"/>
        <charset val="128"/>
      </rPr>
      <t>発売</t>
    </r>
    <r>
      <rPr>
        <sz val="11"/>
        <rFont val="Consolas"/>
        <family val="3"/>
      </rPr>
      <t>/E.T.:</t>
    </r>
    <r>
      <rPr>
        <sz val="11"/>
        <rFont val="游ゴシック Medium"/>
        <family val="3"/>
        <charset val="128"/>
      </rPr>
      <t>発行</t>
    </r>
    <rPh sb="0" eb="4">
      <t>カワデショボウ</t>
    </rPh>
    <rPh sb="4" eb="5">
      <t>シン</t>
    </rPh>
    <rPh sb="5" eb="6">
      <t>シャ</t>
    </rPh>
    <rPh sb="7" eb="9">
      <t>ハツバイ</t>
    </rPh>
    <rPh sb="15" eb="17">
      <t>ハッコウ</t>
    </rPh>
    <phoneticPr fontId="1"/>
  </si>
  <si>
    <r>
      <t>Libroport:</t>
    </r>
    <r>
      <rPr>
        <sz val="11"/>
        <rFont val="游ゴシック Medium"/>
        <family val="3"/>
        <charset val="128"/>
      </rPr>
      <t>発売</t>
    </r>
    <rPh sb="0" eb="9">
      <t>リブロポート</t>
    </rPh>
    <rPh sb="10" eb="12">
      <t>ハツバイ</t>
    </rPh>
    <phoneticPr fontId="1"/>
  </si>
  <si>
    <r>
      <rPr>
        <sz val="11"/>
        <rFont val="游ゴシック Medium"/>
        <family val="3"/>
        <charset val="128"/>
      </rPr>
      <t>林</t>
    </r>
    <r>
      <rPr>
        <sz val="11"/>
        <rFont val="Consolas"/>
        <family val="3"/>
      </rPr>
      <t xml:space="preserve"> </t>
    </r>
    <r>
      <rPr>
        <sz val="11"/>
        <rFont val="游ゴシック Medium"/>
        <family val="3"/>
        <charset val="128"/>
      </rPr>
      <t>良文</t>
    </r>
    <rPh sb="0" eb="1">
      <t>ハヤシ</t>
    </rPh>
    <rPh sb="2" eb="4">
      <t>ヨシフミ</t>
    </rPh>
    <phoneticPr fontId="1"/>
  </si>
  <si>
    <r>
      <t>Le Carnaval pour Rome'o et Juliette/</t>
    </r>
    <r>
      <rPr>
        <sz val="11"/>
        <rFont val="游ゴシック Medium"/>
        <family val="3"/>
        <charset val="128"/>
      </rPr>
      <t>ロメオとジュリエッタの為の謝肉祭</t>
    </r>
    <rPh sb="47" eb="48">
      <t>タメ</t>
    </rPh>
    <rPh sb="49" eb="52">
      <t>シャニクサイ</t>
    </rPh>
    <phoneticPr fontId="1"/>
  </si>
  <si>
    <r>
      <t>e'.t./</t>
    </r>
    <r>
      <rPr>
        <sz val="11"/>
        <rFont val="游ゴシック Medium"/>
        <family val="3"/>
        <charset val="128"/>
      </rPr>
      <t>株式会社</t>
    </r>
    <rPh sb="6" eb="10">
      <t>カブシキガイシャ</t>
    </rPh>
    <phoneticPr fontId="1"/>
  </si>
  <si>
    <r>
      <rPr>
        <sz val="11"/>
        <rFont val="游ゴシック Medium"/>
        <family val="3"/>
        <charset val="128"/>
      </rPr>
      <t>最新作品集</t>
    </r>
    <rPh sb="0" eb="2">
      <t>サイシン</t>
    </rPh>
    <rPh sb="2" eb="4">
      <t>サクヒン</t>
    </rPh>
    <rPh sb="4" eb="5">
      <t>シュウ</t>
    </rPh>
    <phoneticPr fontId="1"/>
  </si>
  <si>
    <r>
      <rPr>
        <sz val="11"/>
        <rFont val="游ゴシック Medium"/>
        <family val="3"/>
        <charset val="128"/>
      </rPr>
      <t>花嫁の閨房に軟禁された両性具有者が生理学者</t>
    </r>
    <r>
      <rPr>
        <sz val="11"/>
        <rFont val="Consolas"/>
        <family val="3"/>
      </rPr>
      <t>Y</t>
    </r>
    <r>
      <rPr>
        <sz val="11"/>
        <rFont val="游ゴシック Medium"/>
        <family val="3"/>
        <charset val="128"/>
      </rPr>
      <t>氏と交わした密約</t>
    </r>
    <r>
      <rPr>
        <sz val="11"/>
        <rFont val="Consolas"/>
        <family val="3"/>
      </rPr>
      <t>/Traite's Secrets/E'change's Entre Monsieur Y,Physiologiste,et un Hermaphrodite Vaguement Se'questre' dans le Boudoir d'une Re'cente Marie'e</t>
    </r>
    <rPh sb="0" eb="2">
      <t>ハナヨメ</t>
    </rPh>
    <rPh sb="3" eb="5">
      <t>ケイボウ</t>
    </rPh>
    <rPh sb="6" eb="8">
      <t>ナンキン</t>
    </rPh>
    <rPh sb="11" eb="13">
      <t>リョウセイ</t>
    </rPh>
    <rPh sb="13" eb="15">
      <t>グユウ</t>
    </rPh>
    <rPh sb="15" eb="16">
      <t>シャ</t>
    </rPh>
    <rPh sb="17" eb="20">
      <t>セイリガク</t>
    </rPh>
    <rPh sb="20" eb="21">
      <t>シャ</t>
    </rPh>
    <rPh sb="22" eb="23">
      <t>シ</t>
    </rPh>
    <rPh sb="24" eb="25">
      <t>カ</t>
    </rPh>
    <rPh sb="28" eb="30">
      <t>ミツヤク</t>
    </rPh>
    <phoneticPr fontId="1"/>
  </si>
  <si>
    <r>
      <rPr>
        <sz val="11"/>
        <rFont val="游ゴシック Medium"/>
        <family val="3"/>
        <charset val="128"/>
      </rPr>
      <t>脳髄を懐胎したある唯物論者の花嫁</t>
    </r>
    <r>
      <rPr>
        <sz val="11"/>
        <rFont val="Consolas"/>
        <family val="3"/>
      </rPr>
      <t>/La Jeune Marie'e d'un Nate'rialiste Enceinte de Cerveaux</t>
    </r>
    <rPh sb="0" eb="2">
      <t>ノウズイ</t>
    </rPh>
    <rPh sb="3" eb="5">
      <t>カイタイ</t>
    </rPh>
    <rPh sb="9" eb="11">
      <t>ユイブツ</t>
    </rPh>
    <rPh sb="11" eb="13">
      <t>ロンシャ</t>
    </rPh>
    <rPh sb="14" eb="16">
      <t>ハナヨメ</t>
    </rPh>
    <phoneticPr fontId="1"/>
  </si>
  <si>
    <r>
      <rPr>
        <sz val="11"/>
        <rFont val="游ゴシック Medium"/>
        <family val="3"/>
        <charset val="128"/>
      </rPr>
      <t>藤倉厚子</t>
    </r>
    <rPh sb="0" eb="2">
      <t>フジクラ</t>
    </rPh>
    <rPh sb="2" eb="4">
      <t>アツコ</t>
    </rPh>
    <phoneticPr fontId="1"/>
  </si>
  <si>
    <r>
      <rPr>
        <sz val="11"/>
        <rFont val="游ゴシック Medium"/>
        <family val="3"/>
        <charset val="128"/>
      </rPr>
      <t>作品集</t>
    </r>
    <rPh sb="0" eb="2">
      <t>サクヒン</t>
    </rPh>
    <rPh sb="2" eb="3">
      <t>シュウ</t>
    </rPh>
    <phoneticPr fontId="1"/>
  </si>
  <si>
    <r>
      <rPr>
        <sz val="11"/>
        <rFont val="游ゴシック Medium"/>
        <family val="3"/>
        <charset val="128"/>
      </rPr>
      <t>エロティシズムの光と影</t>
    </r>
    <rPh sb="8" eb="9">
      <t>ヒカリ</t>
    </rPh>
    <rPh sb="10" eb="11">
      <t>カゲ</t>
    </rPh>
    <phoneticPr fontId="1"/>
  </si>
  <si>
    <r>
      <rPr>
        <sz val="11"/>
        <rFont val="游ゴシック Medium"/>
        <family val="3"/>
        <charset val="128"/>
      </rPr>
      <t>ギャラリーアーチストスペース</t>
    </r>
    <r>
      <rPr>
        <sz val="11"/>
        <rFont val="Consolas"/>
        <family val="3"/>
      </rPr>
      <t>?</t>
    </r>
    <phoneticPr fontId="1"/>
  </si>
  <si>
    <r>
      <rPr>
        <sz val="11"/>
        <rFont val="游ゴシック Medium"/>
        <family val="3"/>
        <charset val="128"/>
      </rPr>
      <t>よーこの漬物袋から発掘</t>
    </r>
    <rPh sb="4" eb="7">
      <t>ツケモノブクロ</t>
    </rPh>
    <rPh sb="9" eb="11">
      <t>ハックツ</t>
    </rPh>
    <phoneticPr fontId="1"/>
  </si>
  <si>
    <r>
      <rPr>
        <sz val="11"/>
        <rFont val="游ゴシック Medium"/>
        <family val="3"/>
        <charset val="128"/>
      </rPr>
      <t>佐藤健寿</t>
    </r>
    <rPh sb="0" eb="2">
      <t>サトウ</t>
    </rPh>
    <rPh sb="2" eb="4">
      <t>ケンジ</t>
    </rPh>
    <phoneticPr fontId="1"/>
  </si>
  <si>
    <r>
      <rPr>
        <sz val="11"/>
        <rFont val="游ゴシック Medium"/>
        <family val="3"/>
        <charset val="128"/>
      </rPr>
      <t>写真･文</t>
    </r>
    <rPh sb="0" eb="2">
      <t>シャシン</t>
    </rPh>
    <rPh sb="3" eb="4">
      <t>ブン</t>
    </rPh>
    <phoneticPr fontId="1"/>
  </si>
  <si>
    <r>
      <rPr>
        <sz val="11"/>
        <rFont val="游ゴシック Medium"/>
        <family val="3"/>
        <charset val="128"/>
      </rPr>
      <t>漫☆画太郎</t>
    </r>
    <r>
      <rPr>
        <sz val="11"/>
        <rFont val="Consolas"/>
        <family val="3"/>
      </rPr>
      <t>/</t>
    </r>
    <r>
      <rPr>
        <sz val="11"/>
        <rFont val="游ゴシック Medium"/>
        <family val="3"/>
        <charset val="128"/>
      </rPr>
      <t>古平正義</t>
    </r>
    <rPh sb="0" eb="1">
      <t>マン</t>
    </rPh>
    <rPh sb="2" eb="3">
      <t>ガ</t>
    </rPh>
    <rPh sb="3" eb="5">
      <t>タロウ</t>
    </rPh>
    <rPh sb="6" eb="8">
      <t>フルダイラ</t>
    </rPh>
    <rPh sb="8" eb="10">
      <t>セイギ</t>
    </rPh>
    <phoneticPr fontId="1"/>
  </si>
  <si>
    <r>
      <rPr>
        <sz val="11"/>
        <rFont val="游ゴシック Medium"/>
        <family val="3"/>
        <charset val="128"/>
      </rPr>
      <t>イラスト</t>
    </r>
    <r>
      <rPr>
        <sz val="11"/>
        <rFont val="Consolas"/>
        <family val="3"/>
      </rPr>
      <t>/</t>
    </r>
    <r>
      <rPr>
        <sz val="11"/>
        <rFont val="游ゴシック Medium"/>
        <family val="3"/>
        <charset val="128"/>
      </rPr>
      <t>アートディレクション</t>
    </r>
    <phoneticPr fontId="1"/>
  </si>
  <si>
    <r>
      <rPr>
        <b/>
        <sz val="11"/>
        <color indexed="33"/>
        <rFont val="游ゴシック Medium"/>
        <family val="3"/>
        <charset val="128"/>
      </rPr>
      <t>奇界遺産</t>
    </r>
    <r>
      <rPr>
        <b/>
        <sz val="11"/>
        <color indexed="33"/>
        <rFont val="Consolas"/>
        <family val="3"/>
      </rPr>
      <t xml:space="preserve"> The Wonderland's Heritage by KENJI SATO</t>
    </r>
    <rPh sb="0" eb="1">
      <t>キ</t>
    </rPh>
    <rPh sb="1" eb="2">
      <t>カイ</t>
    </rPh>
    <rPh sb="2" eb="4">
      <t>イサン</t>
    </rPh>
    <phoneticPr fontId="1"/>
  </si>
  <si>
    <r>
      <rPr>
        <sz val="11"/>
        <rFont val="游ゴシック Medium"/>
        <family val="3"/>
        <charset val="128"/>
      </rPr>
      <t>八重洲ブックセンター</t>
    </r>
    <rPh sb="0" eb="3">
      <t>ヤエス</t>
    </rPh>
    <phoneticPr fontId="1"/>
  </si>
  <si>
    <r>
      <rPr>
        <sz val="11"/>
        <rFont val="游ゴシック Medium"/>
        <family val="3"/>
        <charset val="128"/>
      </rPr>
      <t>池田宗弘</t>
    </r>
    <rPh sb="0" eb="2">
      <t>イケダ</t>
    </rPh>
    <rPh sb="2" eb="4">
      <t>ムネヒロ</t>
    </rPh>
    <phoneticPr fontId="1"/>
  </si>
  <si>
    <r>
      <rPr>
        <sz val="11"/>
        <rFont val="游ゴシック Medium"/>
        <family val="3"/>
        <charset val="128"/>
      </rPr>
      <t>池田裕子マリア・ベルナデッタ</t>
    </r>
    <rPh sb="0" eb="2">
      <t>イケダ</t>
    </rPh>
    <rPh sb="2" eb="4">
      <t>ヒロコ</t>
    </rPh>
    <phoneticPr fontId="1"/>
  </si>
  <si>
    <r>
      <rPr>
        <sz val="11"/>
        <rFont val="游ゴシック Medium"/>
        <family val="3"/>
        <charset val="128"/>
      </rPr>
      <t>非売品</t>
    </r>
    <rPh sb="0" eb="3">
      <t>ヒバイヒン</t>
    </rPh>
    <phoneticPr fontId="1"/>
  </si>
  <si>
    <r>
      <rPr>
        <sz val="11"/>
        <rFont val="游ゴシック Medium"/>
        <family val="3"/>
        <charset val="128"/>
      </rPr>
      <t>蕗谷虹児</t>
    </r>
    <rPh sb="0" eb="2">
      <t>フキヤ</t>
    </rPh>
    <rPh sb="2" eb="4">
      <t>コウジ</t>
    </rPh>
    <phoneticPr fontId="1"/>
  </si>
  <si>
    <r>
      <rPr>
        <sz val="8"/>
        <rFont val="游ゴシック Medium"/>
        <family val="3"/>
        <charset val="128"/>
      </rPr>
      <t>抒情の旅人</t>
    </r>
    <r>
      <rPr>
        <sz val="8"/>
        <rFont val="Consolas"/>
        <family val="3"/>
      </rPr>
      <t xml:space="preserve"> </t>
    </r>
    <r>
      <rPr>
        <sz val="11"/>
        <rFont val="游ゴシック Medium"/>
        <family val="3"/>
        <charset val="128"/>
      </rPr>
      <t>蕗谷虹児展</t>
    </r>
    <rPh sb="0" eb="2">
      <t>ジョジョウ</t>
    </rPh>
    <rPh sb="3" eb="5">
      <t>タビビト</t>
    </rPh>
    <rPh sb="6" eb="8">
      <t>フキヤ</t>
    </rPh>
    <rPh sb="8" eb="10">
      <t>コウジ</t>
    </rPh>
    <rPh sb="10" eb="11">
      <t>テン</t>
    </rPh>
    <phoneticPr fontId="1"/>
  </si>
  <si>
    <r>
      <rPr>
        <sz val="11"/>
        <rFont val="游ゴシック Medium"/>
        <family val="3"/>
        <charset val="128"/>
      </rPr>
      <t>古沢岩美</t>
    </r>
    <rPh sb="0" eb="2">
      <t>フルサワ</t>
    </rPh>
    <rPh sb="2" eb="4">
      <t>イワミ</t>
    </rPh>
    <phoneticPr fontId="1"/>
  </si>
  <si>
    <r>
      <rPr>
        <sz val="11"/>
        <rFont val="游ゴシック Medium"/>
        <family val="3"/>
        <charset val="128"/>
      </rPr>
      <t>吉村貞司</t>
    </r>
    <r>
      <rPr>
        <sz val="11"/>
        <rFont val="Consolas"/>
        <family val="3"/>
      </rPr>
      <t>/</t>
    </r>
    <r>
      <rPr>
        <sz val="11"/>
        <rFont val="游ゴシック Medium"/>
        <family val="3"/>
        <charset val="128"/>
      </rPr>
      <t>井上靖</t>
    </r>
    <r>
      <rPr>
        <sz val="11"/>
        <rFont val="Consolas"/>
        <family val="3"/>
      </rPr>
      <t>,</t>
    </r>
    <r>
      <rPr>
        <sz val="11"/>
        <rFont val="游ゴシック Medium"/>
        <family val="3"/>
        <charset val="128"/>
      </rPr>
      <t>河北倫明</t>
    </r>
    <rPh sb="0" eb="4">
      <t>ヨシムラテイジ</t>
    </rPh>
    <rPh sb="5" eb="7">
      <t>イノウエ</t>
    </rPh>
    <rPh sb="7" eb="8">
      <t>ヤスシ</t>
    </rPh>
    <rPh sb="9" eb="11">
      <t>カワキタ</t>
    </rPh>
    <rPh sb="11" eb="13">
      <t>ミチアキ</t>
    </rPh>
    <phoneticPr fontId="1"/>
  </si>
  <si>
    <r>
      <rPr>
        <sz val="11"/>
        <rFont val="游ゴシック Medium"/>
        <family val="3"/>
        <charset val="128"/>
      </rPr>
      <t>解説</t>
    </r>
    <r>
      <rPr>
        <sz val="11"/>
        <rFont val="Consolas"/>
        <family val="3"/>
      </rPr>
      <t>/</t>
    </r>
    <r>
      <rPr>
        <sz val="11"/>
        <rFont val="游ゴシック Medium"/>
        <family val="3"/>
        <charset val="128"/>
      </rPr>
      <t>監修</t>
    </r>
    <rPh sb="0" eb="2">
      <t>カイセツ</t>
    </rPh>
    <rPh sb="3" eb="5">
      <t>カンシュウ</t>
    </rPh>
    <phoneticPr fontId="1"/>
  </si>
  <si>
    <r>
      <rPr>
        <sz val="11"/>
        <rFont val="游ゴシック Medium"/>
        <family val="3"/>
        <charset val="128"/>
      </rPr>
      <t>裸婦</t>
    </r>
    <r>
      <rPr>
        <sz val="11"/>
        <rFont val="Consolas"/>
        <family val="3"/>
      </rPr>
      <t xml:space="preserve"> </t>
    </r>
    <r>
      <rPr>
        <sz val="11"/>
        <rFont val="游ゴシック Medium"/>
        <family val="3"/>
        <charset val="128"/>
      </rPr>
      <t>古沢岩美</t>
    </r>
    <rPh sb="0" eb="2">
      <t>ラフ</t>
    </rPh>
    <rPh sb="3" eb="5">
      <t>フルサワ</t>
    </rPh>
    <rPh sb="5" eb="7">
      <t>イワミ</t>
    </rPh>
    <phoneticPr fontId="1"/>
  </si>
  <si>
    <r>
      <rPr>
        <sz val="11"/>
        <rFont val="游ゴシック Medium"/>
        <family val="3"/>
        <charset val="128"/>
      </rPr>
      <t>三尾公三</t>
    </r>
    <rPh sb="0" eb="2">
      <t>ミオ</t>
    </rPh>
    <rPh sb="2" eb="4">
      <t>コウゾウ</t>
    </rPh>
    <phoneticPr fontId="1"/>
  </si>
  <si>
    <r>
      <rPr>
        <sz val="11"/>
        <rFont val="游ゴシック Medium"/>
        <family val="3"/>
        <charset val="128"/>
      </rPr>
      <t>小倉忠夫</t>
    </r>
    <r>
      <rPr>
        <sz val="11"/>
        <rFont val="Consolas"/>
        <family val="3"/>
      </rPr>
      <t>/</t>
    </r>
    <r>
      <rPr>
        <sz val="11"/>
        <rFont val="游ゴシック Medium"/>
        <family val="3"/>
        <charset val="128"/>
      </rPr>
      <t>井上靖</t>
    </r>
    <r>
      <rPr>
        <sz val="11"/>
        <rFont val="Consolas"/>
        <family val="3"/>
      </rPr>
      <t>,</t>
    </r>
    <r>
      <rPr>
        <sz val="11"/>
        <rFont val="游ゴシック Medium"/>
        <family val="3"/>
        <charset val="128"/>
      </rPr>
      <t>河北倫明</t>
    </r>
    <rPh sb="0" eb="4">
      <t>オグラタダオ</t>
    </rPh>
    <rPh sb="5" eb="7">
      <t>イノウエ</t>
    </rPh>
    <rPh sb="7" eb="8">
      <t>ヤスシ</t>
    </rPh>
    <rPh sb="9" eb="11">
      <t>カワキタ</t>
    </rPh>
    <rPh sb="11" eb="13">
      <t>ミチアキ</t>
    </rPh>
    <phoneticPr fontId="1"/>
  </si>
  <si>
    <r>
      <rPr>
        <sz val="11"/>
        <rFont val="游ゴシック Medium"/>
        <family val="3"/>
        <charset val="128"/>
      </rPr>
      <t>裸婦</t>
    </r>
    <r>
      <rPr>
        <sz val="11"/>
        <rFont val="Consolas"/>
        <family val="3"/>
      </rPr>
      <t xml:space="preserve"> </t>
    </r>
    <r>
      <rPr>
        <sz val="11"/>
        <rFont val="游ゴシック Medium"/>
        <family val="3"/>
        <charset val="128"/>
      </rPr>
      <t>三尾公三</t>
    </r>
    <rPh sb="0" eb="2">
      <t>ラフ</t>
    </rPh>
    <rPh sb="3" eb="5">
      <t>ミオ</t>
    </rPh>
    <rPh sb="5" eb="7">
      <t>コウゾウ</t>
    </rPh>
    <phoneticPr fontId="1"/>
  </si>
  <si>
    <r>
      <rPr>
        <sz val="11"/>
        <rFont val="游ゴシック Medium"/>
        <family val="3"/>
        <charset val="128"/>
      </rPr>
      <t>池袋古書館</t>
    </r>
    <rPh sb="0" eb="2">
      <t>イケブクロ</t>
    </rPh>
    <rPh sb="2" eb="4">
      <t>コショ</t>
    </rPh>
    <rPh sb="4" eb="5">
      <t>カン</t>
    </rPh>
    <phoneticPr fontId="1"/>
  </si>
  <si>
    <r>
      <rPr>
        <sz val="11"/>
        <rFont val="游ゴシック Medium"/>
        <family val="3"/>
        <charset val="128"/>
      </rPr>
      <t>加山又造</t>
    </r>
    <rPh sb="0" eb="2">
      <t>カヤマ</t>
    </rPh>
    <rPh sb="2" eb="4">
      <t>マタゾウ</t>
    </rPh>
    <phoneticPr fontId="1"/>
  </si>
  <si>
    <r>
      <rPr>
        <sz val="11"/>
        <rFont val="游ゴシック Medium"/>
        <family val="3"/>
        <charset val="128"/>
      </rPr>
      <t>桑原住雄</t>
    </r>
    <r>
      <rPr>
        <sz val="11"/>
        <rFont val="Consolas"/>
        <family val="3"/>
      </rPr>
      <t>/</t>
    </r>
    <r>
      <rPr>
        <sz val="11"/>
        <rFont val="游ゴシック Medium"/>
        <family val="3"/>
        <charset val="128"/>
      </rPr>
      <t>井上靖</t>
    </r>
    <r>
      <rPr>
        <sz val="11"/>
        <rFont val="Consolas"/>
        <family val="3"/>
      </rPr>
      <t>,</t>
    </r>
    <r>
      <rPr>
        <sz val="11"/>
        <rFont val="游ゴシック Medium"/>
        <family val="3"/>
        <charset val="128"/>
      </rPr>
      <t>河北倫明</t>
    </r>
    <rPh sb="0" eb="2">
      <t>クワバラ</t>
    </rPh>
    <rPh sb="2" eb="4">
      <t>スミオ</t>
    </rPh>
    <rPh sb="5" eb="7">
      <t>イノウエ</t>
    </rPh>
    <rPh sb="7" eb="8">
      <t>ヤスシ</t>
    </rPh>
    <rPh sb="9" eb="11">
      <t>カワキタ</t>
    </rPh>
    <rPh sb="11" eb="13">
      <t>ミチアキ</t>
    </rPh>
    <phoneticPr fontId="1"/>
  </si>
  <si>
    <r>
      <rPr>
        <sz val="11"/>
        <rFont val="游ゴシック Medium"/>
        <family val="3"/>
        <charset val="128"/>
      </rPr>
      <t>裸婦</t>
    </r>
    <r>
      <rPr>
        <sz val="11"/>
        <rFont val="Consolas"/>
        <family val="3"/>
      </rPr>
      <t xml:space="preserve"> </t>
    </r>
    <r>
      <rPr>
        <sz val="11"/>
        <rFont val="游ゴシック Medium"/>
        <family val="3"/>
        <charset val="128"/>
      </rPr>
      <t>加山又造</t>
    </r>
    <rPh sb="0" eb="2">
      <t>ラフ</t>
    </rPh>
    <rPh sb="3" eb="5">
      <t>カヤマ</t>
    </rPh>
    <rPh sb="5" eb="7">
      <t>マタゾウ</t>
    </rPh>
    <phoneticPr fontId="1"/>
  </si>
  <si>
    <r>
      <rPr>
        <sz val="11"/>
        <rFont val="游ゴシック Medium"/>
        <family val="3"/>
        <charset val="128"/>
      </rPr>
      <t>池田満寿夫</t>
    </r>
    <rPh sb="0" eb="2">
      <t>イケダ</t>
    </rPh>
    <rPh sb="2" eb="5">
      <t>マスオ</t>
    </rPh>
    <phoneticPr fontId="1"/>
  </si>
  <si>
    <r>
      <rPr>
        <sz val="11"/>
        <rFont val="游ゴシック Medium"/>
        <family val="3"/>
        <charset val="128"/>
      </rPr>
      <t>池田満寿夫展─黒田コレクションを中心に、初期から最新作まで─</t>
    </r>
    <rPh sb="0" eb="2">
      <t>イケダ</t>
    </rPh>
    <rPh sb="2" eb="5">
      <t>マスオ</t>
    </rPh>
    <rPh sb="5" eb="6">
      <t>テン</t>
    </rPh>
    <rPh sb="7" eb="9">
      <t>クロダ</t>
    </rPh>
    <rPh sb="16" eb="18">
      <t>チュウシン</t>
    </rPh>
    <rPh sb="20" eb="22">
      <t>ショキ</t>
    </rPh>
    <rPh sb="24" eb="27">
      <t>サイシンサク</t>
    </rPh>
    <phoneticPr fontId="1"/>
  </si>
  <si>
    <r>
      <rPr>
        <sz val="11"/>
        <rFont val="游ゴシック Medium"/>
        <family val="3"/>
        <charset val="128"/>
      </rPr>
      <t>長野県信濃美術館</t>
    </r>
    <rPh sb="0" eb="3">
      <t>ナガノケン</t>
    </rPh>
    <rPh sb="3" eb="5">
      <t>シナノ</t>
    </rPh>
    <rPh sb="5" eb="8">
      <t>ビジュツカン</t>
    </rPh>
    <phoneticPr fontId="1"/>
  </si>
  <si>
    <r>
      <rPr>
        <sz val="11"/>
        <rFont val="游ゴシック Medium"/>
        <family val="3"/>
        <charset val="128"/>
      </rPr>
      <t>佐伯俊男</t>
    </r>
    <rPh sb="0" eb="2">
      <t>サエキ</t>
    </rPh>
    <rPh sb="2" eb="4">
      <t>トシオ</t>
    </rPh>
    <phoneticPr fontId="1"/>
  </si>
  <si>
    <r>
      <rPr>
        <sz val="11"/>
        <rFont val="游ゴシック Medium"/>
        <family val="3"/>
        <charset val="128"/>
      </rPr>
      <t>佐伯俊男妖画館</t>
    </r>
    <r>
      <rPr>
        <sz val="11"/>
        <rFont val="Consolas"/>
        <family val="3"/>
      </rPr>
      <t>/</t>
    </r>
    <r>
      <rPr>
        <sz val="11"/>
        <rFont val="游ゴシック Medium"/>
        <family val="3"/>
        <charset val="128"/>
      </rPr>
      <t>愛と</t>
    </r>
    <r>
      <rPr>
        <sz val="11"/>
        <rFont val="Consolas"/>
        <family val="3"/>
      </rPr>
      <t>Eros</t>
    </r>
    <rPh sb="0" eb="4">
      <t>サエキトシオ</t>
    </rPh>
    <rPh sb="4" eb="6">
      <t>ヨウガ</t>
    </rPh>
    <rPh sb="6" eb="7">
      <t>カン</t>
    </rPh>
    <rPh sb="8" eb="9">
      <t>アイ</t>
    </rPh>
    <rPh sb="10" eb="14">
      <t>エロス</t>
    </rPh>
    <phoneticPr fontId="1"/>
  </si>
  <si>
    <r>
      <rPr>
        <sz val="11"/>
        <rFont val="游ゴシック Medium"/>
        <family val="3"/>
        <charset val="128"/>
      </rPr>
      <t>荒地出版社</t>
    </r>
    <rPh sb="0" eb="2">
      <t>アレチ</t>
    </rPh>
    <rPh sb="2" eb="5">
      <t>シュッパンシャ</t>
    </rPh>
    <phoneticPr fontId="1"/>
  </si>
  <si>
    <r>
      <t>Bali</t>
    </r>
    <r>
      <rPr>
        <sz val="11"/>
        <rFont val="游ゴシック Medium"/>
        <family val="3"/>
        <charset val="128"/>
      </rPr>
      <t>の各美術館</t>
    </r>
    <rPh sb="0" eb="4">
      <t>バリ</t>
    </rPh>
    <rPh sb="5" eb="6">
      <t>カク</t>
    </rPh>
    <rPh sb="6" eb="9">
      <t>ビジュツカン</t>
    </rPh>
    <phoneticPr fontId="1"/>
  </si>
  <si>
    <r>
      <rPr>
        <b/>
        <sz val="11"/>
        <color indexed="33"/>
        <rFont val="游ゴシック Medium"/>
        <family val="3"/>
        <charset val="128"/>
      </rPr>
      <t>再制作と引用</t>
    </r>
    <rPh sb="0" eb="1">
      <t>サイ</t>
    </rPh>
    <rPh sb="1" eb="3">
      <t>セイサク</t>
    </rPh>
    <rPh sb="4" eb="6">
      <t>インヨウ</t>
    </rPh>
    <phoneticPr fontId="1"/>
  </si>
  <si>
    <r>
      <rPr>
        <sz val="11"/>
        <rFont val="游ゴシック Medium"/>
        <family val="3"/>
        <charset val="128"/>
      </rPr>
      <t>板橋区立美術館</t>
    </r>
    <rPh sb="0" eb="2">
      <t>イタバシ</t>
    </rPh>
    <rPh sb="2" eb="4">
      <t>クリツ</t>
    </rPh>
    <rPh sb="4" eb="7">
      <t>ビジュツカン</t>
    </rPh>
    <phoneticPr fontId="1"/>
  </si>
  <si>
    <r>
      <rPr>
        <b/>
        <sz val="11"/>
        <color indexed="33"/>
        <rFont val="游ゴシック Medium"/>
        <family val="3"/>
        <charset val="128"/>
      </rPr>
      <t>パラレル・ヴィジョン─</t>
    </r>
    <r>
      <rPr>
        <b/>
        <sz val="11"/>
        <color indexed="33"/>
        <rFont val="Consolas"/>
        <family val="3"/>
      </rPr>
      <t>20</t>
    </r>
    <r>
      <rPr>
        <b/>
        <sz val="11"/>
        <color indexed="33"/>
        <rFont val="游ゴシック Medium"/>
        <family val="3"/>
        <charset val="128"/>
      </rPr>
      <t>世紀芸術とアウトサイダー・アート</t>
    </r>
    <r>
      <rPr>
        <b/>
        <sz val="11"/>
        <color indexed="33"/>
        <rFont val="Consolas"/>
        <family val="3"/>
      </rPr>
      <t>/Parallel Visions</t>
    </r>
    <r>
      <rPr>
        <b/>
        <sz val="11"/>
        <color indexed="33"/>
        <rFont val="游ゴシック Medium"/>
        <family val="3"/>
        <charset val="128"/>
      </rPr>
      <t>─</t>
    </r>
    <r>
      <rPr>
        <b/>
        <sz val="11"/>
        <color indexed="33"/>
        <rFont val="Consolas"/>
        <family val="3"/>
      </rPr>
      <t>Modern Artists and Outsiders Art</t>
    </r>
    <rPh sb="13" eb="15">
      <t>セイキ</t>
    </rPh>
    <rPh sb="15" eb="17">
      <t>ゲイジュツ</t>
    </rPh>
    <phoneticPr fontId="1"/>
  </si>
  <si>
    <r>
      <rPr>
        <sz val="11"/>
        <rFont val="游ゴシック Medium"/>
        <family val="3"/>
        <charset val="128"/>
      </rPr>
      <t>世田谷美術館</t>
    </r>
    <rPh sb="0" eb="3">
      <t>セタガヤ</t>
    </rPh>
    <rPh sb="3" eb="6">
      <t>ビジュツカン</t>
    </rPh>
    <phoneticPr fontId="1"/>
  </si>
  <si>
    <r>
      <rPr>
        <b/>
        <sz val="11"/>
        <color indexed="33"/>
        <rFont val="游ゴシック Medium"/>
        <family val="3"/>
        <charset val="128"/>
      </rPr>
      <t>日本のアウトサイダー・アート</t>
    </r>
    <r>
      <rPr>
        <b/>
        <sz val="11"/>
        <color indexed="33"/>
        <rFont val="Consolas"/>
        <family val="3"/>
      </rPr>
      <t>/Japanese Outsider Art : Inhabitabts of Another World</t>
    </r>
    <rPh sb="0" eb="2">
      <t>ニホン</t>
    </rPh>
    <phoneticPr fontId="1"/>
  </si>
  <si>
    <r>
      <rPr>
        <sz val="11"/>
        <rFont val="游ゴシック Medium"/>
        <family val="3"/>
        <charset val="128"/>
      </rPr>
      <t>京都書院</t>
    </r>
    <rPh sb="0" eb="2">
      <t>キョウト</t>
    </rPh>
    <rPh sb="2" eb="4">
      <t>ショイン</t>
    </rPh>
    <phoneticPr fontId="1"/>
  </si>
  <si>
    <r>
      <rPr>
        <sz val="11"/>
        <rFont val="游ゴシック Medium"/>
        <family val="3"/>
        <charset val="128"/>
      </rPr>
      <t>尼ヶ崎紀久子</t>
    </r>
    <rPh sb="0" eb="3">
      <t>アマガサキ</t>
    </rPh>
    <phoneticPr fontId="1"/>
  </si>
  <si>
    <r>
      <t xml:space="preserve">Pharmakon'90 </t>
    </r>
    <r>
      <rPr>
        <b/>
        <sz val="11"/>
        <color indexed="33"/>
        <rFont val="游ゴシック Medium"/>
        <family val="3"/>
        <charset val="128"/>
      </rPr>
      <t>現代の美術展</t>
    </r>
    <rPh sb="0" eb="9">
      <t>ファルマコン</t>
    </rPh>
    <rPh sb="13" eb="15">
      <t>ゲンダイ</t>
    </rPh>
    <rPh sb="16" eb="19">
      <t>ビジュツテン</t>
    </rPh>
    <phoneticPr fontId="1"/>
  </si>
  <si>
    <r>
      <rPr>
        <sz val="11"/>
        <rFont val="游ゴシック Medium"/>
        <family val="3"/>
        <charset val="128"/>
      </rPr>
      <t>幕張メッセ</t>
    </r>
    <rPh sb="0" eb="2">
      <t>マクハリ</t>
    </rPh>
    <phoneticPr fontId="1"/>
  </si>
  <si>
    <r>
      <rPr>
        <sz val="11"/>
        <rFont val="游ゴシック Medium"/>
        <family val="3"/>
        <charset val="128"/>
      </rPr>
      <t>エルガー</t>
    </r>
    <r>
      <rPr>
        <sz val="11"/>
        <rFont val="Consolas"/>
        <family val="3"/>
      </rPr>
      <t>,</t>
    </r>
    <r>
      <rPr>
        <sz val="11"/>
        <rFont val="游ゴシック Medium"/>
        <family val="3"/>
        <charset val="128"/>
      </rPr>
      <t>ディートマー</t>
    </r>
    <phoneticPr fontId="1"/>
  </si>
  <si>
    <r>
      <rPr>
        <sz val="11"/>
        <rFont val="游ゴシック Medium"/>
        <family val="3"/>
        <charset val="128"/>
      </rPr>
      <t>グロゼニック</t>
    </r>
    <r>
      <rPr>
        <sz val="11"/>
        <rFont val="Consolas"/>
        <family val="3"/>
      </rPr>
      <t>,</t>
    </r>
    <r>
      <rPr>
        <sz val="11"/>
        <rFont val="游ゴシック Medium"/>
        <family val="3"/>
        <charset val="128"/>
      </rPr>
      <t>ウータ</t>
    </r>
    <phoneticPr fontId="1"/>
  </si>
  <si>
    <r>
      <rPr>
        <sz val="11"/>
        <rFont val="游ゴシック Medium"/>
        <family val="3"/>
        <charset val="128"/>
      </rPr>
      <t>東武池袋旭屋書店</t>
    </r>
    <rPh sb="0" eb="2">
      <t>トウブ</t>
    </rPh>
    <rPh sb="2" eb="4">
      <t>イケブクロ</t>
    </rPh>
    <rPh sb="4" eb="8">
      <t>アサヒヤショテン</t>
    </rPh>
    <phoneticPr fontId="1"/>
  </si>
  <si>
    <r>
      <rPr>
        <sz val="11"/>
        <rFont val="游ゴシック Medium"/>
        <family val="3"/>
        <charset val="128"/>
      </rPr>
      <t>シューリアン</t>
    </r>
    <r>
      <rPr>
        <sz val="11"/>
        <rFont val="Consolas"/>
        <family val="3"/>
      </rPr>
      <t>,</t>
    </r>
    <r>
      <rPr>
        <sz val="11"/>
        <rFont val="游ゴシック Medium"/>
        <family val="3"/>
        <charset val="128"/>
      </rPr>
      <t>ヴァルター</t>
    </r>
    <phoneticPr fontId="1"/>
  </si>
  <si>
    <r>
      <rPr>
        <sz val="11"/>
        <rFont val="游ゴシック Medium"/>
        <family val="3"/>
        <charset val="128"/>
      </rPr>
      <t>グロゼニック</t>
    </r>
    <r>
      <rPr>
        <sz val="11"/>
        <rFont val="Consolas"/>
        <family val="3"/>
      </rPr>
      <t>,</t>
    </r>
    <r>
      <rPr>
        <sz val="11"/>
        <rFont val="游ゴシック Medium"/>
        <family val="3"/>
        <charset val="128"/>
      </rPr>
      <t>ウータ</t>
    </r>
    <r>
      <rPr>
        <sz val="11"/>
        <rFont val="Consolas"/>
        <family val="3"/>
      </rPr>
      <t>/Reiko Watanabe</t>
    </r>
    <phoneticPr fontId="1"/>
  </si>
  <si>
    <r>
      <rPr>
        <sz val="11"/>
        <rFont val="游ゴシック Medium"/>
        <family val="3"/>
        <charset val="128"/>
      </rPr>
      <t>幻想美術</t>
    </r>
    <r>
      <rPr>
        <sz val="11"/>
        <rFont val="Consolas"/>
        <family val="3"/>
      </rPr>
      <t xml:space="preserve"> Fantastic Art</t>
    </r>
    <rPh sb="0" eb="2">
      <t>ゲンソウ</t>
    </rPh>
    <rPh sb="2" eb="4">
      <t>ビジュツ</t>
    </rPh>
    <phoneticPr fontId="1"/>
  </si>
  <si>
    <r>
      <rPr>
        <sz val="11"/>
        <rFont val="游ゴシック Medium"/>
        <family val="3"/>
        <charset val="128"/>
      </rPr>
      <t>青木</t>
    </r>
    <r>
      <rPr>
        <sz val="11"/>
        <rFont val="Consolas"/>
        <family val="3"/>
      </rPr>
      <t xml:space="preserve"> </t>
    </r>
    <r>
      <rPr>
        <sz val="11"/>
        <rFont val="游ゴシック Medium"/>
        <family val="3"/>
        <charset val="128"/>
      </rPr>
      <t>日出夫</t>
    </r>
    <rPh sb="0" eb="2">
      <t>アオキ</t>
    </rPh>
    <rPh sb="3" eb="6">
      <t>ヒデオ</t>
    </rPh>
    <phoneticPr fontId="1"/>
  </si>
  <si>
    <r>
      <rPr>
        <sz val="11"/>
        <rFont val="游ゴシック Medium"/>
        <family val="3"/>
        <charset val="128"/>
      </rPr>
      <t>図説</t>
    </r>
    <r>
      <rPr>
        <sz val="11"/>
        <rFont val="Consolas"/>
        <family val="3"/>
      </rPr>
      <t xml:space="preserve"> </t>
    </r>
    <r>
      <rPr>
        <sz val="11"/>
        <rFont val="游ゴシック Medium"/>
        <family val="3"/>
        <charset val="128"/>
      </rPr>
      <t>エロスの世界</t>
    </r>
    <r>
      <rPr>
        <sz val="11"/>
        <rFont val="Consolas"/>
        <family val="3"/>
      </rPr>
      <t>―</t>
    </r>
    <r>
      <rPr>
        <sz val="11"/>
        <rFont val="游ゴシック Medium"/>
        <family val="3"/>
        <charset val="128"/>
      </rPr>
      <t>エロティカ幻想篇</t>
    </r>
    <rPh sb="0" eb="2">
      <t>ズセツ</t>
    </rPh>
    <rPh sb="7" eb="9">
      <t>セカイ</t>
    </rPh>
    <rPh sb="15" eb="17">
      <t>ゲンソウ</t>
    </rPh>
    <rPh sb="17" eb="18">
      <t>ヘン</t>
    </rPh>
    <phoneticPr fontId="1"/>
  </si>
  <si>
    <r>
      <rPr>
        <sz val="11"/>
        <rFont val="游ゴシック Medium"/>
        <family val="3"/>
        <charset val="128"/>
      </rPr>
      <t>図説</t>
    </r>
    <r>
      <rPr>
        <sz val="11"/>
        <rFont val="Consolas"/>
        <family val="3"/>
      </rPr>
      <t xml:space="preserve"> </t>
    </r>
    <r>
      <rPr>
        <sz val="11"/>
        <rFont val="游ゴシック Medium"/>
        <family val="3"/>
        <charset val="128"/>
      </rPr>
      <t>エロスの世界</t>
    </r>
    <r>
      <rPr>
        <sz val="11"/>
        <rFont val="Consolas"/>
        <family val="3"/>
      </rPr>
      <t>―</t>
    </r>
    <r>
      <rPr>
        <sz val="11"/>
        <rFont val="游ゴシック Medium"/>
        <family val="3"/>
        <charset val="128"/>
      </rPr>
      <t>エロティカ愛夢篇</t>
    </r>
    <r>
      <rPr>
        <sz val="11"/>
        <rFont val="Consolas"/>
        <family val="3"/>
      </rPr>
      <t xml:space="preserve"> (</t>
    </r>
    <r>
      <rPr>
        <sz val="11"/>
        <rFont val="游ゴシック Medium"/>
        <family val="3"/>
        <charset val="128"/>
      </rPr>
      <t>ふくろうの本</t>
    </r>
    <r>
      <rPr>
        <sz val="11"/>
        <rFont val="Consolas"/>
        <family val="3"/>
      </rPr>
      <t>)</t>
    </r>
    <rPh sb="0" eb="2">
      <t>ズセツ</t>
    </rPh>
    <rPh sb="7" eb="9">
      <t>セカイ</t>
    </rPh>
    <rPh sb="15" eb="16">
      <t>アイ</t>
    </rPh>
    <rPh sb="16" eb="17">
      <t>ム</t>
    </rPh>
    <rPh sb="17" eb="18">
      <t>ヘン</t>
    </rPh>
    <rPh sb="25" eb="26">
      <t>ホン</t>
    </rPh>
    <phoneticPr fontId="1"/>
  </si>
  <si>
    <r>
      <rPr>
        <sz val="11"/>
        <rFont val="游ゴシック Medium"/>
        <family val="3"/>
        <charset val="128"/>
      </rPr>
      <t>澁澤龍彦</t>
    </r>
    <r>
      <rPr>
        <sz val="11"/>
        <rFont val="Consolas"/>
        <family val="3"/>
      </rPr>
      <t>/</t>
    </r>
    <r>
      <rPr>
        <sz val="11"/>
        <rFont val="游ゴシック Medium"/>
        <family val="3"/>
        <charset val="128"/>
      </rPr>
      <t>澁澤龍子</t>
    </r>
    <rPh sb="0" eb="2">
      <t>シブサワ</t>
    </rPh>
    <rPh sb="2" eb="4">
      <t>タツヒコ</t>
    </rPh>
    <rPh sb="5" eb="7">
      <t>シブサワ</t>
    </rPh>
    <rPh sb="7" eb="9">
      <t>リュウコ</t>
    </rPh>
    <phoneticPr fontId="1"/>
  </si>
  <si>
    <r>
      <rPr>
        <sz val="11"/>
        <rFont val="游ゴシック Medium"/>
        <family val="3"/>
        <charset val="128"/>
      </rPr>
      <t>小川</t>
    </r>
    <r>
      <rPr>
        <sz val="11"/>
        <rFont val="Consolas"/>
        <family val="3"/>
      </rPr>
      <t xml:space="preserve"> </t>
    </r>
    <r>
      <rPr>
        <sz val="11"/>
        <rFont val="游ゴシック Medium"/>
        <family val="3"/>
        <charset val="128"/>
      </rPr>
      <t>熙</t>
    </r>
    <rPh sb="0" eb="2">
      <t>オガワ</t>
    </rPh>
    <rPh sb="3" eb="4">
      <t>ヒロシ</t>
    </rPh>
    <phoneticPr fontId="1"/>
  </si>
  <si>
    <r>
      <rPr>
        <sz val="11"/>
        <rFont val="游ゴシック Medium"/>
        <family val="3"/>
        <charset val="128"/>
      </rPr>
      <t>澁澤龍彦のイタリア紀行</t>
    </r>
    <r>
      <rPr>
        <sz val="11"/>
        <rFont val="Consolas"/>
        <family val="3"/>
      </rPr>
      <t xml:space="preserve"> (</t>
    </r>
    <r>
      <rPr>
        <sz val="11"/>
        <rFont val="游ゴシック Medium"/>
        <family val="3"/>
        <charset val="128"/>
      </rPr>
      <t>とんぼの本</t>
    </r>
    <r>
      <rPr>
        <sz val="11"/>
        <rFont val="Consolas"/>
        <family val="3"/>
      </rPr>
      <t>)</t>
    </r>
    <rPh sb="0" eb="2">
      <t>シブサワ</t>
    </rPh>
    <rPh sb="2" eb="4">
      <t>タツヒコ</t>
    </rPh>
    <rPh sb="9" eb="11">
      <t>キコウ</t>
    </rPh>
    <phoneticPr fontId="1"/>
  </si>
  <si>
    <r>
      <rPr>
        <sz val="11"/>
        <rFont val="游ゴシック Medium"/>
        <family val="3"/>
        <charset val="128"/>
      </rPr>
      <t>森村</t>
    </r>
    <r>
      <rPr>
        <sz val="11"/>
        <rFont val="Consolas"/>
        <family val="3"/>
      </rPr>
      <t xml:space="preserve"> </t>
    </r>
    <r>
      <rPr>
        <sz val="11"/>
        <rFont val="游ゴシック Medium"/>
        <family val="3"/>
        <charset val="128"/>
      </rPr>
      <t>泰昌</t>
    </r>
    <rPh sb="0" eb="1">
      <t>モリ</t>
    </rPh>
    <rPh sb="1" eb="2">
      <t>ムラ</t>
    </rPh>
    <rPh sb="3" eb="5">
      <t>ヤスマサ</t>
    </rPh>
    <phoneticPr fontId="1"/>
  </si>
  <si>
    <r>
      <rPr>
        <sz val="11"/>
        <rFont val="游ゴシック Medium"/>
        <family val="3"/>
        <charset val="128"/>
      </rPr>
      <t>フリーダ・カーロのざわめき</t>
    </r>
    <r>
      <rPr>
        <sz val="11"/>
        <rFont val="Consolas"/>
        <family val="3"/>
      </rPr>
      <t xml:space="preserve"> (</t>
    </r>
    <r>
      <rPr>
        <sz val="11"/>
        <rFont val="游ゴシック Medium"/>
        <family val="3"/>
        <charset val="128"/>
      </rPr>
      <t>とんぼの本</t>
    </r>
    <r>
      <rPr>
        <sz val="11"/>
        <rFont val="Consolas"/>
        <family val="3"/>
      </rPr>
      <t>)</t>
    </r>
    <rPh sb="19" eb="20">
      <t>ホン</t>
    </rPh>
    <phoneticPr fontId="1"/>
  </si>
  <si>
    <r>
      <t xml:space="preserve">chambres d'enfants `a paris </t>
    </r>
    <r>
      <rPr>
        <sz val="11"/>
        <rFont val="游ゴシック Medium"/>
        <family val="3"/>
        <charset val="128"/>
      </rPr>
      <t>ようこそパリの子ども部屋</t>
    </r>
    <rPh sb="35" eb="36">
      <t>コ</t>
    </rPh>
    <rPh sb="38" eb="40">
      <t>ベヤ</t>
    </rPh>
    <phoneticPr fontId="1"/>
  </si>
  <si>
    <r>
      <rPr>
        <sz val="11"/>
        <rFont val="游ゴシック Medium"/>
        <family val="3"/>
        <charset val="128"/>
      </rPr>
      <t>主婦の友社</t>
    </r>
    <rPh sb="0" eb="2">
      <t>シュフ</t>
    </rPh>
    <rPh sb="3" eb="4">
      <t>トモ</t>
    </rPh>
    <rPh sb="4" eb="5">
      <t>シャ</t>
    </rPh>
    <phoneticPr fontId="1"/>
  </si>
  <si>
    <r>
      <t>amazon/</t>
    </r>
    <r>
      <rPr>
        <sz val="11"/>
        <rFont val="游ゴシック Medium"/>
        <family val="3"/>
        <charset val="128"/>
      </rPr>
      <t>注文は</t>
    </r>
    <r>
      <rPr>
        <sz val="11"/>
        <rFont val="Consolas"/>
        <family val="3"/>
      </rPr>
      <t>2007/09/13</t>
    </r>
    <rPh sb="7" eb="9">
      <t>チュウモン</t>
    </rPh>
    <phoneticPr fontId="1"/>
  </si>
  <si>
    <r>
      <rPr>
        <sz val="11"/>
        <rFont val="游ゴシック Medium"/>
        <family val="3"/>
        <charset val="128"/>
      </rPr>
      <t>中野京子</t>
    </r>
    <rPh sb="0" eb="2">
      <t>ナカノ</t>
    </rPh>
    <rPh sb="2" eb="4">
      <t>キョウコ</t>
    </rPh>
    <phoneticPr fontId="1"/>
  </si>
  <si>
    <r>
      <rPr>
        <sz val="11"/>
        <rFont val="游ゴシック Medium"/>
        <family val="3"/>
        <charset val="128"/>
      </rPr>
      <t>怖い絵</t>
    </r>
    <rPh sb="0" eb="1">
      <t>コワ</t>
    </rPh>
    <rPh sb="2" eb="3">
      <t>エ</t>
    </rPh>
    <phoneticPr fontId="1"/>
  </si>
  <si>
    <r>
      <rPr>
        <sz val="11"/>
        <rFont val="游ゴシック Medium"/>
        <family val="3"/>
        <charset val="128"/>
      </rPr>
      <t>横浜</t>
    </r>
    <r>
      <rPr>
        <sz val="11"/>
        <rFont val="Consolas"/>
        <family val="3"/>
      </rPr>
      <t>Triennale</t>
    </r>
    <rPh sb="0" eb="2">
      <t>ヨコハマ</t>
    </rPh>
    <rPh sb="2" eb="11">
      <t>トリエンナーレ</t>
    </rPh>
    <phoneticPr fontId="1"/>
  </si>
  <si>
    <r>
      <t>Merce Cunningham</t>
    </r>
    <r>
      <rPr>
        <sz val="11"/>
        <rFont val="游ゴシック Medium"/>
        <family val="3"/>
        <charset val="128"/>
      </rPr>
      <t>舞踊団</t>
    </r>
    <rPh sb="0" eb="5">
      <t>マース</t>
    </rPh>
    <rPh sb="6" eb="16">
      <t>カニングハム</t>
    </rPh>
    <rPh sb="16" eb="19">
      <t>ブヨウダン</t>
    </rPh>
    <phoneticPr fontId="1"/>
  </si>
  <si>
    <r>
      <t>Keith Haring a Retrospective/Keith Haring</t>
    </r>
    <r>
      <rPr>
        <sz val="11"/>
        <rFont val="游ゴシック Medium"/>
        <family val="3"/>
        <charset val="128"/>
      </rPr>
      <t>大回顧展</t>
    </r>
    <rPh sb="0" eb="28">
      <t>キース　ヘリング　ア　レトロスペクティヴ</t>
    </rPh>
    <rPh sb="29" eb="41">
      <t>キース　ヘリング</t>
    </rPh>
    <rPh sb="41" eb="45">
      <t>ダイカイコテン</t>
    </rPh>
    <phoneticPr fontId="1"/>
  </si>
  <si>
    <r>
      <rPr>
        <sz val="11"/>
        <rFont val="游ゴシック Medium"/>
        <family val="3"/>
        <charset val="128"/>
      </rPr>
      <t>新宿三越美術館</t>
    </r>
    <rPh sb="0" eb="2">
      <t>シンジュク</t>
    </rPh>
    <rPh sb="2" eb="4">
      <t>ミツコシ</t>
    </rPh>
    <rPh sb="4" eb="7">
      <t>ビジュツカン</t>
    </rPh>
    <phoneticPr fontId="1"/>
  </si>
  <si>
    <r>
      <t>Jean Cocteau</t>
    </r>
    <r>
      <rPr>
        <b/>
        <sz val="11"/>
        <color indexed="33"/>
        <rFont val="游ゴシック Medium"/>
        <family val="3"/>
        <charset val="128"/>
      </rPr>
      <t>展</t>
    </r>
    <rPh sb="0" eb="12">
      <t>ジャン　コクトー</t>
    </rPh>
    <rPh sb="12" eb="13">
      <t>テン</t>
    </rPh>
    <phoneticPr fontId="1"/>
  </si>
  <si>
    <r>
      <rPr>
        <sz val="11"/>
        <rFont val="游ゴシック Medium"/>
        <family val="3"/>
        <charset val="128"/>
      </rPr>
      <t>新宿伊勢丹</t>
    </r>
    <rPh sb="0" eb="2">
      <t>シンジュク</t>
    </rPh>
    <rPh sb="2" eb="5">
      <t>イセタン</t>
    </rPh>
    <phoneticPr fontId="1"/>
  </si>
  <si>
    <r>
      <t>Erik Satie et Son Temps/</t>
    </r>
    <r>
      <rPr>
        <sz val="11"/>
        <rFont val="游ゴシック Medium"/>
        <family val="3"/>
        <charset val="128"/>
      </rPr>
      <t>エリック・サティとその時代展</t>
    </r>
    <rPh sb="35" eb="37">
      <t>ジダイ</t>
    </rPh>
    <rPh sb="37" eb="38">
      <t>テン</t>
    </rPh>
    <phoneticPr fontId="1"/>
  </si>
  <si>
    <r>
      <t xml:space="preserve">Bunkamura </t>
    </r>
    <r>
      <rPr>
        <sz val="11"/>
        <rFont val="游ゴシック Medium"/>
        <family val="3"/>
        <charset val="128"/>
      </rPr>
      <t>ザ・ミュージアム</t>
    </r>
    <phoneticPr fontId="1"/>
  </si>
  <si>
    <r>
      <rPr>
        <sz val="11"/>
        <rFont val="游ゴシック Medium"/>
        <family val="3"/>
        <charset val="128"/>
      </rPr>
      <t>森美術館</t>
    </r>
    <rPh sb="0" eb="1">
      <t>モリ</t>
    </rPh>
    <rPh sb="1" eb="4">
      <t>ビジュツカン</t>
    </rPh>
    <phoneticPr fontId="1"/>
  </si>
  <si>
    <r>
      <t>africa remix/</t>
    </r>
    <r>
      <rPr>
        <sz val="8"/>
        <rFont val="Consolas"/>
        <family val="3"/>
      </rPr>
      <t>contemporary art of a continent/</t>
    </r>
    <r>
      <rPr>
        <sz val="8"/>
        <rFont val="游ゴシック Medium"/>
        <family val="3"/>
        <charset val="128"/>
      </rPr>
      <t>多様化するアフリカの現代美術</t>
    </r>
    <rPh sb="0" eb="6">
      <t>アフリカ</t>
    </rPh>
    <rPh sb="7" eb="12">
      <t>リミックス</t>
    </rPh>
    <rPh sb="45" eb="48">
      <t>タヨウカ</t>
    </rPh>
    <rPh sb="55" eb="57">
      <t>ゲンダイ</t>
    </rPh>
    <rPh sb="57" eb="59">
      <t>ビジュツ</t>
    </rPh>
    <phoneticPr fontId="1"/>
  </si>
  <si>
    <r>
      <rPr>
        <sz val="11"/>
        <rFont val="游ゴシック Medium"/>
        <family val="3"/>
        <charset val="128"/>
      </rPr>
      <t>日本語版</t>
    </r>
    <r>
      <rPr>
        <sz val="11"/>
        <rFont val="Consolas"/>
        <family val="3"/>
      </rPr>
      <t>Catalogue/</t>
    </r>
    <r>
      <rPr>
        <sz val="11"/>
        <rFont val="游ゴシック Medium"/>
        <family val="3"/>
        <charset val="128"/>
      </rPr>
      <t>森美術館</t>
    </r>
    <rPh sb="0" eb="3">
      <t>ニホンゴ</t>
    </rPh>
    <rPh sb="3" eb="4">
      <t>バン</t>
    </rPh>
    <rPh sb="4" eb="13">
      <t>カタログ</t>
    </rPh>
    <rPh sb="14" eb="15">
      <t>モリ</t>
    </rPh>
    <rPh sb="15" eb="18">
      <t>ビジュツカン</t>
    </rPh>
    <phoneticPr fontId="1"/>
  </si>
  <si>
    <r>
      <t>Africa</t>
    </r>
    <r>
      <rPr>
        <b/>
        <sz val="11"/>
        <color indexed="33"/>
        <rFont val="游ゴシック Medium"/>
        <family val="3"/>
        <charset val="128"/>
      </rPr>
      <t>彫刻展</t>
    </r>
    <rPh sb="0" eb="9">
      <t>アフリカチョウコクテン</t>
    </rPh>
    <phoneticPr fontId="1"/>
  </si>
  <si>
    <r>
      <rPr>
        <sz val="11"/>
        <rFont val="游ゴシック Medium"/>
        <family val="3"/>
        <charset val="128"/>
      </rPr>
      <t>横浜そごう美術館</t>
    </r>
    <rPh sb="0" eb="2">
      <t>ヨコハマ</t>
    </rPh>
    <rPh sb="5" eb="8">
      <t>ビジュツカン</t>
    </rPh>
    <phoneticPr fontId="1"/>
  </si>
  <si>
    <r>
      <rPr>
        <sz val="11"/>
        <rFont val="游ゴシック Medium"/>
        <family val="3"/>
        <charset val="128"/>
      </rPr>
      <t>白石顕二・山本富美子</t>
    </r>
    <rPh sb="0" eb="2">
      <t>シライシ</t>
    </rPh>
    <rPh sb="2" eb="4">
      <t>ケンジ</t>
    </rPh>
    <rPh sb="5" eb="7">
      <t>ヤマモト</t>
    </rPh>
    <rPh sb="7" eb="10">
      <t>フミコ</t>
    </rPh>
    <phoneticPr fontId="1"/>
  </si>
  <si>
    <r>
      <t>Africa Hoy</t>
    </r>
    <r>
      <rPr>
        <b/>
        <sz val="11"/>
        <color indexed="33"/>
        <rFont val="游ゴシック Medium"/>
        <family val="3"/>
        <charset val="128"/>
      </rPr>
      <t>（</t>
    </r>
    <r>
      <rPr>
        <b/>
        <sz val="11"/>
        <color indexed="33"/>
        <rFont val="Consolas"/>
        <family val="3"/>
      </rPr>
      <t>Lilanga's Cosmos/Lilanga</t>
    </r>
    <r>
      <rPr>
        <b/>
        <sz val="11"/>
        <color indexed="33"/>
        <rFont val="游ゴシック Medium"/>
        <family val="3"/>
        <charset val="128"/>
      </rPr>
      <t>の宇宙）</t>
    </r>
    <rPh sb="0" eb="6">
      <t>アフリカ</t>
    </rPh>
    <rPh sb="7" eb="10">
      <t>フォイ</t>
    </rPh>
    <rPh sb="11" eb="18">
      <t>リランガ</t>
    </rPh>
    <rPh sb="18" eb="20">
      <t>ズ</t>
    </rPh>
    <rPh sb="21" eb="27">
      <t>コスモス</t>
    </rPh>
    <rPh sb="28" eb="35">
      <t>リランガ</t>
    </rPh>
    <rPh sb="36" eb="38">
      <t>ウチュウ</t>
    </rPh>
    <phoneticPr fontId="1"/>
  </si>
  <si>
    <r>
      <rPr>
        <sz val="11"/>
        <rFont val="游ゴシック Medium"/>
        <family val="3"/>
        <charset val="128"/>
      </rPr>
      <t>東京都庭園美術館</t>
    </r>
    <rPh sb="0" eb="3">
      <t>トウキョウト</t>
    </rPh>
    <rPh sb="3" eb="5">
      <t>テイエン</t>
    </rPh>
    <rPh sb="5" eb="8">
      <t>ビジュツカン</t>
    </rPh>
    <phoneticPr fontId="1"/>
  </si>
  <si>
    <r>
      <t>the musee du quai Branly/</t>
    </r>
    <r>
      <rPr>
        <sz val="11"/>
        <rFont val="游ゴシック Medium"/>
        <family val="3"/>
        <charset val="128"/>
      </rPr>
      <t>フランス国立ケ・ブランリ美術館</t>
    </r>
    <rPh sb="29" eb="31">
      <t>コクリツ</t>
    </rPh>
    <rPh sb="37" eb="40">
      <t>ビジュツカン</t>
    </rPh>
    <phoneticPr fontId="1"/>
  </si>
  <si>
    <r>
      <rPr>
        <sz val="11"/>
        <rFont val="游ゴシック Medium"/>
        <family val="3"/>
        <charset val="128"/>
      </rPr>
      <t>所蔵</t>
    </r>
    <rPh sb="0" eb="2">
      <t>ショゾウ</t>
    </rPh>
    <phoneticPr fontId="1"/>
  </si>
  <si>
    <r>
      <t>Masks - Beauty of the Spirits/</t>
    </r>
    <r>
      <rPr>
        <sz val="11"/>
        <rFont val="游ゴシック Medium"/>
        <family val="3"/>
        <charset val="128"/>
      </rPr>
      <t>マスク展</t>
    </r>
    <rPh sb="33" eb="34">
      <t>テン</t>
    </rPh>
    <phoneticPr fontId="1"/>
  </si>
  <si>
    <r>
      <rPr>
        <sz val="11"/>
        <rFont val="游ゴシック Medium"/>
        <family val="3"/>
        <charset val="128"/>
      </rPr>
      <t>宇野亜喜良･金井美恵子</t>
    </r>
    <rPh sb="0" eb="2">
      <t>ウノ</t>
    </rPh>
    <rPh sb="2" eb="5">
      <t>アキラ</t>
    </rPh>
    <rPh sb="6" eb="8">
      <t>カナイ</t>
    </rPh>
    <rPh sb="8" eb="11">
      <t>ミエコ</t>
    </rPh>
    <phoneticPr fontId="1"/>
  </si>
  <si>
    <r>
      <t>Art Gallery[</t>
    </r>
    <r>
      <rPr>
        <sz val="11"/>
        <rFont val="游ゴシック Medium"/>
        <family val="3"/>
        <charset val="128"/>
      </rPr>
      <t>現代美術の世界</t>
    </r>
    <r>
      <rPr>
        <sz val="11"/>
        <rFont val="Consolas"/>
        <family val="3"/>
      </rPr>
      <t>]</t>
    </r>
    <r>
      <rPr>
        <sz val="11"/>
        <rFont val="游ゴシック Medium"/>
        <family val="3"/>
        <charset val="128"/>
      </rPr>
      <t>ジャケット版</t>
    </r>
    <r>
      <rPr>
        <sz val="11"/>
        <rFont val="Consolas"/>
        <family val="3"/>
      </rPr>
      <t>19/</t>
    </r>
    <r>
      <rPr>
        <sz val="11"/>
        <rFont val="游ゴシック Medium"/>
        <family val="3"/>
        <charset val="128"/>
      </rPr>
      <t>全</t>
    </r>
    <r>
      <rPr>
        <sz val="11"/>
        <rFont val="Consolas"/>
        <family val="3"/>
      </rPr>
      <t>21</t>
    </r>
    <r>
      <rPr>
        <sz val="11"/>
        <rFont val="游ゴシック Medium"/>
        <family val="3"/>
        <charset val="128"/>
      </rPr>
      <t>巻</t>
    </r>
    <rPh sb="0" eb="11">
      <t>アート・ギャラリー</t>
    </rPh>
    <rPh sb="12" eb="14">
      <t>ゲンダイ</t>
    </rPh>
    <rPh sb="14" eb="16">
      <t>ビジュツ</t>
    </rPh>
    <rPh sb="17" eb="19">
      <t>セカイ</t>
    </rPh>
    <rPh sb="25" eb="26">
      <t>バン</t>
    </rPh>
    <rPh sb="29" eb="30">
      <t>ゼン</t>
    </rPh>
    <rPh sb="32" eb="33">
      <t>カン</t>
    </rPh>
    <phoneticPr fontId="1"/>
  </si>
  <si>
    <r>
      <rPr>
        <sz val="11"/>
        <rFont val="游ゴシック Medium"/>
        <family val="3"/>
        <charset val="128"/>
      </rPr>
      <t>旭屋</t>
    </r>
    <r>
      <rPr>
        <sz val="11"/>
        <rFont val="Consolas"/>
        <family val="3"/>
      </rPr>
      <t>/</t>
    </r>
    <r>
      <rPr>
        <sz val="11"/>
        <rFont val="游ゴシック Medium"/>
        <family val="3"/>
        <charset val="128"/>
      </rPr>
      <t>東武池袋</t>
    </r>
    <rPh sb="0" eb="1">
      <t>アサヒ</t>
    </rPh>
    <rPh sb="1" eb="2">
      <t>ヤ</t>
    </rPh>
    <rPh sb="3" eb="5">
      <t>トウブ</t>
    </rPh>
    <rPh sb="5" eb="7">
      <t>イケブクロ</t>
    </rPh>
    <phoneticPr fontId="1"/>
  </si>
  <si>
    <r>
      <t>Paul Klee</t>
    </r>
    <r>
      <rPr>
        <b/>
        <sz val="11"/>
        <color indexed="33"/>
        <rFont val="游ゴシック Medium"/>
        <family val="3"/>
        <charset val="128"/>
      </rPr>
      <t>の芸術</t>
    </r>
    <r>
      <rPr>
        <b/>
        <sz val="11"/>
        <color indexed="33"/>
        <rFont val="Consolas"/>
        <family val="3"/>
      </rPr>
      <t xml:space="preserve"> </t>
    </r>
    <r>
      <rPr>
        <b/>
        <sz val="11"/>
        <color indexed="33"/>
        <rFont val="游ゴシック Medium"/>
        <family val="3"/>
        <charset val="128"/>
      </rPr>
      <t>展</t>
    </r>
    <r>
      <rPr>
        <b/>
        <sz val="11"/>
        <color indexed="33"/>
        <rFont val="Consolas"/>
        <family val="3"/>
      </rPr>
      <t>/Retrospective</t>
    </r>
    <rPh sb="0" eb="9">
      <t>パウル　クレー</t>
    </rPh>
    <rPh sb="10" eb="12">
      <t>ゲイジュツ</t>
    </rPh>
    <rPh sb="13" eb="14">
      <t>テン</t>
    </rPh>
    <rPh sb="15" eb="28">
      <t>レトロスペクティヴ</t>
    </rPh>
    <phoneticPr fontId="1"/>
  </si>
  <si>
    <r>
      <rPr>
        <sz val="11"/>
        <rFont val="游ゴシック Medium"/>
        <family val="3"/>
        <charset val="128"/>
      </rPr>
      <t>東急</t>
    </r>
    <r>
      <rPr>
        <sz val="11"/>
        <rFont val="Consolas"/>
        <family val="3"/>
      </rPr>
      <t>Bunkamura</t>
    </r>
    <rPh sb="0" eb="11">
      <t>トウキュウブンカムラ</t>
    </rPh>
    <phoneticPr fontId="1"/>
  </si>
  <si>
    <r>
      <rPr>
        <b/>
        <sz val="11"/>
        <color indexed="33"/>
        <rFont val="游ゴシック Medium"/>
        <family val="3"/>
        <charset val="128"/>
      </rPr>
      <t>役の行者と修験道の世界</t>
    </r>
    <rPh sb="0" eb="1">
      <t>エン</t>
    </rPh>
    <rPh sb="2" eb="4">
      <t>ギョウジャ</t>
    </rPh>
    <rPh sb="5" eb="8">
      <t>シュゲンドウ</t>
    </rPh>
    <rPh sb="9" eb="11">
      <t>セカイ</t>
    </rPh>
    <phoneticPr fontId="1"/>
  </si>
  <si>
    <r>
      <rPr>
        <sz val="11"/>
        <rFont val="游ゴシック Medium"/>
        <family val="3"/>
        <charset val="128"/>
      </rPr>
      <t>東武美術館</t>
    </r>
    <r>
      <rPr>
        <sz val="11"/>
        <rFont val="Consolas"/>
        <family val="3"/>
      </rPr>
      <t>/</t>
    </r>
    <r>
      <rPr>
        <sz val="11"/>
        <rFont val="游ゴシック Medium"/>
        <family val="3"/>
        <charset val="128"/>
      </rPr>
      <t>池袋</t>
    </r>
    <rPh sb="0" eb="5">
      <t>トウブビジュツカン</t>
    </rPh>
    <rPh sb="6" eb="8">
      <t>イケブクロ</t>
    </rPh>
    <phoneticPr fontId="1"/>
  </si>
  <si>
    <r>
      <rPr>
        <sz val="11"/>
        <rFont val="游ゴシック Medium"/>
        <family val="3"/>
        <charset val="128"/>
      </rPr>
      <t>伊藤若冲</t>
    </r>
    <r>
      <rPr>
        <sz val="11"/>
        <rFont val="Consolas"/>
        <family val="3"/>
      </rPr>
      <t>/etc.</t>
    </r>
    <rPh sb="0" eb="2">
      <t>イトウ</t>
    </rPh>
    <rPh sb="2" eb="4">
      <t>ジャクチュウ</t>
    </rPh>
    <phoneticPr fontId="1"/>
  </si>
  <si>
    <r>
      <rPr>
        <sz val="11"/>
        <rFont val="游ゴシック Medium"/>
        <family val="3"/>
        <charset val="128"/>
      </rPr>
      <t>プライス</t>
    </r>
    <phoneticPr fontId="1"/>
  </si>
  <si>
    <r>
      <rPr>
        <sz val="11"/>
        <rFont val="游ゴシック Medium"/>
        <family val="3"/>
        <charset val="128"/>
      </rPr>
      <t>コレクション</t>
    </r>
    <phoneticPr fontId="1"/>
  </si>
  <si>
    <r>
      <rPr>
        <sz val="11"/>
        <rFont val="游ゴシック Medium"/>
        <family val="3"/>
        <charset val="128"/>
      </rPr>
      <t>若冲</t>
    </r>
    <r>
      <rPr>
        <sz val="8"/>
        <rFont val="游ゴシック Medium"/>
        <family val="3"/>
        <charset val="128"/>
      </rPr>
      <t>と江戸絵画</t>
    </r>
    <r>
      <rPr>
        <sz val="11"/>
        <rFont val="Consolas"/>
        <family val="3"/>
      </rPr>
      <t>/JAKUCHU</t>
    </r>
    <r>
      <rPr>
        <sz val="8"/>
        <rFont val="Consolas"/>
        <family val="3"/>
      </rPr>
      <t xml:space="preserve"> and The Age og Imagination</t>
    </r>
    <rPh sb="0" eb="2">
      <t>ジャクチュウ</t>
    </rPh>
    <rPh sb="3" eb="5">
      <t>エド</t>
    </rPh>
    <rPh sb="5" eb="7">
      <t>カイガ</t>
    </rPh>
    <phoneticPr fontId="1"/>
  </si>
  <si>
    <r>
      <t>Catalogue/</t>
    </r>
    <r>
      <rPr>
        <sz val="11"/>
        <rFont val="游ゴシック Medium"/>
        <family val="3"/>
        <charset val="128"/>
      </rPr>
      <t>プライスコレクション</t>
    </r>
    <r>
      <rPr>
        <sz val="11"/>
        <rFont val="Consolas"/>
        <family val="3"/>
      </rPr>
      <t>/The Price Collection</t>
    </r>
    <rPh sb="0" eb="9">
      <t>カタログ</t>
    </rPh>
    <phoneticPr fontId="1"/>
  </si>
  <si>
    <r>
      <rPr>
        <sz val="11"/>
        <rFont val="游ゴシック Medium"/>
        <family val="3"/>
        <charset val="128"/>
      </rPr>
      <t>東京国立博物館</t>
    </r>
    <rPh sb="0" eb="2">
      <t>トウキョウ</t>
    </rPh>
    <rPh sb="2" eb="4">
      <t>コクリツ</t>
    </rPh>
    <rPh sb="4" eb="7">
      <t>ハクブツカン</t>
    </rPh>
    <phoneticPr fontId="1"/>
  </si>
  <si>
    <r>
      <rPr>
        <sz val="11"/>
        <rFont val="游ゴシック Medium"/>
        <family val="3"/>
        <charset val="128"/>
      </rPr>
      <t>東京国立博物館平成館</t>
    </r>
    <rPh sb="0" eb="2">
      <t>トウキョウ</t>
    </rPh>
    <rPh sb="2" eb="4">
      <t>コクリツ</t>
    </rPh>
    <rPh sb="4" eb="7">
      <t>ハクブツカン</t>
    </rPh>
    <rPh sb="7" eb="9">
      <t>ヘイセイ</t>
    </rPh>
    <rPh sb="9" eb="10">
      <t>カン</t>
    </rPh>
    <phoneticPr fontId="1"/>
  </si>
  <si>
    <r>
      <rPr>
        <sz val="11"/>
        <rFont val="游ゴシック Medium"/>
        <family val="3"/>
        <charset val="128"/>
      </rPr>
      <t>曽我蕭白</t>
    </r>
    <r>
      <rPr>
        <sz val="11"/>
        <rFont val="Consolas"/>
        <family val="3"/>
      </rPr>
      <t>/</t>
    </r>
    <r>
      <rPr>
        <sz val="11"/>
        <rFont val="游ゴシック Medium"/>
        <family val="3"/>
        <charset val="128"/>
      </rPr>
      <t>伊藤若冲</t>
    </r>
    <r>
      <rPr>
        <sz val="11"/>
        <rFont val="Consolas"/>
        <family val="3"/>
      </rPr>
      <t>/</t>
    </r>
    <r>
      <rPr>
        <sz val="11"/>
        <rFont val="游ゴシック Medium"/>
        <family val="3"/>
        <charset val="128"/>
      </rPr>
      <t>芦雪</t>
    </r>
    <r>
      <rPr>
        <sz val="11"/>
        <rFont val="Consolas"/>
        <family val="3"/>
      </rPr>
      <t>/</t>
    </r>
    <r>
      <rPr>
        <sz val="11"/>
        <rFont val="游ゴシック Medium"/>
        <family val="3"/>
        <charset val="128"/>
      </rPr>
      <t>雪村</t>
    </r>
    <r>
      <rPr>
        <sz val="11"/>
        <rFont val="Consolas"/>
        <family val="3"/>
      </rPr>
      <t>/</t>
    </r>
    <r>
      <rPr>
        <sz val="11"/>
        <rFont val="游ゴシック Medium"/>
        <family val="3"/>
        <charset val="128"/>
      </rPr>
      <t>円山応挙</t>
    </r>
    <r>
      <rPr>
        <sz val="11"/>
        <rFont val="Consolas"/>
        <family val="3"/>
      </rPr>
      <t>/etc.</t>
    </r>
    <rPh sb="0" eb="2">
      <t>ソガ</t>
    </rPh>
    <rPh sb="2" eb="4">
      <t>ショウハク</t>
    </rPh>
    <rPh sb="5" eb="7">
      <t>イトウ</t>
    </rPh>
    <rPh sb="7" eb="9">
      <t>ジャクチュウ</t>
    </rPh>
    <rPh sb="10" eb="12">
      <t>ロセツ</t>
    </rPh>
    <rPh sb="13" eb="15">
      <t>セッソン</t>
    </rPh>
    <rPh sb="16" eb="18">
      <t>マルヤマ</t>
    </rPh>
    <rPh sb="18" eb="20">
      <t>オウキョ</t>
    </rPh>
    <phoneticPr fontId="1"/>
  </si>
  <si>
    <r>
      <rPr>
        <sz val="11"/>
        <rFont val="游ゴシック Medium"/>
        <family val="3"/>
        <charset val="128"/>
      </rPr>
      <t>対決</t>
    </r>
    <r>
      <rPr>
        <sz val="8"/>
        <rFont val="Consolas"/>
        <family val="3"/>
      </rPr>
      <t xml:space="preserve"> </t>
    </r>
    <r>
      <rPr>
        <sz val="8"/>
        <rFont val="游ゴシック Medium"/>
        <family val="3"/>
        <charset val="128"/>
      </rPr>
      <t>巨匠たちの日本美術</t>
    </r>
    <r>
      <rPr>
        <sz val="11"/>
        <rFont val="Consolas"/>
        <family val="3"/>
      </rPr>
      <t>/Dueling Geniuses</t>
    </r>
    <r>
      <rPr>
        <sz val="8"/>
        <rFont val="Consolas"/>
        <family val="3"/>
      </rPr>
      <t xml:space="preserve"> : The Greatest Highlights of Japanese Artists</t>
    </r>
    <rPh sb="0" eb="2">
      <t>タイケツ</t>
    </rPh>
    <rPh sb="3" eb="5">
      <t>キョショウ</t>
    </rPh>
    <rPh sb="8" eb="10">
      <t>ニホン</t>
    </rPh>
    <rPh sb="10" eb="12">
      <t>ビジュツ</t>
    </rPh>
    <phoneticPr fontId="1"/>
  </si>
  <si>
    <r>
      <t>Catalogue/</t>
    </r>
    <r>
      <rPr>
        <sz val="11"/>
        <rFont val="游ゴシック Medium"/>
        <family val="3"/>
        <charset val="128"/>
      </rPr>
      <t>国華</t>
    </r>
    <r>
      <rPr>
        <sz val="11"/>
        <rFont val="Consolas"/>
        <family val="3"/>
      </rPr>
      <t xml:space="preserve"> </t>
    </r>
    <r>
      <rPr>
        <sz val="11"/>
        <rFont val="游ゴシック Medium"/>
        <family val="3"/>
        <charset val="128"/>
      </rPr>
      <t>百二十周年</t>
    </r>
    <r>
      <rPr>
        <sz val="11"/>
        <rFont val="Consolas"/>
        <family val="3"/>
      </rPr>
      <t>/</t>
    </r>
    <r>
      <rPr>
        <sz val="11"/>
        <rFont val="游ゴシック Medium"/>
        <family val="3"/>
        <charset val="128"/>
      </rPr>
      <t>朝日新聞</t>
    </r>
    <r>
      <rPr>
        <sz val="11"/>
        <rFont val="Consolas"/>
        <family val="3"/>
      </rPr>
      <t xml:space="preserve"> </t>
    </r>
    <r>
      <rPr>
        <sz val="11"/>
        <rFont val="游ゴシック Medium"/>
        <family val="3"/>
        <charset val="128"/>
      </rPr>
      <t>百三十周年</t>
    </r>
    <rPh sb="0" eb="9">
      <t>カタログ</t>
    </rPh>
    <rPh sb="10" eb="12">
      <t>コッカ</t>
    </rPh>
    <rPh sb="13" eb="18">
      <t>ヒャクニジュウシュウネン</t>
    </rPh>
    <rPh sb="19" eb="21">
      <t>アサヒ</t>
    </rPh>
    <rPh sb="21" eb="23">
      <t>シンブン</t>
    </rPh>
    <rPh sb="24" eb="29">
      <t>ヒャクサンジュッシュウネン</t>
    </rPh>
    <phoneticPr fontId="1"/>
  </si>
  <si>
    <r>
      <rPr>
        <sz val="11"/>
        <rFont val="游ゴシック Medium"/>
        <family val="3"/>
        <charset val="128"/>
      </rPr>
      <t>雑誌</t>
    </r>
    <r>
      <rPr>
        <sz val="11"/>
        <rFont val="Consolas"/>
        <family val="3"/>
      </rPr>
      <t>/</t>
    </r>
    <r>
      <rPr>
        <sz val="11"/>
        <rFont val="游ゴシック Medium"/>
        <family val="3"/>
        <charset val="128"/>
      </rPr>
      <t>画集</t>
    </r>
    <rPh sb="0" eb="2">
      <t>ザッシ</t>
    </rPh>
    <rPh sb="3" eb="5">
      <t>ガシュウ</t>
    </rPh>
    <phoneticPr fontId="1"/>
  </si>
  <si>
    <r>
      <rPr>
        <sz val="11"/>
        <rFont val="游ゴシック Medium"/>
        <family val="3"/>
        <charset val="128"/>
      </rPr>
      <t>対決</t>
    </r>
    <r>
      <rPr>
        <sz val="8"/>
        <rFont val="Consolas"/>
        <family val="3"/>
      </rPr>
      <t xml:space="preserve"> </t>
    </r>
    <r>
      <rPr>
        <sz val="8"/>
        <rFont val="游ゴシック Medium"/>
        <family val="3"/>
        <charset val="128"/>
      </rPr>
      <t>巨匠たちの日本美術</t>
    </r>
    <r>
      <rPr>
        <sz val="8"/>
        <rFont val="Consolas"/>
        <family val="3"/>
      </rPr>
      <t xml:space="preserve"> </t>
    </r>
    <r>
      <rPr>
        <sz val="8"/>
        <rFont val="游ゴシック Medium"/>
        <family val="3"/>
        <charset val="128"/>
      </rPr>
      <t>のすべてを楽しむ公式ガイドブック</t>
    </r>
    <rPh sb="0" eb="2">
      <t>タイケツ</t>
    </rPh>
    <rPh sb="3" eb="5">
      <t>キョショウ</t>
    </rPh>
    <rPh sb="8" eb="10">
      <t>ニホン</t>
    </rPh>
    <rPh sb="10" eb="12">
      <t>ビジュツ</t>
    </rPh>
    <rPh sb="18" eb="19">
      <t>タノ</t>
    </rPh>
    <rPh sb="21" eb="23">
      <t>コウシキ</t>
    </rPh>
    <phoneticPr fontId="1"/>
  </si>
  <si>
    <r>
      <rPr>
        <sz val="11"/>
        <rFont val="游ゴシック Medium"/>
        <family val="3"/>
        <charset val="128"/>
      </rPr>
      <t>ぴあ</t>
    </r>
    <r>
      <rPr>
        <sz val="11"/>
        <rFont val="Consolas"/>
        <family val="3"/>
      </rPr>
      <t>Mook</t>
    </r>
    <rPh sb="2" eb="6">
      <t>ムック</t>
    </rPh>
    <phoneticPr fontId="1"/>
  </si>
  <si>
    <r>
      <rPr>
        <sz val="11"/>
        <rFont val="游ゴシック Medium"/>
        <family val="3"/>
        <charset val="128"/>
      </rPr>
      <t>ぴあ</t>
    </r>
    <phoneticPr fontId="1"/>
  </si>
  <si>
    <r>
      <rPr>
        <sz val="11"/>
        <rFont val="游ゴシック Medium"/>
        <family val="3"/>
        <charset val="128"/>
      </rPr>
      <t>河鍋暁斎･暁翠</t>
    </r>
    <rPh sb="0" eb="2">
      <t>カワナベ</t>
    </rPh>
    <rPh sb="2" eb="4">
      <t>キョウサイ</t>
    </rPh>
    <rPh sb="5" eb="7">
      <t>キョウスイ</t>
    </rPh>
    <phoneticPr fontId="1"/>
  </si>
  <si>
    <r>
      <rPr>
        <sz val="11"/>
        <rFont val="游ゴシック Medium"/>
        <family val="3"/>
        <charset val="128"/>
      </rPr>
      <t>河鍋暁斎･暁翠</t>
    </r>
    <r>
      <rPr>
        <sz val="11"/>
        <rFont val="Consolas"/>
        <family val="3"/>
      </rPr>
      <t xml:space="preserve"> </t>
    </r>
    <r>
      <rPr>
        <sz val="11"/>
        <rFont val="游ゴシック Medium"/>
        <family val="3"/>
        <charset val="128"/>
      </rPr>
      <t>展</t>
    </r>
    <rPh sb="0" eb="2">
      <t>カワナベ</t>
    </rPh>
    <rPh sb="2" eb="4">
      <t>キョウサイ</t>
    </rPh>
    <rPh sb="5" eb="7">
      <t>キョウスイ</t>
    </rPh>
    <rPh sb="8" eb="9">
      <t>テン</t>
    </rPh>
    <phoneticPr fontId="1"/>
  </si>
  <si>
    <r>
      <rPr>
        <sz val="11"/>
        <rFont val="游ゴシック Medium"/>
        <family val="3"/>
        <charset val="128"/>
      </rPr>
      <t>東武美術館</t>
    </r>
    <r>
      <rPr>
        <sz val="11"/>
        <rFont val="Consolas"/>
        <family val="3"/>
      </rPr>
      <t>/</t>
    </r>
    <r>
      <rPr>
        <sz val="11"/>
        <rFont val="游ゴシック Medium"/>
        <family val="3"/>
        <charset val="128"/>
      </rPr>
      <t>池袋</t>
    </r>
    <rPh sb="0" eb="2">
      <t>トウブ</t>
    </rPh>
    <rPh sb="2" eb="5">
      <t>ビジュツカン</t>
    </rPh>
    <rPh sb="6" eb="8">
      <t>イケブクロ</t>
    </rPh>
    <phoneticPr fontId="1"/>
  </si>
  <si>
    <r>
      <rPr>
        <sz val="11"/>
        <rFont val="游ゴシック Medium"/>
        <family val="3"/>
        <charset val="128"/>
      </rPr>
      <t>河鍋暁斎</t>
    </r>
    <rPh sb="0" eb="2">
      <t>カワナベ</t>
    </rPh>
    <rPh sb="2" eb="4">
      <t>キョウサイ</t>
    </rPh>
    <phoneticPr fontId="1"/>
  </si>
  <si>
    <r>
      <rPr>
        <b/>
        <sz val="11"/>
        <color indexed="33"/>
        <rFont val="游ゴシック Medium"/>
        <family val="3"/>
        <charset val="128"/>
      </rPr>
      <t>暁斎の戯画</t>
    </r>
    <rPh sb="0" eb="2">
      <t>キョウサイ</t>
    </rPh>
    <rPh sb="3" eb="5">
      <t>ギガ</t>
    </rPh>
    <phoneticPr fontId="1"/>
  </si>
  <si>
    <r>
      <rPr>
        <sz val="11"/>
        <rFont val="游ゴシック Medium"/>
        <family val="3"/>
        <charset val="128"/>
      </rPr>
      <t>よーこちゃんが勝手に売却</t>
    </r>
    <r>
      <rPr>
        <sz val="11"/>
        <rFont val="Consolas"/>
        <family val="3"/>
      </rPr>
      <t xml:space="preserve"> </t>
    </r>
    <r>
      <rPr>
        <sz val="11"/>
        <rFont val="游ゴシック Medium"/>
        <family val="3"/>
        <charset val="128"/>
      </rPr>
      <t>⇒</t>
    </r>
    <r>
      <rPr>
        <sz val="11"/>
        <rFont val="Consolas"/>
        <family val="3"/>
      </rPr>
      <t xml:space="preserve"> </t>
    </r>
    <r>
      <rPr>
        <sz val="11"/>
        <rFont val="游ゴシック Medium"/>
        <family val="3"/>
        <charset val="128"/>
      </rPr>
      <t>買い直し</t>
    </r>
    <r>
      <rPr>
        <sz val="11"/>
        <rFont val="Consolas"/>
        <family val="3"/>
      </rPr>
      <t xml:space="preserve"> 1980 yen 2022/12/26 </t>
    </r>
    <r>
      <rPr>
        <sz val="11"/>
        <rFont val="游ゴシック Medium"/>
        <family val="3"/>
        <charset val="128"/>
      </rPr>
      <t>注文</t>
    </r>
    <r>
      <rPr>
        <sz val="11"/>
        <rFont val="Consolas"/>
        <family val="3"/>
      </rPr>
      <t xml:space="preserve"> 2022/12/28 </t>
    </r>
    <r>
      <rPr>
        <sz val="11"/>
        <rFont val="游ゴシック Medium"/>
        <family val="3"/>
        <charset val="128"/>
      </rPr>
      <t>到着</t>
    </r>
    <r>
      <rPr>
        <sz val="11"/>
        <rFont val="Consolas"/>
        <family val="3"/>
      </rPr>
      <t xml:space="preserve"> amazon|</t>
    </r>
    <r>
      <rPr>
        <sz val="11"/>
        <rFont val="游ゴシック Medium"/>
        <family val="3"/>
        <charset val="128"/>
      </rPr>
      <t>株式会社盛高商店</t>
    </r>
    <r>
      <rPr>
        <sz val="11"/>
        <rFont val="Consolas"/>
        <family val="3"/>
      </rPr>
      <t>|</t>
    </r>
    <r>
      <rPr>
        <sz val="11"/>
        <rFont val="游ゴシック Medium"/>
        <family val="3"/>
        <charset val="128"/>
      </rPr>
      <t>工藤尚</t>
    </r>
    <r>
      <rPr>
        <sz val="11"/>
        <rFont val="Consolas"/>
        <family val="3"/>
      </rPr>
      <t>|</t>
    </r>
    <r>
      <rPr>
        <sz val="11"/>
        <rFont val="游ゴシック Medium"/>
        <family val="3"/>
        <charset val="128"/>
      </rPr>
      <t>オンライン商店</t>
    </r>
    <rPh sb="7" eb="9">
      <t>カッテ</t>
    </rPh>
    <rPh sb="10" eb="12">
      <t>バイキャク</t>
    </rPh>
    <rPh sb="15" eb="16">
      <t>カ</t>
    </rPh>
    <rPh sb="17" eb="18">
      <t>ナオ</t>
    </rPh>
    <rPh sb="40" eb="42">
      <t>チュウモン</t>
    </rPh>
    <rPh sb="54" eb="56">
      <t>トウチャク</t>
    </rPh>
    <phoneticPr fontId="1"/>
  </si>
  <si>
    <r>
      <rPr>
        <sz val="11"/>
        <rFont val="游ゴシック Medium"/>
        <family val="3"/>
        <charset val="128"/>
      </rPr>
      <t>美術の中のこどもたち</t>
    </r>
    <rPh sb="0" eb="2">
      <t>ビジュツ</t>
    </rPh>
    <rPh sb="3" eb="4">
      <t>ナカ</t>
    </rPh>
    <phoneticPr fontId="1"/>
  </si>
  <si>
    <r>
      <rPr>
        <sz val="11"/>
        <rFont val="游ゴシック Medium"/>
        <family val="3"/>
        <charset val="128"/>
      </rPr>
      <t>美術の中のこどもたち</t>
    </r>
    <r>
      <rPr>
        <sz val="11"/>
        <rFont val="Consolas"/>
        <family val="3"/>
      </rPr>
      <t>/</t>
    </r>
    <r>
      <rPr>
        <sz val="11"/>
        <rFont val="游ゴシック Medium"/>
        <family val="3"/>
        <charset val="128"/>
      </rPr>
      <t>鑑賞ガイド</t>
    </r>
    <rPh sb="0" eb="2">
      <t>ビジュツ</t>
    </rPh>
    <rPh sb="3" eb="4">
      <t>ナカ</t>
    </rPh>
    <rPh sb="11" eb="13">
      <t>カンショウ</t>
    </rPh>
    <phoneticPr fontId="1"/>
  </si>
  <si>
    <r>
      <rPr>
        <sz val="11"/>
        <rFont val="游ゴシック Medium"/>
        <family val="3"/>
        <charset val="128"/>
      </rPr>
      <t>現代</t>
    </r>
    <r>
      <rPr>
        <sz val="11"/>
        <rFont val="Consolas"/>
        <family val="3"/>
      </rPr>
      <t>America</t>
    </r>
    <r>
      <rPr>
        <sz val="11"/>
        <rFont val="游ゴシック Medium"/>
        <family val="3"/>
        <charset val="128"/>
      </rPr>
      <t>版画の</t>
    </r>
    <r>
      <rPr>
        <sz val="11"/>
        <rFont val="Consolas"/>
        <family val="3"/>
      </rPr>
      <t>40</t>
    </r>
    <r>
      <rPr>
        <sz val="11"/>
        <rFont val="游ゴシック Medium"/>
        <family val="3"/>
        <charset val="128"/>
      </rPr>
      <t>年</t>
    </r>
    <r>
      <rPr>
        <sz val="11"/>
        <rFont val="Consolas"/>
        <family val="3"/>
      </rPr>
      <t>/</t>
    </r>
    <r>
      <rPr>
        <sz val="11"/>
        <rFont val="游ゴシック Medium"/>
        <family val="3"/>
        <charset val="128"/>
      </rPr>
      <t>巨匠たちと版画工房</t>
    </r>
    <r>
      <rPr>
        <sz val="11"/>
        <rFont val="Consolas"/>
        <family val="3"/>
      </rPr>
      <t>ULAE</t>
    </r>
    <rPh sb="0" eb="2">
      <t>ゲンダイ</t>
    </rPh>
    <rPh sb="2" eb="9">
      <t>アメリカ</t>
    </rPh>
    <rPh sb="9" eb="11">
      <t>ハンガ</t>
    </rPh>
    <rPh sb="14" eb="15">
      <t>ネン</t>
    </rPh>
    <rPh sb="16" eb="18">
      <t>キョショウ</t>
    </rPh>
    <rPh sb="21" eb="23">
      <t>ハンガ</t>
    </rPh>
    <rPh sb="23" eb="25">
      <t>コウボウ</t>
    </rPh>
    <phoneticPr fontId="1"/>
  </si>
  <si>
    <r>
      <rPr>
        <sz val="11"/>
        <rFont val="游ゴシック Medium"/>
        <family val="3"/>
        <charset val="128"/>
      </rPr>
      <t>スーパーエッシャー展</t>
    </r>
    <r>
      <rPr>
        <sz val="11"/>
        <rFont val="Consolas"/>
        <family val="3"/>
      </rPr>
      <t xml:space="preserve"> </t>
    </r>
    <r>
      <rPr>
        <sz val="11"/>
        <rFont val="游ゴシック Medium"/>
        <family val="3"/>
        <charset val="128"/>
      </rPr>
      <t>ある特異な版画家の軌跡</t>
    </r>
    <rPh sb="9" eb="10">
      <t>テン</t>
    </rPh>
    <rPh sb="13" eb="15">
      <t>トクイ</t>
    </rPh>
    <rPh sb="16" eb="19">
      <t>ハンガカ</t>
    </rPh>
    <rPh sb="20" eb="22">
      <t>キセキ</t>
    </rPh>
    <phoneticPr fontId="1"/>
  </si>
  <si>
    <r>
      <t>de Chirico</t>
    </r>
    <r>
      <rPr>
        <sz val="11"/>
        <rFont val="游ゴシック Medium"/>
        <family val="3"/>
        <charset val="128"/>
      </rPr>
      <t>展</t>
    </r>
    <r>
      <rPr>
        <sz val="11"/>
        <rFont val="Consolas"/>
        <family val="3"/>
      </rPr>
      <t>/</t>
    </r>
    <r>
      <rPr>
        <sz val="11"/>
        <rFont val="游ゴシック Medium"/>
        <family val="3"/>
        <charset val="128"/>
      </rPr>
      <t>終わりなき記憶の旅</t>
    </r>
    <r>
      <rPr>
        <sz val="11"/>
        <rFont val="Consolas"/>
        <family val="3"/>
      </rPr>
      <t>/Giorgio de Chirico A Metaphysical Life</t>
    </r>
    <rPh sb="0" eb="10">
      <t>デ・キリコ</t>
    </rPh>
    <rPh sb="10" eb="11">
      <t>テン</t>
    </rPh>
    <rPh sb="12" eb="13">
      <t>オ</t>
    </rPh>
    <rPh sb="17" eb="19">
      <t>キオク</t>
    </rPh>
    <rPh sb="20" eb="21">
      <t>タビ</t>
    </rPh>
    <rPh sb="22" eb="29">
      <t>ジョルジョ</t>
    </rPh>
    <rPh sb="30" eb="40">
      <t>デ・キリコ</t>
    </rPh>
    <phoneticPr fontId="1"/>
  </si>
  <si>
    <r>
      <rPr>
        <sz val="11"/>
        <rFont val="游ゴシック Medium"/>
        <family val="3"/>
        <charset val="128"/>
      </rPr>
      <t>イギリス美術は、いま</t>
    </r>
    <rPh sb="4" eb="6">
      <t>ビジュツ</t>
    </rPh>
    <phoneticPr fontId="1"/>
  </si>
  <si>
    <r>
      <t>$40/Canada$52/\3090</t>
    </r>
    <r>
      <rPr>
        <sz val="11"/>
        <rFont val="游ゴシック Medium"/>
        <family val="3"/>
        <charset val="128"/>
      </rPr>
      <t>タトル</t>
    </r>
    <phoneticPr fontId="1"/>
  </si>
  <si>
    <r>
      <rPr>
        <sz val="11"/>
        <rFont val="游ゴシック Medium"/>
        <family val="3"/>
        <charset val="128"/>
      </rPr>
      <t>池袋公園</t>
    </r>
    <rPh sb="0" eb="2">
      <t>イケブクロ</t>
    </rPh>
    <rPh sb="2" eb="4">
      <t>コウエン</t>
    </rPh>
    <phoneticPr fontId="1"/>
  </si>
  <si>
    <r>
      <rPr>
        <sz val="11"/>
        <rFont val="游ゴシック Medium"/>
        <family val="3"/>
        <charset val="128"/>
      </rPr>
      <t>文紀堂書店</t>
    </r>
    <rPh sb="0" eb="3">
      <t>ブンキドウ</t>
    </rPh>
    <rPh sb="3" eb="5">
      <t>ショテン</t>
    </rPh>
    <phoneticPr fontId="1"/>
  </si>
  <si>
    <r>
      <t>Brueghel,Pieter:</t>
    </r>
    <r>
      <rPr>
        <sz val="11"/>
        <rFont val="游ゴシック Medium"/>
        <family val="3"/>
        <charset val="128"/>
      </rPr>
      <t>父</t>
    </r>
    <rPh sb="0" eb="8">
      <t>ブリューゲル</t>
    </rPh>
    <rPh sb="9" eb="15">
      <t>ピーテル</t>
    </rPh>
    <rPh sb="16" eb="17">
      <t>チチ</t>
    </rPh>
    <phoneticPr fontId="1"/>
  </si>
  <si>
    <r>
      <rPr>
        <sz val="11"/>
        <rFont val="游ゴシック Medium"/>
        <family val="3"/>
        <charset val="128"/>
      </rPr>
      <t>ハーゲン</t>
    </r>
    <r>
      <rPr>
        <sz val="11"/>
        <rFont val="Consolas"/>
        <family val="3"/>
      </rPr>
      <t>,</t>
    </r>
    <r>
      <rPr>
        <sz val="11"/>
        <rFont val="游ゴシック Medium"/>
        <family val="3"/>
        <charset val="128"/>
      </rPr>
      <t>ローズ</t>
    </r>
    <r>
      <rPr>
        <sz val="11"/>
        <rFont val="Consolas"/>
        <family val="3"/>
      </rPr>
      <t>=</t>
    </r>
    <r>
      <rPr>
        <sz val="11"/>
        <rFont val="游ゴシック Medium"/>
        <family val="3"/>
        <charset val="128"/>
      </rPr>
      <t>マリー</t>
    </r>
    <r>
      <rPr>
        <sz val="11"/>
        <rFont val="Consolas"/>
        <family val="3"/>
      </rPr>
      <t>/</t>
    </r>
    <r>
      <rPr>
        <sz val="11"/>
        <rFont val="游ゴシック Medium"/>
        <family val="3"/>
        <charset val="128"/>
      </rPr>
      <t>ハーゲン</t>
    </r>
    <r>
      <rPr>
        <sz val="11"/>
        <rFont val="Consolas"/>
        <family val="3"/>
      </rPr>
      <t>,</t>
    </r>
    <r>
      <rPr>
        <sz val="11"/>
        <rFont val="游ゴシック Medium"/>
        <family val="3"/>
        <charset val="128"/>
      </rPr>
      <t>ライナー</t>
    </r>
    <phoneticPr fontId="1"/>
  </si>
  <si>
    <r>
      <t>Brueghel,Pieter:</t>
    </r>
    <r>
      <rPr>
        <sz val="11"/>
        <rFont val="游ゴシック Medium"/>
        <family val="3"/>
        <charset val="128"/>
      </rPr>
      <t>父</t>
    </r>
    <r>
      <rPr>
        <sz val="11"/>
        <rFont val="Consolas"/>
        <family val="3"/>
      </rPr>
      <t>/</t>
    </r>
    <r>
      <rPr>
        <sz val="11"/>
        <rFont val="游ゴシック Medium"/>
        <family val="3"/>
        <charset val="128"/>
      </rPr>
      <t>農民、道化、悪魔</t>
    </r>
    <rPh sb="0" eb="8">
      <t>ブリューゲル</t>
    </rPh>
    <rPh sb="9" eb="15">
      <t>ピーテル</t>
    </rPh>
    <rPh sb="16" eb="17">
      <t>チチ</t>
    </rPh>
    <rPh sb="18" eb="20">
      <t>ノウミン</t>
    </rPh>
    <rPh sb="21" eb="23">
      <t>ドウケ</t>
    </rPh>
    <rPh sb="24" eb="26">
      <t>アクマ</t>
    </rPh>
    <phoneticPr fontId="1"/>
  </si>
  <si>
    <r>
      <t>34/</t>
    </r>
    <r>
      <rPr>
        <sz val="11"/>
        <rFont val="游ゴシック Medium"/>
        <family val="3"/>
        <charset val="128"/>
      </rPr>
      <t>企画集</t>
    </r>
    <rPh sb="3" eb="5">
      <t>キカク</t>
    </rPh>
    <rPh sb="5" eb="6">
      <t>シュウ</t>
    </rPh>
    <phoneticPr fontId="1"/>
  </si>
  <si>
    <r>
      <t xml:space="preserve">Magritte,Rene' Francois </t>
    </r>
    <r>
      <rPr>
        <sz val="11"/>
        <rFont val="游ゴシック Medium"/>
        <family val="3"/>
        <charset val="128"/>
      </rPr>
      <t>ギラン</t>
    </r>
    <rPh sb="0" eb="8">
      <t>マグリット</t>
    </rPh>
    <rPh sb="9" eb="14">
      <t>ルネ</t>
    </rPh>
    <rPh sb="15" eb="23">
      <t>フランソワ</t>
    </rPh>
    <phoneticPr fontId="1"/>
  </si>
  <si>
    <r>
      <t xml:space="preserve">Ensor,James Sidney/Magritte,Rene' Francois </t>
    </r>
    <r>
      <rPr>
        <sz val="11"/>
        <rFont val="游ゴシック Medium"/>
        <family val="3"/>
        <charset val="128"/>
      </rPr>
      <t>ギラン</t>
    </r>
    <rPh sb="0" eb="5">
      <t>アンソール</t>
    </rPh>
    <rPh sb="6" eb="18">
      <t>ジェイムズ　シドニー</t>
    </rPh>
    <rPh sb="19" eb="27">
      <t>マグリット</t>
    </rPh>
    <rPh sb="28" eb="33">
      <t>ルネ</t>
    </rPh>
    <rPh sb="34" eb="42">
      <t>フランソワ</t>
    </rPh>
    <phoneticPr fontId="1"/>
  </si>
  <si>
    <r>
      <rPr>
        <sz val="11"/>
        <rFont val="游ゴシック Medium"/>
        <family val="3"/>
        <charset val="128"/>
      </rPr>
      <t>池袋西武セゾン美術館</t>
    </r>
    <r>
      <rPr>
        <sz val="11"/>
        <rFont val="Consolas"/>
        <family val="3"/>
      </rPr>
      <t>etc.</t>
    </r>
    <rPh sb="0" eb="2">
      <t>イケブクロ</t>
    </rPh>
    <rPh sb="2" eb="4">
      <t>セイブ</t>
    </rPh>
    <rPh sb="7" eb="10">
      <t>ビジュツカン</t>
    </rPh>
    <phoneticPr fontId="1"/>
  </si>
  <si>
    <r>
      <t>Libro</t>
    </r>
    <r>
      <rPr>
        <sz val="11"/>
        <rFont val="游ゴシック Medium"/>
        <family val="3"/>
        <charset val="128"/>
      </rPr>
      <t>池袋</t>
    </r>
    <rPh sb="0" eb="5">
      <t>リブロ</t>
    </rPh>
    <rPh sb="5" eb="7">
      <t>イケブクロ</t>
    </rPh>
    <phoneticPr fontId="1"/>
  </si>
  <si>
    <r>
      <t>Bellmer,Hans/</t>
    </r>
    <r>
      <rPr>
        <sz val="11"/>
        <rFont val="游ゴシック Medium"/>
        <family val="3"/>
        <charset val="128"/>
      </rPr>
      <t>サヤグ</t>
    </r>
    <r>
      <rPr>
        <sz val="11"/>
        <rFont val="Consolas"/>
        <family val="3"/>
      </rPr>
      <t>,</t>
    </r>
    <r>
      <rPr>
        <sz val="11"/>
        <rFont val="游ゴシック Medium"/>
        <family val="3"/>
        <charset val="128"/>
      </rPr>
      <t>アラン</t>
    </r>
    <rPh sb="0" eb="7">
      <t>ベルメール</t>
    </rPh>
    <rPh sb="8" eb="12">
      <t>ハンス</t>
    </rPh>
    <phoneticPr fontId="1"/>
  </si>
  <si>
    <r>
      <rPr>
        <sz val="11"/>
        <rFont val="游ゴシック Medium"/>
        <family val="3"/>
        <charset val="128"/>
      </rPr>
      <t>佐藤悦子</t>
    </r>
    <r>
      <rPr>
        <sz val="11"/>
        <rFont val="Consolas"/>
        <family val="3"/>
      </rPr>
      <t>/</t>
    </r>
    <r>
      <rPr>
        <sz val="11"/>
        <rFont val="游ゴシック Medium"/>
        <family val="3"/>
        <charset val="128"/>
      </rPr>
      <t>澁澤龍彦</t>
    </r>
    <rPh sb="0" eb="2">
      <t>サトウ</t>
    </rPh>
    <rPh sb="2" eb="4">
      <t>エツコ</t>
    </rPh>
    <rPh sb="5" eb="7">
      <t>シブサワ</t>
    </rPh>
    <rPh sb="7" eb="9">
      <t>タツヒコ</t>
    </rPh>
    <phoneticPr fontId="1"/>
  </si>
  <si>
    <r>
      <rPr>
        <sz val="11"/>
        <rFont val="游ゴシック Medium"/>
        <family val="3"/>
        <charset val="128"/>
      </rPr>
      <t>訳</t>
    </r>
    <r>
      <rPr>
        <sz val="11"/>
        <rFont val="Consolas"/>
        <family val="3"/>
      </rPr>
      <t>/</t>
    </r>
    <r>
      <rPr>
        <sz val="11"/>
        <rFont val="游ゴシック Medium"/>
        <family val="3"/>
        <charset val="128"/>
      </rPr>
      <t>序文</t>
    </r>
    <rPh sb="0" eb="1">
      <t>ヤク</t>
    </rPh>
    <rPh sb="2" eb="4">
      <t>ジョブン</t>
    </rPh>
    <phoneticPr fontId="1"/>
  </si>
  <si>
    <r>
      <rPr>
        <sz val="11"/>
        <rFont val="游ゴシック Medium"/>
        <family val="3"/>
        <charset val="128"/>
      </rPr>
      <t>ハンス・ベルメール写真集</t>
    </r>
    <r>
      <rPr>
        <sz val="11"/>
        <rFont val="Consolas"/>
        <family val="3"/>
      </rPr>
      <t>/Hans Bellmer Photographe</t>
    </r>
    <rPh sb="9" eb="11">
      <t>シャシン</t>
    </rPh>
    <rPh sb="11" eb="12">
      <t>シュウ</t>
    </rPh>
    <rPh sb="13" eb="25">
      <t>ハンス・ベルメール</t>
    </rPh>
    <phoneticPr fontId="1"/>
  </si>
  <si>
    <r>
      <rPr>
        <sz val="11"/>
        <rFont val="游ゴシック Medium"/>
        <family val="3"/>
        <charset val="128"/>
      </rPr>
      <t>リブロポート</t>
    </r>
    <phoneticPr fontId="1"/>
  </si>
  <si>
    <r>
      <t>5665</t>
    </r>
    <r>
      <rPr>
        <sz val="11"/>
        <rFont val="游ゴシック Medium"/>
        <family val="3"/>
        <charset val="128"/>
      </rPr>
      <t>以上</t>
    </r>
    <rPh sb="4" eb="6">
      <t>イジョウ</t>
    </rPh>
    <phoneticPr fontId="1"/>
  </si>
  <si>
    <r>
      <rPr>
        <sz val="11"/>
        <rFont val="游ゴシック Medium"/>
        <family val="3"/>
        <charset val="128"/>
      </rPr>
      <t>澁澤龍彦</t>
    </r>
    <rPh sb="0" eb="2">
      <t>シブサワ</t>
    </rPh>
    <rPh sb="2" eb="4">
      <t>タツヒコ</t>
    </rPh>
    <phoneticPr fontId="1"/>
  </si>
  <si>
    <r>
      <rPr>
        <sz val="11"/>
        <rFont val="游ゴシック Medium"/>
        <family val="3"/>
        <charset val="128"/>
      </rPr>
      <t>シュルレアリスムと画家叢書</t>
    </r>
    <r>
      <rPr>
        <sz val="11"/>
        <rFont val="Consolas"/>
        <family val="3"/>
      </rPr>
      <t xml:space="preserve"> </t>
    </r>
    <r>
      <rPr>
        <sz val="11"/>
        <rFont val="游ゴシック Medium"/>
        <family val="3"/>
        <charset val="128"/>
      </rPr>
      <t>骰子の</t>
    </r>
    <r>
      <rPr>
        <sz val="11"/>
        <rFont val="Consolas"/>
        <family val="3"/>
      </rPr>
      <t>7</t>
    </r>
    <r>
      <rPr>
        <sz val="11"/>
        <rFont val="游ゴシック Medium"/>
        <family val="3"/>
        <charset val="128"/>
      </rPr>
      <t>の目</t>
    </r>
    <r>
      <rPr>
        <sz val="11"/>
        <rFont val="Consolas"/>
        <family val="3"/>
      </rPr>
      <t xml:space="preserve"> 2/La Septieme Face du De/</t>
    </r>
    <r>
      <rPr>
        <sz val="11"/>
        <rFont val="游ゴシック Medium"/>
        <family val="3"/>
        <charset val="128"/>
      </rPr>
      <t>月報</t>
    </r>
    <r>
      <rPr>
        <sz val="11"/>
        <rFont val="Consolas"/>
        <family val="3"/>
      </rPr>
      <t>:</t>
    </r>
    <r>
      <rPr>
        <sz val="11"/>
        <rFont val="游ゴシック Medium"/>
        <family val="3"/>
        <charset val="128"/>
      </rPr>
      <t>瀧口修造</t>
    </r>
    <r>
      <rPr>
        <sz val="11"/>
        <rFont val="Consolas"/>
        <family val="3"/>
      </rPr>
      <t>[</t>
    </r>
    <r>
      <rPr>
        <sz val="11"/>
        <rFont val="游ゴシック Medium"/>
        <family val="3"/>
        <charset val="128"/>
      </rPr>
      <t>真珠と煉瓦</t>
    </r>
    <r>
      <rPr>
        <sz val="11"/>
        <rFont val="Consolas"/>
        <family val="3"/>
      </rPr>
      <t>]</t>
    </r>
    <rPh sb="9" eb="11">
      <t>ガカ</t>
    </rPh>
    <rPh sb="11" eb="13">
      <t>ソウショ</t>
    </rPh>
    <rPh sb="14" eb="16">
      <t>サイコロ</t>
    </rPh>
    <rPh sb="19" eb="20">
      <t>メ</t>
    </rPh>
    <rPh sb="46" eb="48">
      <t>ゲッポウ</t>
    </rPh>
    <rPh sb="49" eb="51">
      <t>タキグチ</t>
    </rPh>
    <rPh sb="51" eb="53">
      <t>シュウゾウ</t>
    </rPh>
    <rPh sb="54" eb="56">
      <t>シンジュ</t>
    </rPh>
    <rPh sb="57" eb="59">
      <t>レンガ</t>
    </rPh>
    <phoneticPr fontId="1"/>
  </si>
  <si>
    <r>
      <rPr>
        <sz val="11"/>
        <rFont val="游ゴシック Medium"/>
        <family val="3"/>
        <charset val="128"/>
      </rPr>
      <t>願望と禁止の燔祭</t>
    </r>
    <r>
      <rPr>
        <sz val="11"/>
        <rFont val="Consolas"/>
        <family val="3"/>
      </rPr>
      <t xml:space="preserve"> </t>
    </r>
    <r>
      <rPr>
        <sz val="11"/>
        <rFont val="游ゴシック Medium"/>
        <family val="3"/>
        <charset val="128"/>
      </rPr>
      <t>戦慄のエロティシズム</t>
    </r>
    <rPh sb="0" eb="2">
      <t>ガンボウ</t>
    </rPh>
    <rPh sb="3" eb="5">
      <t>キンシ</t>
    </rPh>
    <rPh sb="6" eb="7">
      <t>ハン</t>
    </rPh>
    <rPh sb="7" eb="8">
      <t>サイ</t>
    </rPh>
    <rPh sb="9" eb="11">
      <t>センリツ</t>
    </rPh>
    <phoneticPr fontId="1"/>
  </si>
  <si>
    <r>
      <t>Wunderlich</t>
    </r>
    <r>
      <rPr>
        <sz val="11"/>
        <rFont val="游ゴシック Medium"/>
        <family val="3"/>
        <charset val="128"/>
      </rPr>
      <t>展</t>
    </r>
    <rPh sb="0" eb="10">
      <t>ヴンダーリッヒ</t>
    </rPh>
    <rPh sb="10" eb="11">
      <t>テン</t>
    </rPh>
    <phoneticPr fontId="1"/>
  </si>
  <si>
    <r>
      <t>SuperRealism</t>
    </r>
    <r>
      <rPr>
        <sz val="11"/>
        <rFont val="游ゴシック Medium"/>
        <family val="3"/>
        <charset val="128"/>
      </rPr>
      <t>展</t>
    </r>
    <r>
      <rPr>
        <sz val="11"/>
        <rFont val="Consolas"/>
        <family val="3"/>
      </rPr>
      <t>/American Realism</t>
    </r>
    <rPh sb="0" eb="5">
      <t>スーパー</t>
    </rPh>
    <rPh sb="5" eb="12">
      <t>リアリズム</t>
    </rPh>
    <rPh sb="12" eb="13">
      <t>テン</t>
    </rPh>
    <rPh sb="14" eb="30">
      <t>アメリカン　リアリズム</t>
    </rPh>
    <phoneticPr fontId="1"/>
  </si>
  <si>
    <r>
      <rPr>
        <sz val="11"/>
        <rFont val="游ゴシック Medium"/>
        <family val="3"/>
        <charset val="128"/>
      </rPr>
      <t>朝日新聞社</t>
    </r>
    <rPh sb="0" eb="2">
      <t>アサヒ</t>
    </rPh>
    <rPh sb="2" eb="5">
      <t>シンブンシャ</t>
    </rPh>
    <phoneticPr fontId="1"/>
  </si>
  <si>
    <r>
      <t>Parco</t>
    </r>
    <r>
      <rPr>
        <sz val="11"/>
        <rFont val="游ゴシック Medium"/>
        <family val="3"/>
        <charset val="128"/>
      </rPr>
      <t>池袋</t>
    </r>
    <rPh sb="0" eb="5">
      <t>パルコ</t>
    </rPh>
    <rPh sb="5" eb="7">
      <t>イケブクロ</t>
    </rPh>
    <phoneticPr fontId="1"/>
  </si>
  <si>
    <r>
      <rPr>
        <sz val="11"/>
        <rFont val="游ゴシック Medium"/>
        <family val="3"/>
        <charset val="128"/>
      </rPr>
      <t>日本写真家協会</t>
    </r>
    <r>
      <rPr>
        <sz val="11"/>
        <rFont val="Consolas"/>
        <family val="3"/>
      </rPr>
      <t>/</t>
    </r>
    <r>
      <rPr>
        <sz val="11"/>
        <rFont val="游ゴシック Medium"/>
        <family val="3"/>
        <charset val="128"/>
      </rPr>
      <t>社団法人</t>
    </r>
    <rPh sb="0" eb="2">
      <t>ニホン</t>
    </rPh>
    <rPh sb="2" eb="5">
      <t>シャシンカ</t>
    </rPh>
    <rPh sb="5" eb="7">
      <t>キョウカイ</t>
    </rPh>
    <rPh sb="8" eb="10">
      <t>シャダン</t>
    </rPh>
    <rPh sb="10" eb="12">
      <t>ホウジン</t>
    </rPh>
    <phoneticPr fontId="1"/>
  </si>
  <si>
    <r>
      <rPr>
        <sz val="11"/>
        <rFont val="游ゴシック Medium"/>
        <family val="3"/>
        <charset val="128"/>
      </rPr>
      <t>重松</t>
    </r>
    <r>
      <rPr>
        <sz val="11"/>
        <rFont val="Consolas"/>
        <family val="3"/>
      </rPr>
      <t xml:space="preserve"> </t>
    </r>
    <r>
      <rPr>
        <sz val="11"/>
        <rFont val="游ゴシック Medium"/>
        <family val="3"/>
        <charset val="128"/>
      </rPr>
      <t>清</t>
    </r>
    <rPh sb="0" eb="2">
      <t>シゲマツ</t>
    </rPh>
    <rPh sb="3" eb="4">
      <t>キヨシ</t>
    </rPh>
    <phoneticPr fontId="1"/>
  </si>
  <si>
    <r>
      <rPr>
        <sz val="11"/>
        <rFont val="游ゴシック Medium"/>
        <family val="3"/>
        <charset val="128"/>
      </rPr>
      <t>解説</t>
    </r>
    <rPh sb="0" eb="2">
      <t>カイセツ</t>
    </rPh>
    <phoneticPr fontId="1"/>
  </si>
  <si>
    <r>
      <rPr>
        <sz val="11"/>
        <rFont val="游ゴシック Medium"/>
        <family val="3"/>
        <charset val="128"/>
      </rPr>
      <t>日本の子ども</t>
    </r>
    <r>
      <rPr>
        <sz val="11"/>
        <rFont val="Consolas"/>
        <family val="3"/>
      </rPr>
      <t xml:space="preserve"> 60</t>
    </r>
    <r>
      <rPr>
        <sz val="11"/>
        <rFont val="游ゴシック Medium"/>
        <family val="3"/>
        <charset val="128"/>
      </rPr>
      <t>年</t>
    </r>
    <rPh sb="0" eb="2">
      <t>ニホン</t>
    </rPh>
    <rPh sb="3" eb="4">
      <t>コ</t>
    </rPh>
    <rPh sb="9" eb="10">
      <t>ネン</t>
    </rPh>
    <phoneticPr fontId="1"/>
  </si>
  <si>
    <r>
      <rPr>
        <sz val="11"/>
        <rFont val="游ゴシック Medium"/>
        <family val="3"/>
        <charset val="128"/>
      </rPr>
      <t>昭和</t>
    </r>
    <r>
      <rPr>
        <sz val="11"/>
        <rFont val="Consolas"/>
        <family val="3"/>
      </rPr>
      <t>20</t>
    </r>
    <r>
      <rPr>
        <sz val="11"/>
        <rFont val="游ゴシック Medium"/>
        <family val="3"/>
        <charset val="128"/>
      </rPr>
      <t>年から戦後</t>
    </r>
    <r>
      <rPr>
        <sz val="11"/>
        <rFont val="Consolas"/>
        <family val="3"/>
      </rPr>
      <t>60</t>
    </r>
    <r>
      <rPr>
        <sz val="11"/>
        <rFont val="游ゴシック Medium"/>
        <family val="3"/>
        <charset val="128"/>
      </rPr>
      <t>年間</t>
    </r>
    <rPh sb="0" eb="2">
      <t>ショウワ</t>
    </rPh>
    <rPh sb="4" eb="5">
      <t>ネン</t>
    </rPh>
    <rPh sb="7" eb="9">
      <t>センゴ</t>
    </rPh>
    <rPh sb="11" eb="13">
      <t>ネンカン</t>
    </rPh>
    <phoneticPr fontId="1"/>
  </si>
  <si>
    <r>
      <rPr>
        <sz val="11"/>
        <rFont val="游ゴシック Medium"/>
        <family val="3"/>
        <charset val="128"/>
      </rPr>
      <t>全</t>
    </r>
    <r>
      <rPr>
        <sz val="11"/>
        <rFont val="Consolas"/>
        <family val="3"/>
      </rPr>
      <t>148</t>
    </r>
    <r>
      <rPr>
        <sz val="11"/>
        <rFont val="游ゴシック Medium"/>
        <family val="3"/>
        <charset val="128"/>
      </rPr>
      <t>名</t>
    </r>
    <r>
      <rPr>
        <sz val="11"/>
        <rFont val="Consolas"/>
        <family val="3"/>
      </rPr>
      <t>/</t>
    </r>
    <r>
      <rPr>
        <sz val="11"/>
        <rFont val="游ゴシック Medium"/>
        <family val="3"/>
        <charset val="128"/>
      </rPr>
      <t>昭和</t>
    </r>
    <r>
      <rPr>
        <sz val="11"/>
        <rFont val="Consolas"/>
        <family val="3"/>
      </rPr>
      <t>20</t>
    </r>
    <r>
      <rPr>
        <sz val="11"/>
        <rFont val="游ゴシック Medium"/>
        <family val="3"/>
        <charset val="128"/>
      </rPr>
      <t>年から戦後</t>
    </r>
    <r>
      <rPr>
        <sz val="11"/>
        <rFont val="Consolas"/>
        <family val="3"/>
      </rPr>
      <t>60</t>
    </r>
    <r>
      <rPr>
        <sz val="11"/>
        <rFont val="游ゴシック Medium"/>
        <family val="3"/>
        <charset val="128"/>
      </rPr>
      <t>年間、ニッポン全国のこどもたち</t>
    </r>
    <rPh sb="0" eb="1">
      <t>ゼン</t>
    </rPh>
    <rPh sb="4" eb="5">
      <t>メイ</t>
    </rPh>
    <rPh sb="6" eb="8">
      <t>ショウワ</t>
    </rPh>
    <rPh sb="10" eb="11">
      <t>ネン</t>
    </rPh>
    <rPh sb="13" eb="15">
      <t>センゴ</t>
    </rPh>
    <rPh sb="17" eb="19">
      <t>ネンカン</t>
    </rPh>
    <rPh sb="24" eb="26">
      <t>ゼンコク</t>
    </rPh>
    <phoneticPr fontId="1"/>
  </si>
  <si>
    <r>
      <t>KAHLO/</t>
    </r>
    <r>
      <rPr>
        <sz val="11"/>
        <rFont val="游ゴシック Medium"/>
        <family val="3"/>
        <charset val="128"/>
      </rPr>
      <t>その苦悩と情熱</t>
    </r>
    <rPh sb="8" eb="10">
      <t>クノウ</t>
    </rPh>
    <rPh sb="11" eb="13">
      <t>ジョウネツ</t>
    </rPh>
    <phoneticPr fontId="1"/>
  </si>
  <si>
    <r>
      <rPr>
        <sz val="11"/>
        <rFont val="游ゴシック Medium"/>
        <family val="3"/>
        <charset val="128"/>
      </rPr>
      <t>シャガール展</t>
    </r>
    <r>
      <rPr>
        <sz val="11"/>
        <rFont val="Consolas"/>
        <family val="3"/>
      </rPr>
      <t xml:space="preserve"> </t>
    </r>
    <r>
      <rPr>
        <sz val="11"/>
        <rFont val="游ゴシック Medium"/>
        <family val="3"/>
        <charset val="128"/>
      </rPr>
      <t>色彩がうたう愛と夢</t>
    </r>
    <rPh sb="5" eb="6">
      <t>テン</t>
    </rPh>
    <rPh sb="7" eb="9">
      <t>シキサイ</t>
    </rPh>
    <rPh sb="13" eb="14">
      <t>アイ</t>
    </rPh>
    <rPh sb="15" eb="16">
      <t>ユメ</t>
    </rPh>
    <phoneticPr fontId="1"/>
  </si>
  <si>
    <r>
      <rPr>
        <sz val="11"/>
        <rFont val="游ゴシック Medium"/>
        <family val="3"/>
        <charset val="128"/>
      </rPr>
      <t>読売新聞社</t>
    </r>
    <r>
      <rPr>
        <sz val="11"/>
        <rFont val="Consolas"/>
        <family val="3"/>
      </rPr>
      <t>/Printemps GINZA</t>
    </r>
    <rPh sb="0" eb="2">
      <t>ヨミウリ</t>
    </rPh>
    <rPh sb="2" eb="5">
      <t>シンブンシャ</t>
    </rPh>
    <rPh sb="6" eb="15">
      <t>プランタン</t>
    </rPh>
    <rPh sb="16" eb="21">
      <t>ギンザ</t>
    </rPh>
    <phoneticPr fontId="1"/>
  </si>
  <si>
    <r>
      <rPr>
        <sz val="11"/>
        <rFont val="游ゴシック Medium"/>
        <family val="3"/>
        <charset val="128"/>
      </rPr>
      <t>生誕</t>
    </r>
    <r>
      <rPr>
        <sz val="11"/>
        <rFont val="Consolas"/>
        <family val="3"/>
      </rPr>
      <t>100</t>
    </r>
    <r>
      <rPr>
        <sz val="11"/>
        <rFont val="游ゴシック Medium"/>
        <family val="3"/>
        <charset val="128"/>
      </rPr>
      <t>年記念</t>
    </r>
    <r>
      <rPr>
        <sz val="11"/>
        <rFont val="Consolas"/>
        <family val="3"/>
      </rPr>
      <t xml:space="preserve"> </t>
    </r>
    <r>
      <rPr>
        <sz val="11"/>
        <rFont val="游ゴシック Medium"/>
        <family val="3"/>
        <charset val="128"/>
      </rPr>
      <t>ダリ回顧展</t>
    </r>
    <r>
      <rPr>
        <sz val="11"/>
        <rFont val="Consolas"/>
        <family val="3"/>
      </rPr>
      <t>/Salvador Dali' Centennial Retrospective</t>
    </r>
    <rPh sb="11" eb="14">
      <t>カイコテン</t>
    </rPh>
    <rPh sb="24" eb="29">
      <t>ダリ</t>
    </rPh>
    <phoneticPr fontId="1"/>
  </si>
  <si>
    <r>
      <rPr>
        <sz val="11"/>
        <rFont val="游ゴシック Medium"/>
        <family val="3"/>
        <charset val="128"/>
      </rPr>
      <t>展覧会図録</t>
    </r>
    <rPh sb="0" eb="3">
      <t>テンランカイ</t>
    </rPh>
    <rPh sb="3" eb="5">
      <t>ズロク</t>
    </rPh>
    <phoneticPr fontId="1"/>
  </si>
  <si>
    <r>
      <rPr>
        <sz val="11"/>
        <rFont val="游ゴシック Medium"/>
        <family val="3"/>
        <charset val="128"/>
      </rPr>
      <t>朝日新聞社</t>
    </r>
    <r>
      <rPr>
        <sz val="11"/>
        <rFont val="Consolas"/>
        <family val="3"/>
      </rPr>
      <t>/</t>
    </r>
    <r>
      <rPr>
        <sz val="11"/>
        <rFont val="游ゴシック Medium"/>
        <family val="3"/>
        <charset val="128"/>
      </rPr>
      <t>フジテレビジョン</t>
    </r>
    <rPh sb="0" eb="2">
      <t>アサヒ</t>
    </rPh>
    <rPh sb="2" eb="4">
      <t>シンブン</t>
    </rPh>
    <rPh sb="4" eb="5">
      <t>シャ</t>
    </rPh>
    <phoneticPr fontId="1"/>
  </si>
  <si>
    <r>
      <rPr>
        <sz val="11"/>
        <rFont val="游ゴシック Medium"/>
        <family val="3"/>
        <charset val="128"/>
      </rPr>
      <t>上野の森美術館</t>
    </r>
    <rPh sb="0" eb="2">
      <t>ウエノ</t>
    </rPh>
    <rPh sb="3" eb="4">
      <t>モリ</t>
    </rPh>
    <rPh sb="4" eb="7">
      <t>ビジュツカン</t>
    </rPh>
    <phoneticPr fontId="1"/>
  </si>
  <si>
    <r>
      <rPr>
        <sz val="11"/>
        <rFont val="游ゴシック Medium"/>
        <family val="3"/>
        <charset val="128"/>
      </rPr>
      <t>さよなら</t>
    </r>
    <r>
      <rPr>
        <sz val="11"/>
        <rFont val="Consolas"/>
        <family val="3"/>
      </rPr>
      <t xml:space="preserve"> </t>
    </r>
    <r>
      <rPr>
        <sz val="11"/>
        <rFont val="游ゴシック Medium"/>
        <family val="3"/>
        <charset val="128"/>
      </rPr>
      <t>ナム・ジュン・パイク</t>
    </r>
    <r>
      <rPr>
        <sz val="11"/>
        <rFont val="Consolas"/>
        <family val="3"/>
      </rPr>
      <t>/Bye Bye, Nam June Paik</t>
    </r>
    <phoneticPr fontId="1"/>
  </si>
  <si>
    <r>
      <rPr>
        <sz val="11"/>
        <rFont val="游ゴシック Medium"/>
        <family val="3"/>
        <charset val="128"/>
      </rPr>
      <t>美学、考</t>
    </r>
    <r>
      <rPr>
        <sz val="11"/>
        <rFont val="Consolas"/>
        <family val="3"/>
      </rPr>
      <t>/</t>
    </r>
    <r>
      <rPr>
        <sz val="11"/>
        <rFont val="游ゴシック Medium"/>
        <family val="3"/>
        <charset val="128"/>
      </rPr>
      <t>第</t>
    </r>
    <r>
      <rPr>
        <sz val="11"/>
        <rFont val="Consolas"/>
        <family val="3"/>
      </rPr>
      <t>9</t>
    </r>
    <r>
      <rPr>
        <sz val="11"/>
        <rFont val="游ゴシック Medium"/>
        <family val="3"/>
        <charset val="128"/>
      </rPr>
      <t>号</t>
    </r>
    <rPh sb="0" eb="2">
      <t>ビガク</t>
    </rPh>
    <rPh sb="3" eb="4">
      <t>コウ</t>
    </rPh>
    <rPh sb="5" eb="6">
      <t>ダイ</t>
    </rPh>
    <rPh sb="7" eb="8">
      <t>ゴウ</t>
    </rPh>
    <phoneticPr fontId="1"/>
  </si>
  <si>
    <r>
      <rPr>
        <sz val="11"/>
        <rFont val="游ゴシック Medium"/>
        <family val="3"/>
        <charset val="128"/>
      </rPr>
      <t>ワタリウム美術館</t>
    </r>
    <rPh sb="5" eb="8">
      <t>ビジュツカン</t>
    </rPh>
    <phoneticPr fontId="1"/>
  </si>
  <si>
    <r>
      <t>Dancin' Colours 90</t>
    </r>
    <r>
      <rPr>
        <sz val="11"/>
        <rFont val="游ゴシック Medium"/>
        <family val="3"/>
        <charset val="128"/>
      </rPr>
      <t>年代日本の絵本原画展</t>
    </r>
    <rPh sb="18" eb="20">
      <t>ネンダイ</t>
    </rPh>
    <rPh sb="20" eb="22">
      <t>ニホン</t>
    </rPh>
    <rPh sb="23" eb="25">
      <t>エホン</t>
    </rPh>
    <rPh sb="25" eb="28">
      <t>ゲンガテン</t>
    </rPh>
    <phoneticPr fontId="1"/>
  </si>
  <si>
    <r>
      <t>1994 Italie Bologna</t>
    </r>
    <r>
      <rPr>
        <sz val="11"/>
        <rFont val="游ゴシック Medium"/>
        <family val="3"/>
        <charset val="128"/>
      </rPr>
      <t>国際絵本原画展</t>
    </r>
    <rPh sb="5" eb="11">
      <t>イタリア</t>
    </rPh>
    <rPh sb="12" eb="19">
      <t>ボローニャ</t>
    </rPh>
    <rPh sb="19" eb="21">
      <t>コクサイ</t>
    </rPh>
    <rPh sb="21" eb="23">
      <t>エホン</t>
    </rPh>
    <rPh sb="23" eb="26">
      <t>ゲンガテン</t>
    </rPh>
    <phoneticPr fontId="1"/>
  </si>
  <si>
    <r>
      <rPr>
        <sz val="11"/>
        <rFont val="游ゴシック Medium"/>
        <family val="3"/>
        <charset val="128"/>
      </rPr>
      <t>画狂人ホルスト・ハンセン</t>
    </r>
    <r>
      <rPr>
        <sz val="8"/>
        <rFont val="Consolas"/>
        <family val="3"/>
      </rPr>
      <t xml:space="preserve"> </t>
    </r>
    <r>
      <rPr>
        <sz val="8"/>
        <rFont val="游ゴシック Medium"/>
        <family val="3"/>
        <charset val="128"/>
      </rPr>
      <t>北斎へのまなざし</t>
    </r>
    <rPh sb="0" eb="1">
      <t>ガ</t>
    </rPh>
    <rPh sb="1" eb="3">
      <t>キョウジン</t>
    </rPh>
    <rPh sb="13" eb="15">
      <t>ホクサイ</t>
    </rPh>
    <phoneticPr fontId="1"/>
  </si>
  <si>
    <r>
      <rPr>
        <sz val="11"/>
        <rFont val="游ゴシック Medium"/>
        <family val="3"/>
        <charset val="128"/>
      </rPr>
      <t>コロナ･</t>
    </r>
    <r>
      <rPr>
        <sz val="11"/>
        <rFont val="Consolas"/>
        <family val="3"/>
      </rPr>
      <t>Books/117</t>
    </r>
    <rPh sb="4" eb="9">
      <t>ブックス</t>
    </rPh>
    <phoneticPr fontId="1"/>
  </si>
  <si>
    <r>
      <rPr>
        <sz val="11"/>
        <rFont val="游ゴシック Medium"/>
        <family val="3"/>
        <charset val="128"/>
      </rPr>
      <t>竹原春泉</t>
    </r>
    <rPh sb="0" eb="2">
      <t>タケハラ</t>
    </rPh>
    <rPh sb="2" eb="4">
      <t>シュンセン</t>
    </rPh>
    <phoneticPr fontId="1"/>
  </si>
  <si>
    <r>
      <rPr>
        <sz val="11"/>
        <rFont val="游ゴシック Medium"/>
        <family val="3"/>
        <charset val="128"/>
      </rPr>
      <t>多田克己</t>
    </r>
    <r>
      <rPr>
        <sz val="11"/>
        <rFont val="Consolas"/>
        <family val="3"/>
      </rPr>
      <t>/</t>
    </r>
    <r>
      <rPr>
        <sz val="11"/>
        <rFont val="游ゴシック Medium"/>
        <family val="3"/>
        <charset val="128"/>
      </rPr>
      <t>京極夏彦</t>
    </r>
    <r>
      <rPr>
        <sz val="11"/>
        <rFont val="Consolas"/>
        <family val="3"/>
      </rPr>
      <t>,</t>
    </r>
    <r>
      <rPr>
        <sz val="11"/>
        <rFont val="游ゴシック Medium"/>
        <family val="3"/>
        <charset val="128"/>
      </rPr>
      <t>ほか</t>
    </r>
    <rPh sb="0" eb="2">
      <t>タダ</t>
    </rPh>
    <rPh sb="2" eb="4">
      <t>カツミ</t>
    </rPh>
    <rPh sb="5" eb="7">
      <t>キョウゴク</t>
    </rPh>
    <rPh sb="7" eb="9">
      <t>ナツヒコ</t>
    </rPh>
    <phoneticPr fontId="1"/>
  </si>
  <si>
    <r>
      <rPr>
        <sz val="11"/>
        <rFont val="游ゴシック Medium"/>
        <family val="3"/>
        <charset val="128"/>
      </rPr>
      <t>絵本百物語─桃山人夜話</t>
    </r>
    <rPh sb="0" eb="2">
      <t>エホン</t>
    </rPh>
    <rPh sb="2" eb="3">
      <t>ヒャク</t>
    </rPh>
    <rPh sb="3" eb="5">
      <t>モノガタリ</t>
    </rPh>
    <rPh sb="6" eb="9">
      <t>トウサンジン</t>
    </rPh>
    <rPh sb="9" eb="11">
      <t>ヤワ</t>
    </rPh>
    <phoneticPr fontId="1"/>
  </si>
  <si>
    <r>
      <rPr>
        <sz val="11"/>
        <rFont val="游ゴシック Medium"/>
        <family val="3"/>
        <charset val="128"/>
      </rPr>
      <t>荒俣</t>
    </r>
    <r>
      <rPr>
        <sz val="11"/>
        <rFont val="Consolas"/>
        <family val="3"/>
      </rPr>
      <t xml:space="preserve"> </t>
    </r>
    <r>
      <rPr>
        <sz val="11"/>
        <rFont val="游ゴシック Medium"/>
        <family val="3"/>
        <charset val="128"/>
      </rPr>
      <t>宏</t>
    </r>
    <rPh sb="0" eb="4">
      <t>アラマタヒロシ</t>
    </rPh>
    <phoneticPr fontId="1"/>
  </si>
  <si>
    <r>
      <rPr>
        <sz val="11"/>
        <rFont val="游ゴシック Medium"/>
        <family val="3"/>
        <charset val="128"/>
      </rPr>
      <t>妖精画廊</t>
    </r>
    <r>
      <rPr>
        <sz val="11"/>
        <rFont val="Consolas"/>
        <family val="3"/>
      </rPr>
      <t>/part 2/</t>
    </r>
    <r>
      <rPr>
        <sz val="11"/>
        <rFont val="游ゴシック Medium"/>
        <family val="3"/>
        <charset val="128"/>
      </rPr>
      <t>夢を描く絵師たち</t>
    </r>
    <rPh sb="0" eb="2">
      <t>ヨウセイ</t>
    </rPh>
    <rPh sb="2" eb="4">
      <t>ガロウ</t>
    </rPh>
    <rPh sb="12" eb="13">
      <t>ユメ</t>
    </rPh>
    <rPh sb="14" eb="15">
      <t>エガ</t>
    </rPh>
    <rPh sb="16" eb="18">
      <t>エシ</t>
    </rPh>
    <phoneticPr fontId="1"/>
  </si>
  <si>
    <r>
      <rPr>
        <sz val="11"/>
        <rFont val="游ゴシック Medium"/>
        <family val="3"/>
        <charset val="128"/>
      </rPr>
      <t>月刊ペン社</t>
    </r>
    <rPh sb="0" eb="2">
      <t>ゲッカン</t>
    </rPh>
    <rPh sb="4" eb="5">
      <t>シャ</t>
    </rPh>
    <phoneticPr fontId="1"/>
  </si>
  <si>
    <r>
      <rPr>
        <sz val="11"/>
        <rFont val="游ゴシック Medium"/>
        <family val="3"/>
        <charset val="128"/>
      </rPr>
      <t>足立美術館</t>
    </r>
    <rPh sb="0" eb="2">
      <t>アダチ</t>
    </rPh>
    <rPh sb="2" eb="5">
      <t>ビジュツカン</t>
    </rPh>
    <phoneticPr fontId="1"/>
  </si>
  <si>
    <r>
      <rPr>
        <sz val="11"/>
        <rFont val="游ゴシック Medium"/>
        <family val="3"/>
        <charset val="128"/>
      </rPr>
      <t>童画の世界</t>
    </r>
    <r>
      <rPr>
        <sz val="11"/>
        <rFont val="Consolas"/>
        <family val="3"/>
      </rPr>
      <t>|Pictures for Children</t>
    </r>
    <rPh sb="0" eb="2">
      <t>ドウガ</t>
    </rPh>
    <rPh sb="3" eb="5">
      <t>セカイ</t>
    </rPh>
    <phoneticPr fontId="1"/>
  </si>
  <si>
    <r>
      <rPr>
        <sz val="11"/>
        <rFont val="游ゴシック Medium"/>
        <family val="3"/>
        <charset val="128"/>
      </rPr>
      <t>足立美術館</t>
    </r>
    <rPh sb="0" eb="5">
      <t>アダチビジュツカン</t>
    </rPh>
    <phoneticPr fontId="1"/>
  </si>
  <si>
    <r>
      <rPr>
        <sz val="11"/>
        <rFont val="游ゴシック Medium"/>
        <family val="3"/>
        <charset val="128"/>
      </rPr>
      <t>与</t>
    </r>
    <r>
      <rPr>
        <sz val="11"/>
        <rFont val="Consolas"/>
        <family val="3"/>
      </rPr>
      <t xml:space="preserve"> </t>
    </r>
    <r>
      <rPr>
        <sz val="11"/>
        <rFont val="游ゴシック Medium"/>
        <family val="3"/>
        <charset val="128"/>
      </rPr>
      <t>勇輝</t>
    </r>
    <rPh sb="0" eb="4">
      <t>アタエユウキ</t>
    </rPh>
    <phoneticPr fontId="1"/>
  </si>
  <si>
    <r>
      <rPr>
        <sz val="11"/>
        <rFont val="游ゴシック Medium"/>
        <family val="3"/>
        <charset val="128"/>
      </rPr>
      <t>人形師─与</t>
    </r>
    <r>
      <rPr>
        <sz val="11"/>
        <rFont val="Consolas"/>
        <family val="3"/>
      </rPr>
      <t xml:space="preserve"> </t>
    </r>
    <r>
      <rPr>
        <sz val="11"/>
        <rFont val="游ゴシック Medium"/>
        <family val="3"/>
        <charset val="128"/>
      </rPr>
      <t>勇輝の肖像</t>
    </r>
    <rPh sb="0" eb="2">
      <t>ニンギョウ</t>
    </rPh>
    <rPh sb="2" eb="3">
      <t>シ</t>
    </rPh>
    <rPh sb="4" eb="8">
      <t>アタエユウキ</t>
    </rPh>
    <rPh sb="9" eb="11">
      <t>ショウゾウ</t>
    </rPh>
    <phoneticPr fontId="1"/>
  </si>
  <si>
    <r>
      <rPr>
        <sz val="11"/>
        <rFont val="游ゴシック Medium"/>
        <family val="3"/>
        <charset val="128"/>
      </rPr>
      <t>与</t>
    </r>
    <r>
      <rPr>
        <sz val="11"/>
        <rFont val="Consolas"/>
        <family val="3"/>
      </rPr>
      <t xml:space="preserve"> </t>
    </r>
    <r>
      <rPr>
        <sz val="11"/>
        <rFont val="游ゴシック Medium"/>
        <family val="3"/>
        <charset val="128"/>
      </rPr>
      <t>勇輝の世界</t>
    </r>
    <rPh sb="0" eb="4">
      <t>アタエユウキ</t>
    </rPh>
    <rPh sb="5" eb="7">
      <t>セカイ</t>
    </rPh>
    <phoneticPr fontId="1"/>
  </si>
  <si>
    <r>
      <rPr>
        <sz val="11"/>
        <rFont val="游ゴシック Medium"/>
        <family val="3"/>
        <charset val="128"/>
      </rPr>
      <t>洋モノ</t>
    </r>
    <rPh sb="0" eb="1">
      <t>ヨウ</t>
    </rPh>
    <phoneticPr fontId="1"/>
  </si>
  <si>
    <r>
      <rPr>
        <sz val="11"/>
        <rFont val="游ゴシック Medium"/>
        <family val="3"/>
        <charset val="128"/>
      </rPr>
      <t>別冊</t>
    </r>
    <r>
      <rPr>
        <sz val="11"/>
        <rFont val="Consolas"/>
        <family val="3"/>
      </rPr>
      <t xml:space="preserve"> </t>
    </r>
    <r>
      <rPr>
        <sz val="11"/>
        <rFont val="游ゴシック Medium"/>
        <family val="3"/>
        <charset val="128"/>
      </rPr>
      <t>太陽</t>
    </r>
    <rPh sb="0" eb="2">
      <t>ベッサツ</t>
    </rPh>
    <rPh sb="3" eb="5">
      <t>タイヨウ</t>
    </rPh>
    <phoneticPr fontId="1"/>
  </si>
  <si>
    <r>
      <rPr>
        <sz val="11"/>
        <rFont val="游ゴシック Medium"/>
        <family val="3"/>
        <charset val="128"/>
      </rPr>
      <t>人形</t>
    </r>
    <rPh sb="0" eb="2">
      <t>ニンギョウ</t>
    </rPh>
    <phoneticPr fontId="1"/>
  </si>
  <si>
    <r>
      <rPr>
        <sz val="11"/>
        <rFont val="游ゴシック Medium"/>
        <family val="3"/>
        <charset val="128"/>
      </rPr>
      <t>子ども遊び集</t>
    </r>
    <rPh sb="0" eb="1">
      <t>コ</t>
    </rPh>
    <rPh sb="3" eb="4">
      <t>アソ</t>
    </rPh>
    <rPh sb="5" eb="6">
      <t>シュウ</t>
    </rPh>
    <phoneticPr fontId="1"/>
  </si>
  <si>
    <r>
      <t>1985</t>
    </r>
    <r>
      <rPr>
        <sz val="11"/>
        <rFont val="游ゴシック Medium"/>
        <family val="3"/>
        <charset val="128"/>
      </rPr>
      <t>春</t>
    </r>
    <rPh sb="4" eb="5">
      <t>ハル</t>
    </rPh>
    <phoneticPr fontId="1"/>
  </si>
  <si>
    <r>
      <rPr>
        <sz val="11"/>
        <rFont val="游ゴシック Medium"/>
        <family val="3"/>
        <charset val="128"/>
      </rPr>
      <t>日本のこころ</t>
    </r>
    <r>
      <rPr>
        <sz val="11"/>
        <rFont val="Consolas"/>
        <family val="3"/>
      </rPr>
      <t xml:space="preserve"> 49</t>
    </r>
    <rPh sb="0" eb="2">
      <t>ニホン</t>
    </rPh>
    <phoneticPr fontId="1"/>
  </si>
  <si>
    <r>
      <rPr>
        <sz val="11"/>
        <rFont val="游ゴシック Medium"/>
        <family val="3"/>
        <charset val="128"/>
      </rPr>
      <t>発禁本</t>
    </r>
    <rPh sb="0" eb="3">
      <t>ハッキンボン</t>
    </rPh>
    <phoneticPr fontId="1"/>
  </si>
  <si>
    <r>
      <rPr>
        <sz val="11"/>
        <rFont val="游ゴシック Medium"/>
        <family val="3"/>
        <charset val="128"/>
      </rPr>
      <t>太陽</t>
    </r>
    <rPh sb="0" eb="2">
      <t>タイヨウ</t>
    </rPh>
    <phoneticPr fontId="1"/>
  </si>
  <si>
    <r>
      <rPr>
        <sz val="11"/>
        <rFont val="游ゴシック Medium"/>
        <family val="3"/>
        <charset val="128"/>
      </rPr>
      <t>作家の</t>
    </r>
    <r>
      <rPr>
        <sz val="11"/>
        <rFont val="Consolas"/>
        <family val="3"/>
      </rPr>
      <t>Style</t>
    </r>
    <rPh sb="0" eb="2">
      <t>サッカ</t>
    </rPh>
    <rPh sb="3" eb="8">
      <t>スタイル</t>
    </rPh>
    <phoneticPr fontId="1"/>
  </si>
  <si>
    <r>
      <rPr>
        <sz val="11"/>
        <rFont val="游ゴシック Medium"/>
        <family val="3"/>
        <charset val="128"/>
      </rPr>
      <t>山本タカト</t>
    </r>
    <rPh sb="0" eb="2">
      <t>ヤマモト</t>
    </rPh>
    <phoneticPr fontId="1"/>
  </si>
  <si>
    <r>
      <rPr>
        <sz val="11"/>
        <rFont val="游ゴシック Medium"/>
        <family val="3"/>
        <charset val="128"/>
      </rPr>
      <t>ファルマコンの蠱惑</t>
    </r>
    <r>
      <rPr>
        <sz val="11"/>
        <rFont val="Consolas"/>
        <family val="3"/>
      </rPr>
      <t>/Allure of Pharmakon</t>
    </r>
    <rPh sb="7" eb="9">
      <t>コワク</t>
    </rPh>
    <phoneticPr fontId="1"/>
  </si>
  <si>
    <r>
      <t xml:space="preserve">Editions Treville </t>
    </r>
    <r>
      <rPr>
        <sz val="11"/>
        <rFont val="游ゴシック Medium"/>
        <family val="3"/>
        <charset val="128"/>
      </rPr>
      <t>謹製</t>
    </r>
    <rPh sb="0" eb="17">
      <t>エディシオン・トレヴィル</t>
    </rPh>
    <rPh sb="18" eb="20">
      <t>キンセイ</t>
    </rPh>
    <phoneticPr fontId="1"/>
  </si>
  <si>
    <r>
      <t>Pan-Exotica/</t>
    </r>
    <r>
      <rPr>
        <sz val="11"/>
        <rFont val="游ゴシック Medium"/>
        <family val="3"/>
        <charset val="128"/>
      </rPr>
      <t>河出書房新社</t>
    </r>
    <rPh sb="12" eb="18">
      <t>カワデショボウシンシャ</t>
    </rPh>
    <phoneticPr fontId="1"/>
  </si>
  <si>
    <r>
      <rPr>
        <sz val="11"/>
        <rFont val="游ゴシック Medium"/>
        <family val="3"/>
        <charset val="128"/>
      </rPr>
      <t>購入は伊藤洋子</t>
    </r>
    <rPh sb="0" eb="2">
      <t>コウニュウ</t>
    </rPh>
    <rPh sb="3" eb="5">
      <t>イトウ</t>
    </rPh>
    <rPh sb="5" eb="7">
      <t>ヨウコ</t>
    </rPh>
    <phoneticPr fontId="1"/>
  </si>
  <si>
    <r>
      <rPr>
        <sz val="11"/>
        <rFont val="游ゴシック Medium"/>
        <family val="3"/>
        <charset val="128"/>
      </rPr>
      <t>ヘルマフロディトゥスの肋骨</t>
    </r>
    <r>
      <rPr>
        <sz val="11"/>
        <rFont val="Consolas"/>
        <family val="3"/>
      </rPr>
      <t>/Rib of a Hermaphrodite</t>
    </r>
    <rPh sb="11" eb="13">
      <t>ロッコツ</t>
    </rPh>
    <phoneticPr fontId="1"/>
  </si>
  <si>
    <r>
      <rPr>
        <sz val="11"/>
        <rFont val="游ゴシック Medium"/>
        <family val="3"/>
        <charset val="128"/>
      </rPr>
      <t>室井佑月</t>
    </r>
    <rPh sb="0" eb="2">
      <t>ムロイ</t>
    </rPh>
    <rPh sb="2" eb="4">
      <t>ユヅキ</t>
    </rPh>
    <phoneticPr fontId="1"/>
  </si>
  <si>
    <r>
      <rPr>
        <sz val="11"/>
        <rFont val="游ゴシック Medium"/>
        <family val="3"/>
        <charset val="128"/>
      </rPr>
      <t>村尾マサミ</t>
    </r>
    <rPh sb="0" eb="2">
      <t>ムラオ</t>
    </rPh>
    <phoneticPr fontId="1"/>
  </si>
  <si>
    <r>
      <rPr>
        <sz val="11"/>
        <rFont val="游ゴシック Medium"/>
        <family val="3"/>
        <charset val="128"/>
      </rPr>
      <t>撮影</t>
    </r>
    <r>
      <rPr>
        <sz val="11"/>
        <rFont val="Consolas"/>
        <family val="3"/>
      </rPr>
      <t>/model</t>
    </r>
    <rPh sb="0" eb="2">
      <t>サツエイ</t>
    </rPh>
    <phoneticPr fontId="1"/>
  </si>
  <si>
    <r>
      <rPr>
        <sz val="11"/>
        <rFont val="游ゴシック Medium"/>
        <family val="3"/>
        <charset val="128"/>
      </rPr>
      <t>株式会社しょういん</t>
    </r>
    <rPh sb="0" eb="4">
      <t>カブシキガイシャ</t>
    </rPh>
    <phoneticPr fontId="1"/>
  </si>
  <si>
    <r>
      <rPr>
        <sz val="11"/>
        <rFont val="游ゴシック Medium"/>
        <family val="3"/>
        <charset val="128"/>
      </rPr>
      <t>濡木痴夢男</t>
    </r>
    <r>
      <rPr>
        <sz val="11"/>
        <rFont val="Consolas"/>
        <family val="3"/>
      </rPr>
      <t>/</t>
    </r>
    <r>
      <rPr>
        <sz val="11"/>
        <rFont val="游ゴシック Medium"/>
        <family val="3"/>
        <charset val="128"/>
      </rPr>
      <t>不二秋夫</t>
    </r>
    <rPh sb="0" eb="2">
      <t>ヌレキ</t>
    </rPh>
    <rPh sb="2" eb="3">
      <t>チ</t>
    </rPh>
    <rPh sb="3" eb="4">
      <t>ム</t>
    </rPh>
    <rPh sb="4" eb="5">
      <t>オ</t>
    </rPh>
    <rPh sb="6" eb="8">
      <t>フジ</t>
    </rPh>
    <rPh sb="8" eb="10">
      <t>アキオ</t>
    </rPh>
    <phoneticPr fontId="1"/>
  </si>
  <si>
    <r>
      <rPr>
        <sz val="11"/>
        <rFont val="游ゴシック Medium"/>
        <family val="3"/>
        <charset val="128"/>
      </rPr>
      <t>監修</t>
    </r>
    <r>
      <rPr>
        <sz val="11"/>
        <rFont val="Consolas"/>
        <family val="3"/>
      </rPr>
      <t>/</t>
    </r>
    <r>
      <rPr>
        <sz val="11"/>
        <rFont val="游ゴシック Medium"/>
        <family val="3"/>
        <charset val="128"/>
      </rPr>
      <t>写真監修</t>
    </r>
    <rPh sb="0" eb="2">
      <t>カンシュウ</t>
    </rPh>
    <rPh sb="3" eb="5">
      <t>シャシン</t>
    </rPh>
    <rPh sb="5" eb="7">
      <t>カンシュウ</t>
    </rPh>
    <phoneticPr fontId="1"/>
  </si>
  <si>
    <r>
      <rPr>
        <sz val="11"/>
        <rFont val="游ゴシック Medium"/>
        <family val="3"/>
        <charset val="128"/>
      </rPr>
      <t>日本緊縛写真史Ⅰ</t>
    </r>
    <rPh sb="0" eb="2">
      <t>ニホン</t>
    </rPh>
    <rPh sb="2" eb="4">
      <t>キンバク</t>
    </rPh>
    <rPh sb="4" eb="7">
      <t>シャシンシ</t>
    </rPh>
    <phoneticPr fontId="1"/>
  </si>
  <si>
    <r>
      <rPr>
        <sz val="11"/>
        <rFont val="游ゴシック Medium"/>
        <family val="3"/>
        <charset val="128"/>
      </rPr>
      <t>ダーティ工藤</t>
    </r>
    <rPh sb="4" eb="6">
      <t>クドウ</t>
    </rPh>
    <phoneticPr fontId="1"/>
  </si>
  <si>
    <r>
      <rPr>
        <sz val="11"/>
        <rFont val="游ゴシック Medium"/>
        <family val="3"/>
        <charset val="128"/>
      </rPr>
      <t>紫藤</t>
    </r>
    <r>
      <rPr>
        <sz val="11"/>
        <rFont val="Consolas"/>
        <family val="3"/>
      </rPr>
      <t xml:space="preserve"> </t>
    </r>
    <r>
      <rPr>
        <sz val="11"/>
        <rFont val="游ゴシック Medium"/>
        <family val="3"/>
        <charset val="128"/>
      </rPr>
      <t>仁</t>
    </r>
    <rPh sb="0" eb="2">
      <t>シトウ</t>
    </rPh>
    <rPh sb="3" eb="4">
      <t>ジン</t>
    </rPh>
    <phoneticPr fontId="1"/>
  </si>
  <si>
    <r>
      <rPr>
        <sz val="11"/>
        <rFont val="游ゴシック Medium"/>
        <family val="3"/>
        <charset val="128"/>
      </rPr>
      <t>撮影</t>
    </r>
    <rPh sb="0" eb="2">
      <t>サツエイ</t>
    </rPh>
    <phoneticPr fontId="1"/>
  </si>
  <si>
    <r>
      <rPr>
        <sz val="11"/>
        <rFont val="游ゴシック Medium"/>
        <family val="3"/>
        <charset val="128"/>
      </rPr>
      <t>残縄画報</t>
    </r>
    <rPh sb="0" eb="1">
      <t>ザン</t>
    </rPh>
    <rPh sb="1" eb="2">
      <t>ジョウ</t>
    </rPh>
    <rPh sb="2" eb="4">
      <t>ガホウ</t>
    </rPh>
    <phoneticPr fontId="1"/>
  </si>
  <si>
    <r>
      <rPr>
        <sz val="11"/>
        <rFont val="游ゴシック Medium"/>
        <family val="3"/>
        <charset val="128"/>
      </rPr>
      <t>ワイズ出版</t>
    </r>
    <rPh sb="3" eb="5">
      <t>シュッパン</t>
    </rPh>
    <phoneticPr fontId="1"/>
  </si>
  <si>
    <r>
      <rPr>
        <sz val="11"/>
        <rFont val="游ゴシック Medium"/>
        <family val="3"/>
        <charset val="128"/>
      </rPr>
      <t>写真帖</t>
    </r>
    <rPh sb="0" eb="2">
      <t>シャシン</t>
    </rPh>
    <rPh sb="2" eb="3">
      <t>チョウ</t>
    </rPh>
    <phoneticPr fontId="1"/>
  </si>
  <si>
    <r>
      <rPr>
        <sz val="11"/>
        <rFont val="游ゴシック Medium"/>
        <family val="3"/>
        <charset val="128"/>
      </rPr>
      <t>責め絵の女</t>
    </r>
    <rPh sb="0" eb="1">
      <t>セ</t>
    </rPh>
    <rPh sb="2" eb="3">
      <t>エ</t>
    </rPh>
    <rPh sb="4" eb="5">
      <t>オンナ</t>
    </rPh>
    <phoneticPr fontId="1"/>
  </si>
  <si>
    <r>
      <t xml:space="preserve">Photo </t>
    </r>
    <r>
      <rPr>
        <sz val="11"/>
        <rFont val="游ゴシック Medium"/>
        <family val="3"/>
        <charset val="128"/>
      </rPr>
      <t>ミュゼ</t>
    </r>
    <rPh sb="0" eb="5">
      <t>フォト</t>
    </rPh>
    <phoneticPr fontId="1"/>
  </si>
  <si>
    <r>
      <rPr>
        <sz val="11"/>
        <rFont val="游ゴシック Medium"/>
        <family val="3"/>
        <charset val="128"/>
      </rPr>
      <t>福富太郎</t>
    </r>
    <rPh sb="0" eb="4">
      <t>フクトミタロウ</t>
    </rPh>
    <phoneticPr fontId="1"/>
  </si>
  <si>
    <r>
      <rPr>
        <sz val="11"/>
        <rFont val="游ゴシック Medium"/>
        <family val="3"/>
        <charset val="128"/>
      </rPr>
      <t>伊藤晴雨自画自伝</t>
    </r>
    <rPh sb="0" eb="2">
      <t>イトウ</t>
    </rPh>
    <rPh sb="2" eb="4">
      <t>セイウ</t>
    </rPh>
    <rPh sb="4" eb="6">
      <t>ジガ</t>
    </rPh>
    <rPh sb="6" eb="8">
      <t>ジデン</t>
    </rPh>
    <phoneticPr fontId="1"/>
  </si>
  <si>
    <r>
      <rPr>
        <sz val="11"/>
        <rFont val="游ゴシック Medium"/>
        <family val="3"/>
        <charset val="128"/>
      </rPr>
      <t>青木信光</t>
    </r>
    <rPh sb="0" eb="2">
      <t>アオキ</t>
    </rPh>
    <rPh sb="2" eb="4">
      <t>ノブミツ</t>
    </rPh>
    <phoneticPr fontId="1"/>
  </si>
  <si>
    <r>
      <rPr>
        <sz val="11"/>
        <rFont val="游ゴシック Medium"/>
        <family val="3"/>
        <charset val="128"/>
      </rPr>
      <t>好色江戸の枕絵</t>
    </r>
    <r>
      <rPr>
        <sz val="11"/>
        <rFont val="Consolas"/>
        <family val="3"/>
      </rPr>
      <t>vol.1</t>
    </r>
    <rPh sb="0" eb="2">
      <t>コウショク</t>
    </rPh>
    <rPh sb="2" eb="4">
      <t>エド</t>
    </rPh>
    <rPh sb="5" eb="7">
      <t>マクラエ</t>
    </rPh>
    <phoneticPr fontId="1"/>
  </si>
  <si>
    <r>
      <rPr>
        <sz val="11"/>
        <rFont val="游ゴシック Medium"/>
        <family val="3"/>
        <charset val="128"/>
      </rPr>
      <t>ユウムック</t>
    </r>
    <phoneticPr fontId="1"/>
  </si>
  <si>
    <r>
      <rPr>
        <sz val="11"/>
        <rFont val="游ゴシック Medium"/>
        <family val="3"/>
        <charset val="128"/>
      </rPr>
      <t>雄出版㈱</t>
    </r>
    <rPh sb="0" eb="1">
      <t>ユウ</t>
    </rPh>
    <rPh sb="1" eb="3">
      <t>シュッパン</t>
    </rPh>
    <phoneticPr fontId="1"/>
  </si>
  <si>
    <r>
      <rPr>
        <sz val="11"/>
        <rFont val="游ゴシック Medium"/>
        <family val="3"/>
        <charset val="128"/>
      </rPr>
      <t>好色江戸の枕絵</t>
    </r>
    <r>
      <rPr>
        <sz val="11"/>
        <rFont val="Consolas"/>
        <family val="3"/>
      </rPr>
      <t>vol.2</t>
    </r>
    <rPh sb="0" eb="2">
      <t>コウショク</t>
    </rPh>
    <rPh sb="2" eb="4">
      <t>エド</t>
    </rPh>
    <rPh sb="5" eb="7">
      <t>マクラエ</t>
    </rPh>
    <phoneticPr fontId="1"/>
  </si>
  <si>
    <r>
      <rPr>
        <sz val="11"/>
        <rFont val="游ゴシック Medium"/>
        <family val="3"/>
        <charset val="128"/>
      </rPr>
      <t>好色江戸の枕絵</t>
    </r>
    <r>
      <rPr>
        <sz val="11"/>
        <rFont val="Consolas"/>
        <family val="3"/>
      </rPr>
      <t>vol.3</t>
    </r>
    <rPh sb="0" eb="2">
      <t>コウショク</t>
    </rPh>
    <rPh sb="2" eb="4">
      <t>エド</t>
    </rPh>
    <rPh sb="5" eb="7">
      <t>マクラエ</t>
    </rPh>
    <phoneticPr fontId="1"/>
  </si>
  <si>
    <r>
      <rPr>
        <sz val="11"/>
        <rFont val="游ゴシック Medium"/>
        <family val="3"/>
        <charset val="128"/>
      </rPr>
      <t>黒崎和也</t>
    </r>
    <rPh sb="0" eb="2">
      <t>クロサキ</t>
    </rPh>
    <rPh sb="2" eb="4">
      <t>カズヤ</t>
    </rPh>
    <phoneticPr fontId="1"/>
  </si>
  <si>
    <r>
      <rPr>
        <sz val="11"/>
        <rFont val="游ゴシック Medium"/>
        <family val="3"/>
        <charset val="128"/>
      </rPr>
      <t>好色江戸の枕絵</t>
    </r>
    <r>
      <rPr>
        <sz val="11"/>
        <rFont val="Consolas"/>
        <family val="3"/>
      </rPr>
      <t>vol.4</t>
    </r>
    <rPh sb="0" eb="2">
      <t>コウショク</t>
    </rPh>
    <rPh sb="2" eb="4">
      <t>エド</t>
    </rPh>
    <rPh sb="5" eb="7">
      <t>マクラエ</t>
    </rPh>
    <phoneticPr fontId="1"/>
  </si>
  <si>
    <r>
      <rPr>
        <sz val="11"/>
        <rFont val="游ゴシック Medium"/>
        <family val="3"/>
        <charset val="128"/>
      </rPr>
      <t>好色江戸の枕絵</t>
    </r>
    <r>
      <rPr>
        <sz val="11"/>
        <rFont val="Consolas"/>
        <family val="3"/>
      </rPr>
      <t>vol.5</t>
    </r>
    <rPh sb="0" eb="2">
      <t>コウショク</t>
    </rPh>
    <rPh sb="2" eb="4">
      <t>エド</t>
    </rPh>
    <rPh sb="5" eb="7">
      <t>マクラエ</t>
    </rPh>
    <phoneticPr fontId="1"/>
  </si>
  <si>
    <r>
      <rPr>
        <sz val="11"/>
        <rFont val="游ゴシック Medium"/>
        <family val="3"/>
        <charset val="128"/>
      </rPr>
      <t>岡島書店</t>
    </r>
    <rPh sb="0" eb="2">
      <t>オカジマ</t>
    </rPh>
    <rPh sb="2" eb="4">
      <t>ショテン</t>
    </rPh>
    <phoneticPr fontId="1"/>
  </si>
  <si>
    <r>
      <rPr>
        <sz val="11"/>
        <rFont val="游ゴシック Medium"/>
        <family val="3"/>
        <charset val="128"/>
      </rPr>
      <t>松本俊太郎</t>
    </r>
    <rPh sb="0" eb="2">
      <t>マツモト</t>
    </rPh>
    <rPh sb="2" eb="5">
      <t>シュンタロウ</t>
    </rPh>
    <phoneticPr fontId="1"/>
  </si>
  <si>
    <r>
      <t>Tantra</t>
    </r>
    <r>
      <rPr>
        <sz val="8"/>
        <rFont val="游ゴシック Medium"/>
        <family val="3"/>
        <charset val="128"/>
      </rPr>
      <t>─</t>
    </r>
    <r>
      <rPr>
        <sz val="8"/>
        <rFont val="Consolas"/>
        <family val="3"/>
      </rPr>
      <t>Inde</t>
    </r>
    <r>
      <rPr>
        <sz val="8"/>
        <rFont val="游ゴシック Medium"/>
        <family val="3"/>
        <charset val="128"/>
      </rPr>
      <t>の</t>
    </r>
    <r>
      <rPr>
        <sz val="8"/>
        <rFont val="Consolas"/>
        <family val="3"/>
      </rPr>
      <t>Ecstasy</t>
    </r>
    <r>
      <rPr>
        <sz val="8"/>
        <rFont val="游ゴシック Medium"/>
        <family val="3"/>
        <charset val="128"/>
      </rPr>
      <t>礼賛</t>
    </r>
    <r>
      <rPr>
        <sz val="11"/>
        <rFont val="Consolas"/>
        <family val="3"/>
      </rPr>
      <t>/The Indian Cult of Ecstasy</t>
    </r>
    <rPh sb="0" eb="6">
      <t>タントラ</t>
    </rPh>
    <rPh sb="7" eb="11">
      <t>インド</t>
    </rPh>
    <rPh sb="12" eb="19">
      <t>エクスタシー</t>
    </rPh>
    <rPh sb="19" eb="21">
      <t>ライサン</t>
    </rPh>
    <rPh sb="22" eb="25">
      <t>ザ</t>
    </rPh>
    <rPh sb="26" eb="32">
      <t>インディアン</t>
    </rPh>
    <rPh sb="33" eb="37">
      <t>カルト</t>
    </rPh>
    <rPh sb="38" eb="40">
      <t>オブ</t>
    </rPh>
    <rPh sb="41" eb="48">
      <t>エクスタシー</t>
    </rPh>
    <phoneticPr fontId="1"/>
  </si>
  <si>
    <r>
      <t>Image</t>
    </r>
    <r>
      <rPr>
        <sz val="11"/>
        <rFont val="游ゴシック Medium"/>
        <family val="3"/>
        <charset val="128"/>
      </rPr>
      <t>の博物誌</t>
    </r>
    <r>
      <rPr>
        <sz val="11"/>
        <rFont val="Consolas"/>
        <family val="3"/>
      </rPr>
      <t>8/Art and Imagination/Purce,Jill:General Editor</t>
    </r>
    <rPh sb="0" eb="5">
      <t>イメージ</t>
    </rPh>
    <rPh sb="6" eb="9">
      <t>ハクブツシ</t>
    </rPh>
    <rPh sb="11" eb="14">
      <t>アート</t>
    </rPh>
    <rPh sb="15" eb="18">
      <t>アンド</t>
    </rPh>
    <rPh sb="19" eb="30">
      <t>イマジネーション</t>
    </rPh>
    <phoneticPr fontId="1"/>
  </si>
  <si>
    <r>
      <rPr>
        <sz val="11"/>
        <rFont val="游ゴシック Medium"/>
        <family val="3"/>
        <charset val="128"/>
      </rPr>
      <t>光琳社出版㈱</t>
    </r>
    <rPh sb="0" eb="2">
      <t>コウリン</t>
    </rPh>
    <rPh sb="2" eb="3">
      <t>シャ</t>
    </rPh>
    <rPh sb="3" eb="5">
      <t>シュッパン</t>
    </rPh>
    <phoneticPr fontId="1"/>
  </si>
  <si>
    <r>
      <t>SID nets:</t>
    </r>
    <r>
      <rPr>
        <sz val="11"/>
        <rFont val="游ゴシック Medium"/>
        <family val="3"/>
        <charset val="128"/>
      </rPr>
      <t>発行</t>
    </r>
    <r>
      <rPr>
        <sz val="11"/>
        <rFont val="Consolas"/>
        <family val="3"/>
      </rPr>
      <t>/</t>
    </r>
    <r>
      <rPr>
        <sz val="11"/>
        <rFont val="游ゴシック Medium"/>
        <family val="3"/>
        <charset val="128"/>
      </rPr>
      <t>光琳社出版㈱</t>
    </r>
    <r>
      <rPr>
        <sz val="11"/>
        <rFont val="Consolas"/>
        <family val="3"/>
      </rPr>
      <t>:</t>
    </r>
    <r>
      <rPr>
        <sz val="11"/>
        <rFont val="游ゴシック Medium"/>
        <family val="3"/>
        <charset val="128"/>
      </rPr>
      <t>発売</t>
    </r>
    <rPh sb="0" eb="8">
      <t>エス･アイ･ディー･ネッツ</t>
    </rPh>
    <rPh sb="9" eb="11">
      <t>ハッコウ</t>
    </rPh>
    <rPh sb="12" eb="14">
      <t>コウリン</t>
    </rPh>
    <rPh sb="14" eb="15">
      <t>シャ</t>
    </rPh>
    <rPh sb="15" eb="17">
      <t>シュッパン</t>
    </rPh>
    <rPh sb="19" eb="21">
      <t>ハツバイ</t>
    </rPh>
    <phoneticPr fontId="1"/>
  </si>
  <si>
    <r>
      <rPr>
        <sz val="11"/>
        <rFont val="游ゴシック Medium"/>
        <family val="3"/>
        <charset val="128"/>
      </rPr>
      <t>特集★分身</t>
    </r>
    <r>
      <rPr>
        <sz val="11"/>
        <rFont val="Consolas"/>
        <family val="3"/>
      </rPr>
      <t xml:space="preserve"> </t>
    </r>
    <r>
      <rPr>
        <sz val="11"/>
        <rFont val="游ゴシック Medium"/>
        <family val="3"/>
        <charset val="128"/>
      </rPr>
      <t>パラダイス</t>
    </r>
    <rPh sb="0" eb="2">
      <t>トクシュウ</t>
    </rPh>
    <rPh sb="3" eb="5">
      <t>ブンシン</t>
    </rPh>
    <phoneticPr fontId="1"/>
  </si>
  <si>
    <r>
      <t xml:space="preserve">no.28 </t>
    </r>
    <r>
      <rPr>
        <sz val="11"/>
        <rFont val="游ゴシック Medium"/>
        <family val="3"/>
        <charset val="128"/>
      </rPr>
      <t>トーキングヘッズ叢書</t>
    </r>
    <rPh sb="14" eb="16">
      <t>ソウショ</t>
    </rPh>
    <phoneticPr fontId="1"/>
  </si>
  <si>
    <r>
      <rPr>
        <sz val="11"/>
        <rFont val="游ゴシック Medium"/>
        <family val="3"/>
        <charset val="128"/>
      </rPr>
      <t>アトリエサード</t>
    </r>
    <r>
      <rPr>
        <sz val="11"/>
        <rFont val="Consolas"/>
        <family val="3"/>
      </rPr>
      <t>/</t>
    </r>
    <r>
      <rPr>
        <sz val="11"/>
        <rFont val="游ゴシック Medium"/>
        <family val="3"/>
        <charset val="128"/>
      </rPr>
      <t>書苑新社</t>
    </r>
    <rPh sb="8" eb="9">
      <t>ショ</t>
    </rPh>
    <rPh sb="9" eb="10">
      <t>エン</t>
    </rPh>
    <rPh sb="10" eb="12">
      <t>シンシャ</t>
    </rPh>
    <phoneticPr fontId="1"/>
  </si>
  <si>
    <r>
      <rPr>
        <sz val="11"/>
        <rFont val="游ゴシック Medium"/>
        <family val="3"/>
        <charset val="128"/>
      </rPr>
      <t>画集</t>
    </r>
    <r>
      <rPr>
        <sz val="11"/>
        <rFont val="Consolas"/>
        <family val="3"/>
      </rPr>
      <t>/card</t>
    </r>
    <rPh sb="0" eb="2">
      <t>ガシュウ</t>
    </rPh>
    <phoneticPr fontId="1"/>
  </si>
  <si>
    <r>
      <t>Beato Angelo/</t>
    </r>
    <r>
      <rPr>
        <sz val="11"/>
        <rFont val="游ゴシック Medium"/>
        <family val="3"/>
        <charset val="128"/>
      </rPr>
      <t>天使の運ぶもの</t>
    </r>
    <rPh sb="0" eb="5">
      <t>ベアト</t>
    </rPh>
    <rPh sb="6" eb="12">
      <t>アンジェロ</t>
    </rPh>
    <rPh sb="13" eb="15">
      <t>テンシ</t>
    </rPh>
    <rPh sb="16" eb="17">
      <t>ハコ</t>
    </rPh>
    <phoneticPr fontId="1"/>
  </si>
  <si>
    <r>
      <rPr>
        <sz val="11"/>
        <rFont val="游ゴシック Medium"/>
        <family val="3"/>
        <charset val="128"/>
      </rPr>
      <t>天野可淡</t>
    </r>
    <rPh sb="0" eb="4">
      <t>アマノカタン</t>
    </rPh>
    <phoneticPr fontId="1"/>
  </si>
  <si>
    <r>
      <rPr>
        <sz val="11"/>
        <rFont val="游ゴシック Medium"/>
        <family val="3"/>
        <charset val="128"/>
      </rPr>
      <t>吉田良一</t>
    </r>
    <rPh sb="0" eb="2">
      <t>ヨシダ</t>
    </rPh>
    <phoneticPr fontId="1"/>
  </si>
  <si>
    <r>
      <rPr>
        <sz val="11"/>
        <rFont val="游ゴシック Medium"/>
        <family val="3"/>
        <charset val="128"/>
      </rPr>
      <t>豊浦正明</t>
    </r>
    <rPh sb="0" eb="2">
      <t>トヨウラ</t>
    </rPh>
    <rPh sb="2" eb="4">
      <t>マサアキ</t>
    </rPh>
    <phoneticPr fontId="1"/>
  </si>
  <si>
    <r>
      <t>Elysion/</t>
    </r>
    <r>
      <rPr>
        <sz val="11"/>
        <rFont val="游ゴシック Medium"/>
        <family val="3"/>
        <charset val="128"/>
      </rPr>
      <t>豊浦正明作品集</t>
    </r>
    <rPh sb="0" eb="7">
      <t>エレシアノ</t>
    </rPh>
    <rPh sb="8" eb="10">
      <t>トヨウラ</t>
    </rPh>
    <rPh sb="10" eb="12">
      <t>マサアキ</t>
    </rPh>
    <rPh sb="12" eb="14">
      <t>サクヒン</t>
    </rPh>
    <rPh sb="14" eb="15">
      <t>シュウ</t>
    </rPh>
    <phoneticPr fontId="1"/>
  </si>
  <si>
    <r>
      <rPr>
        <sz val="11"/>
        <rFont val="游ゴシック Medium"/>
        <family val="3"/>
        <charset val="128"/>
      </rPr>
      <t>山吉由利子</t>
    </r>
    <rPh sb="0" eb="2">
      <t>ヤマヨシ</t>
    </rPh>
    <rPh sb="2" eb="5">
      <t>ユリコ</t>
    </rPh>
    <phoneticPr fontId="1"/>
  </si>
  <si>
    <r>
      <rPr>
        <sz val="11"/>
        <rFont val="游ゴシック Medium"/>
        <family val="3"/>
        <charset val="128"/>
      </rPr>
      <t>写真集</t>
    </r>
    <rPh sb="0" eb="3">
      <t>シャシンシュウ</t>
    </rPh>
    <phoneticPr fontId="1"/>
  </si>
  <si>
    <r>
      <rPr>
        <sz val="11"/>
        <rFont val="游ゴシック Medium"/>
        <family val="3"/>
        <charset val="128"/>
      </rPr>
      <t>光琳社出版</t>
    </r>
    <rPh sb="0" eb="2">
      <t>コウリン</t>
    </rPh>
    <rPh sb="2" eb="3">
      <t>シャ</t>
    </rPh>
    <rPh sb="3" eb="5">
      <t>シュッパン</t>
    </rPh>
    <phoneticPr fontId="1"/>
  </si>
  <si>
    <r>
      <rPr>
        <sz val="11"/>
        <rFont val="游ゴシック Medium"/>
        <family val="3"/>
        <charset val="128"/>
      </rPr>
      <t>大島早紀子</t>
    </r>
    <r>
      <rPr>
        <sz val="11"/>
        <rFont val="Consolas"/>
        <family val="3"/>
      </rPr>
      <t>×</t>
    </r>
    <r>
      <rPr>
        <sz val="11"/>
        <rFont val="游ゴシック Medium"/>
        <family val="3"/>
        <charset val="128"/>
      </rPr>
      <t>白河直子</t>
    </r>
    <rPh sb="0" eb="2">
      <t>オオシマ</t>
    </rPh>
    <rPh sb="2" eb="5">
      <t>サキコ</t>
    </rPh>
    <rPh sb="6" eb="8">
      <t>シラカワ</t>
    </rPh>
    <rPh sb="8" eb="10">
      <t>ナオコ</t>
    </rPh>
    <phoneticPr fontId="1"/>
  </si>
  <si>
    <r>
      <rPr>
        <sz val="11"/>
        <rFont val="游ゴシック Medium"/>
        <family val="3"/>
        <charset val="128"/>
      </rPr>
      <t>十年の記憶</t>
    </r>
    <rPh sb="0" eb="2">
      <t>ジュウネン</t>
    </rPh>
    <rPh sb="3" eb="5">
      <t>キオク</t>
    </rPh>
    <phoneticPr fontId="1"/>
  </si>
  <si>
    <r>
      <rPr>
        <sz val="11"/>
        <rFont val="游ゴシック Medium"/>
        <family val="3"/>
        <charset val="128"/>
      </rPr>
      <t>さやか</t>
    </r>
    <phoneticPr fontId="1"/>
  </si>
  <si>
    <r>
      <rPr>
        <sz val="11"/>
        <rFont val="游ゴシック Medium"/>
        <family val="3"/>
        <charset val="128"/>
      </rPr>
      <t>三浦</t>
    </r>
    <r>
      <rPr>
        <sz val="11"/>
        <rFont val="Consolas"/>
        <family val="3"/>
      </rPr>
      <t xml:space="preserve"> </t>
    </r>
    <r>
      <rPr>
        <sz val="11"/>
        <rFont val="游ゴシック Medium"/>
        <family val="3"/>
        <charset val="128"/>
      </rPr>
      <t>有為子</t>
    </r>
    <rPh sb="0" eb="2">
      <t>ミウラ</t>
    </rPh>
    <rPh sb="3" eb="6">
      <t>ウイコ</t>
    </rPh>
    <phoneticPr fontId="1"/>
  </si>
  <si>
    <r>
      <t xml:space="preserve">48 Love Seenes | </t>
    </r>
    <r>
      <rPr>
        <sz val="11"/>
        <rFont val="游ゴシック Medium"/>
        <family val="3"/>
        <charset val="128"/>
      </rPr>
      <t>恋の四十八景</t>
    </r>
    <rPh sb="17" eb="18">
      <t>コイ</t>
    </rPh>
    <rPh sb="19" eb="22">
      <t>シジュウハチ</t>
    </rPh>
    <rPh sb="22" eb="23">
      <t>ケイ</t>
    </rPh>
    <phoneticPr fontId="1"/>
  </si>
  <si>
    <r>
      <rPr>
        <sz val="11"/>
        <rFont val="游ゴシック Medium"/>
        <family val="3"/>
        <charset val="128"/>
      </rPr>
      <t>薫風社</t>
    </r>
    <rPh sb="0" eb="2">
      <t>クンプウ</t>
    </rPh>
    <rPh sb="2" eb="3">
      <t>シャ</t>
    </rPh>
    <phoneticPr fontId="1"/>
  </si>
  <si>
    <r>
      <t>Yoko</t>
    </r>
    <r>
      <rPr>
        <sz val="11"/>
        <rFont val="游ゴシック Medium"/>
        <family val="3"/>
        <charset val="128"/>
      </rPr>
      <t>購入</t>
    </r>
    <rPh sb="4" eb="6">
      <t>コウニュウ</t>
    </rPh>
    <phoneticPr fontId="1"/>
  </si>
  <si>
    <r>
      <t>Colors of War[</t>
    </r>
    <r>
      <rPr>
        <sz val="11"/>
        <rFont val="游ゴシック Medium"/>
        <family val="3"/>
        <charset val="128"/>
      </rPr>
      <t>戦争のある風景</t>
    </r>
    <r>
      <rPr>
        <sz val="11"/>
        <rFont val="Consolas"/>
        <family val="3"/>
      </rPr>
      <t>]</t>
    </r>
    <rPh sb="14" eb="16">
      <t>センソウ</t>
    </rPh>
    <rPh sb="19" eb="21">
      <t>フウケイ</t>
    </rPh>
    <phoneticPr fontId="1"/>
  </si>
  <si>
    <r>
      <t>Little Family/</t>
    </r>
    <r>
      <rPr>
        <sz val="11"/>
        <rFont val="游ゴシック Medium"/>
        <family val="3"/>
        <charset val="128"/>
      </rPr>
      <t>小さな家族</t>
    </r>
    <rPh sb="14" eb="15">
      <t>チイ</t>
    </rPh>
    <rPh sb="17" eb="19">
      <t>カゾク</t>
    </rPh>
    <phoneticPr fontId="1"/>
  </si>
  <si>
    <r>
      <rPr>
        <sz val="11"/>
        <rFont val="游ゴシック Medium"/>
        <family val="3"/>
        <charset val="128"/>
      </rPr>
      <t>求龍堂</t>
    </r>
    <rPh sb="0" eb="1">
      <t>キュウ</t>
    </rPh>
    <rPh sb="1" eb="2">
      <t>リュウ</t>
    </rPh>
    <rPh sb="2" eb="3">
      <t>ドウ</t>
    </rPh>
    <phoneticPr fontId="1"/>
  </si>
  <si>
    <r>
      <rPr>
        <sz val="11"/>
        <rFont val="游ゴシック Medium"/>
        <family val="3"/>
        <charset val="128"/>
      </rPr>
      <t>木村</t>
    </r>
    <r>
      <rPr>
        <sz val="11"/>
        <rFont val="Consolas"/>
        <family val="3"/>
      </rPr>
      <t xml:space="preserve"> </t>
    </r>
    <r>
      <rPr>
        <sz val="11"/>
        <rFont val="游ゴシック Medium"/>
        <family val="3"/>
        <charset val="128"/>
      </rPr>
      <t>聡</t>
    </r>
    <rPh sb="0" eb="2">
      <t>キムラ</t>
    </rPh>
    <rPh sb="3" eb="4">
      <t>サトシ</t>
    </rPh>
    <phoneticPr fontId="1"/>
  </si>
  <si>
    <r>
      <rPr>
        <sz val="11"/>
        <rFont val="游ゴシック Medium"/>
        <family val="3"/>
        <charset val="128"/>
      </rPr>
      <t>赤線跡を歩く</t>
    </r>
    <r>
      <rPr>
        <sz val="11"/>
        <rFont val="Consolas"/>
        <family val="3"/>
      </rPr>
      <t>/</t>
    </r>
    <r>
      <rPr>
        <sz val="11"/>
        <rFont val="游ゴシック Medium"/>
        <family val="3"/>
        <charset val="128"/>
      </rPr>
      <t>消えゆく夢の街を訪ねて</t>
    </r>
    <rPh sb="0" eb="2">
      <t>アカセン</t>
    </rPh>
    <rPh sb="2" eb="3">
      <t>アト</t>
    </rPh>
    <rPh sb="4" eb="5">
      <t>アル</t>
    </rPh>
    <rPh sb="7" eb="8">
      <t>キ</t>
    </rPh>
    <rPh sb="11" eb="12">
      <t>ユメ</t>
    </rPh>
    <rPh sb="13" eb="14">
      <t>マチ</t>
    </rPh>
    <rPh sb="15" eb="16">
      <t>タズ</t>
    </rPh>
    <phoneticPr fontId="1"/>
  </si>
  <si>
    <r>
      <rPr>
        <sz val="11"/>
        <rFont val="游ゴシック Medium"/>
        <family val="3"/>
        <charset val="128"/>
      </rPr>
      <t>武田</t>
    </r>
    <r>
      <rPr>
        <sz val="11"/>
        <rFont val="Consolas"/>
        <family val="3"/>
      </rPr>
      <t xml:space="preserve"> </t>
    </r>
    <r>
      <rPr>
        <sz val="11"/>
        <rFont val="游ゴシック Medium"/>
        <family val="3"/>
        <charset val="128"/>
      </rPr>
      <t>花</t>
    </r>
    <rPh sb="0" eb="2">
      <t>タケダ</t>
    </rPh>
    <rPh sb="3" eb="4">
      <t>ハナ</t>
    </rPh>
    <phoneticPr fontId="1"/>
  </si>
  <si>
    <r>
      <rPr>
        <sz val="11"/>
        <rFont val="游ゴシック Medium"/>
        <family val="3"/>
        <charset val="128"/>
      </rPr>
      <t>猫光線</t>
    </r>
    <r>
      <rPr>
        <sz val="11"/>
        <rFont val="Consolas"/>
        <family val="3"/>
      </rPr>
      <t xml:space="preserve"> </t>
    </r>
    <r>
      <rPr>
        <sz val="11"/>
        <rFont val="游ゴシック Medium"/>
        <family val="3"/>
        <charset val="128"/>
      </rPr>
      <t>最新フォトエッセイ集</t>
    </r>
    <rPh sb="0" eb="1">
      <t>ネコ</t>
    </rPh>
    <rPh sb="1" eb="3">
      <t>コウセン</t>
    </rPh>
    <rPh sb="4" eb="6">
      <t>サイシン</t>
    </rPh>
    <rPh sb="13" eb="14">
      <t>シュウ</t>
    </rPh>
    <phoneticPr fontId="1"/>
  </si>
  <si>
    <r>
      <rPr>
        <sz val="11"/>
        <rFont val="游ゴシック Medium"/>
        <family val="3"/>
        <charset val="128"/>
      </rPr>
      <t>中央公論新社</t>
    </r>
    <rPh sb="0" eb="6">
      <t>チュウオウコウロン</t>
    </rPh>
    <phoneticPr fontId="1"/>
  </si>
  <si>
    <r>
      <rPr>
        <sz val="11"/>
        <rFont val="游ゴシック Medium"/>
        <family val="3"/>
        <charset val="128"/>
      </rPr>
      <t>本人から贈与</t>
    </r>
    <rPh sb="0" eb="2">
      <t>ホンニン</t>
    </rPh>
    <rPh sb="4" eb="6">
      <t>ゾウヨ</t>
    </rPh>
    <phoneticPr fontId="1"/>
  </si>
  <si>
    <r>
      <t>Espana Oculta/</t>
    </r>
    <r>
      <rPr>
        <b/>
        <sz val="11"/>
        <color indexed="33"/>
        <rFont val="游ゴシック Medium"/>
        <family val="3"/>
        <charset val="128"/>
      </rPr>
      <t>秘められた</t>
    </r>
    <r>
      <rPr>
        <b/>
        <sz val="11"/>
        <color indexed="33"/>
        <rFont val="Consolas"/>
        <family val="3"/>
      </rPr>
      <t>Spain</t>
    </r>
    <r>
      <rPr>
        <b/>
        <sz val="11"/>
        <color indexed="33"/>
        <rFont val="游ゴシック Medium"/>
        <family val="3"/>
        <charset val="128"/>
      </rPr>
      <t>展</t>
    </r>
    <rPh sb="14" eb="15">
      <t>ヒ</t>
    </rPh>
    <rPh sb="19" eb="24">
      <t>スペイン</t>
    </rPh>
    <rPh sb="24" eb="25">
      <t>テン</t>
    </rPh>
    <phoneticPr fontId="1"/>
  </si>
  <si>
    <r>
      <rPr>
        <sz val="11"/>
        <rFont val="游ゴシック Medium"/>
        <family val="3"/>
        <charset val="128"/>
      </rPr>
      <t>三鷹市美術</t>
    </r>
    <r>
      <rPr>
        <sz val="11"/>
        <rFont val="Consolas"/>
        <family val="3"/>
      </rPr>
      <t>Gallery</t>
    </r>
    <rPh sb="0" eb="3">
      <t>ミタカシ</t>
    </rPh>
    <rPh sb="3" eb="5">
      <t>ビジュツ</t>
    </rPh>
    <rPh sb="5" eb="12">
      <t>ギャラリー</t>
    </rPh>
    <phoneticPr fontId="1"/>
  </si>
  <si>
    <r>
      <rPr>
        <b/>
        <sz val="11"/>
        <color indexed="33"/>
        <rFont val="游ゴシック Medium"/>
        <family val="3"/>
        <charset val="128"/>
      </rPr>
      <t>伊藤若冲</t>
    </r>
    <rPh sb="0" eb="2">
      <t>イトウ</t>
    </rPh>
    <rPh sb="2" eb="4">
      <t>ジャクチュウ</t>
    </rPh>
    <phoneticPr fontId="1"/>
  </si>
  <si>
    <r>
      <rPr>
        <sz val="11"/>
        <rFont val="游ゴシック Medium"/>
        <family val="3"/>
        <charset val="128"/>
      </rPr>
      <t>若冲</t>
    </r>
    <r>
      <rPr>
        <sz val="11"/>
        <rFont val="Consolas"/>
        <family val="3"/>
      </rPr>
      <t xml:space="preserve"> Post Card Book</t>
    </r>
    <rPh sb="0" eb="2">
      <t>ジャクチュウ　</t>
    </rPh>
    <rPh sb="3" eb="17">
      <t>ポスト　カード　ブック</t>
    </rPh>
    <phoneticPr fontId="1"/>
  </si>
  <si>
    <r>
      <rPr>
        <sz val="11"/>
        <rFont val="游ゴシック Medium"/>
        <family val="3"/>
        <charset val="128"/>
      </rPr>
      <t>ウル叢書</t>
    </r>
    <rPh sb="2" eb="4">
      <t>ソウショ</t>
    </rPh>
    <phoneticPr fontId="1"/>
  </si>
  <si>
    <r>
      <rPr>
        <sz val="11"/>
        <rFont val="游ゴシック Medium"/>
        <family val="3"/>
        <charset val="128"/>
      </rPr>
      <t>ペヨトル工房</t>
    </r>
    <rPh sb="4" eb="6">
      <t>コウボウ</t>
    </rPh>
    <phoneticPr fontId="1"/>
  </si>
  <si>
    <r>
      <rPr>
        <sz val="11"/>
        <rFont val="游ゴシック Medium"/>
        <family val="3"/>
        <charset val="128"/>
      </rPr>
      <t>兵頭</t>
    </r>
    <r>
      <rPr>
        <sz val="11"/>
        <rFont val="Consolas"/>
        <family val="3"/>
      </rPr>
      <t xml:space="preserve"> </t>
    </r>
    <r>
      <rPr>
        <sz val="11"/>
        <rFont val="游ゴシック Medium"/>
        <family val="3"/>
        <charset val="128"/>
      </rPr>
      <t>喜貴</t>
    </r>
    <rPh sb="0" eb="2">
      <t>ヒョウドウ</t>
    </rPh>
    <rPh sb="3" eb="5">
      <t>ヨシタカ</t>
    </rPh>
    <phoneticPr fontId="1"/>
  </si>
  <si>
    <r>
      <rPr>
        <sz val="11"/>
        <rFont val="游ゴシック Medium"/>
        <family val="3"/>
        <charset val="128"/>
      </rPr>
      <t>福田</t>
    </r>
    <r>
      <rPr>
        <sz val="11"/>
        <rFont val="Consolas"/>
        <family val="3"/>
      </rPr>
      <t xml:space="preserve"> </t>
    </r>
    <r>
      <rPr>
        <sz val="11"/>
        <rFont val="游ゴシック Medium"/>
        <family val="3"/>
        <charset val="128"/>
      </rPr>
      <t>光睦</t>
    </r>
    <r>
      <rPr>
        <sz val="11"/>
        <rFont val="Consolas"/>
        <family val="3"/>
      </rPr>
      <t xml:space="preserve"> </t>
    </r>
    <rPh sb="0" eb="2">
      <t>フクダ</t>
    </rPh>
    <rPh sb="3" eb="5">
      <t>ミツチカ</t>
    </rPh>
    <phoneticPr fontId="1"/>
  </si>
  <si>
    <r>
      <rPr>
        <sz val="11"/>
        <rFont val="游ゴシック Medium"/>
        <family val="3"/>
        <charset val="128"/>
      </rPr>
      <t>監督</t>
    </r>
    <rPh sb="0" eb="2">
      <t>カントク</t>
    </rPh>
    <phoneticPr fontId="1"/>
  </si>
  <si>
    <r>
      <t xml:space="preserve">HYODO </t>
    </r>
    <r>
      <rPr>
        <sz val="11"/>
        <rFont val="游ゴシック Medium"/>
        <family val="3"/>
        <charset val="128"/>
      </rPr>
      <t>八潮秘宝館ラブドール戦記</t>
    </r>
    <rPh sb="6" eb="8">
      <t>ヤシオ</t>
    </rPh>
    <rPh sb="8" eb="11">
      <t>ヒホウカン</t>
    </rPh>
    <rPh sb="16" eb="18">
      <t>センキ</t>
    </rPh>
    <phoneticPr fontId="1"/>
  </si>
  <si>
    <r>
      <rPr>
        <sz val="11"/>
        <rFont val="游ゴシック Medium"/>
        <family val="3"/>
        <charset val="128"/>
      </rPr>
      <t>エクストリーム</t>
    </r>
    <phoneticPr fontId="1"/>
  </si>
  <si>
    <r>
      <rPr>
        <sz val="11"/>
        <rFont val="游ゴシック Medium"/>
        <family val="3"/>
        <charset val="128"/>
      </rPr>
      <t>吉祥寺</t>
    </r>
    <r>
      <rPr>
        <sz val="11"/>
        <rFont val="Consolas"/>
        <family val="3"/>
      </rPr>
      <t>UPLINK</t>
    </r>
    <rPh sb="0" eb="3">
      <t>キチジョウジ</t>
    </rPh>
    <rPh sb="3" eb="9">
      <t>アップリンク</t>
    </rPh>
    <phoneticPr fontId="1"/>
  </si>
  <si>
    <r>
      <rPr>
        <sz val="11"/>
        <rFont val="游ゴシック Medium"/>
        <family val="3"/>
        <charset val="128"/>
      </rPr>
      <t>つはる</t>
    </r>
    <phoneticPr fontId="1"/>
  </si>
  <si>
    <r>
      <rPr>
        <sz val="11"/>
        <rFont val="游ゴシック Medium"/>
        <family val="3"/>
        <charset val="128"/>
      </rPr>
      <t>性加害</t>
    </r>
    <r>
      <rPr>
        <sz val="11"/>
        <rFont val="Consolas"/>
        <family val="3"/>
      </rPr>
      <t>NO</t>
    </r>
    <r>
      <rPr>
        <sz val="11"/>
        <rFont val="游ゴシック Medium"/>
        <family val="3"/>
        <charset val="128"/>
      </rPr>
      <t>～</t>
    </r>
    <r>
      <rPr>
        <sz val="11"/>
        <rFont val="Consolas"/>
        <family val="3"/>
      </rPr>
      <t xml:space="preserve"> </t>
    </r>
    <r>
      <rPr>
        <sz val="11"/>
        <rFont val="游ゴシック Medium"/>
        <family val="3"/>
        <charset val="128"/>
      </rPr>
      <t>私の身に起きたこと</t>
    </r>
    <rPh sb="0" eb="1">
      <t>セイ</t>
    </rPh>
    <rPh sb="1" eb="3">
      <t>カガイ</t>
    </rPh>
    <rPh sb="7" eb="8">
      <t>ワタシ</t>
    </rPh>
    <rPh sb="9" eb="10">
      <t>ミ</t>
    </rPh>
    <phoneticPr fontId="1"/>
  </si>
  <si>
    <r>
      <rPr>
        <sz val="11"/>
        <rFont val="游ゴシック Medium"/>
        <family val="3"/>
        <charset val="128"/>
      </rPr>
      <t>おたクラブ</t>
    </r>
    <phoneticPr fontId="1"/>
  </si>
  <si>
    <r>
      <rPr>
        <sz val="11"/>
        <rFont val="游ゴシック Medium"/>
        <family val="3"/>
        <charset val="128"/>
      </rPr>
      <t>ルーブル美術館展</t>
    </r>
    <rPh sb="4" eb="7">
      <t>ビジュツカン</t>
    </rPh>
    <rPh sb="7" eb="8">
      <t>テン</t>
    </rPh>
    <phoneticPr fontId="1"/>
  </si>
  <si>
    <r>
      <rPr>
        <sz val="11"/>
        <rFont val="游ゴシック Medium"/>
        <family val="3"/>
        <charset val="128"/>
      </rPr>
      <t>ルーブル美術館展トランプ</t>
    </r>
    <rPh sb="4" eb="7">
      <t>ビジュツカン</t>
    </rPh>
    <rPh sb="7" eb="8">
      <t>テン</t>
    </rPh>
    <phoneticPr fontId="1"/>
  </si>
  <si>
    <r>
      <rPr>
        <sz val="11"/>
        <rFont val="游ゴシック Medium"/>
        <family val="3"/>
        <charset val="128"/>
      </rPr>
      <t>虫の楽園</t>
    </r>
    <rPh sb="0" eb="1">
      <t>ムシ</t>
    </rPh>
    <rPh sb="2" eb="4">
      <t>ラクエン</t>
    </rPh>
    <phoneticPr fontId="1"/>
  </si>
  <si>
    <r>
      <rPr>
        <sz val="11"/>
        <rFont val="游ゴシック Medium"/>
        <family val="3"/>
        <charset val="128"/>
      </rPr>
      <t>空撮</t>
    </r>
    <r>
      <rPr>
        <sz val="11"/>
        <rFont val="Consolas"/>
        <family val="3"/>
      </rPr>
      <t>Pro Atlas</t>
    </r>
    <rPh sb="0" eb="2">
      <t>クウサツ</t>
    </rPh>
    <phoneticPr fontId="1"/>
  </si>
  <si>
    <r>
      <rPr>
        <sz val="11"/>
        <rFont val="游ゴシック Medium"/>
        <family val="3"/>
        <charset val="128"/>
      </rPr>
      <t>図鑑</t>
    </r>
    <r>
      <rPr>
        <sz val="11"/>
        <rFont val="Consolas"/>
        <family val="3"/>
      </rPr>
      <t>_DVD</t>
    </r>
    <rPh sb="0" eb="2">
      <t>ズカン</t>
    </rPh>
    <phoneticPr fontId="1"/>
  </si>
  <si>
    <r>
      <rPr>
        <sz val="11"/>
        <rFont val="游ゴシック Medium"/>
        <family val="3"/>
        <charset val="128"/>
      </rPr>
      <t>小学館の図鑑</t>
    </r>
    <r>
      <rPr>
        <sz val="11"/>
        <rFont val="Consolas"/>
        <family val="3"/>
      </rPr>
      <t xml:space="preserve"> NEO|NATURE EARTH ORIGIN</t>
    </r>
    <rPh sb="0" eb="3">
      <t>ショウガクカン</t>
    </rPh>
    <rPh sb="4" eb="6">
      <t>ズカン</t>
    </rPh>
    <phoneticPr fontId="1"/>
  </si>
  <si>
    <r>
      <rPr>
        <sz val="11"/>
        <rFont val="游ゴシック Medium"/>
        <family val="3"/>
        <charset val="128"/>
      </rPr>
      <t>音楽</t>
    </r>
    <r>
      <rPr>
        <sz val="11"/>
        <rFont val="Consolas"/>
        <family val="3"/>
      </rPr>
      <t xml:space="preserve"> DVD </t>
    </r>
    <r>
      <rPr>
        <sz val="11"/>
        <rFont val="游ゴシック Medium"/>
        <family val="3"/>
        <charset val="128"/>
      </rPr>
      <t>つき</t>
    </r>
    <rPh sb="0" eb="2">
      <t>オンガク</t>
    </rPh>
    <phoneticPr fontId="1"/>
  </si>
  <si>
    <r>
      <rPr>
        <sz val="11"/>
        <rFont val="游ゴシック Medium"/>
        <family val="3"/>
        <charset val="128"/>
      </rPr>
      <t>芳賀</t>
    </r>
    <r>
      <rPr>
        <sz val="11"/>
        <rFont val="Consolas"/>
        <family val="3"/>
      </rPr>
      <t xml:space="preserve"> </t>
    </r>
    <r>
      <rPr>
        <sz val="11"/>
        <rFont val="游ゴシック Medium"/>
        <family val="3"/>
        <charset val="128"/>
      </rPr>
      <t>日出男</t>
    </r>
    <rPh sb="0" eb="2">
      <t>ハガ</t>
    </rPh>
    <rPh sb="3" eb="6">
      <t>ヒデオ</t>
    </rPh>
    <phoneticPr fontId="1"/>
  </si>
  <si>
    <r>
      <rPr>
        <sz val="11"/>
        <color indexed="10"/>
        <rFont val="游ゴシック Medium"/>
        <family val="3"/>
        <charset val="128"/>
      </rPr>
      <t>世界</t>
    </r>
    <r>
      <rPr>
        <sz val="11"/>
        <rFont val="游ゴシック Medium"/>
        <family val="3"/>
        <charset val="128"/>
      </rPr>
      <t>の</t>
    </r>
    <r>
      <rPr>
        <sz val="11"/>
        <color indexed="10"/>
        <rFont val="游ゴシック Medium"/>
        <family val="3"/>
        <charset val="128"/>
      </rPr>
      <t>祭り</t>
    </r>
    <r>
      <rPr>
        <sz val="11"/>
        <rFont val="游ゴシック Medium"/>
        <family val="3"/>
        <charset val="128"/>
      </rPr>
      <t>大図鑑</t>
    </r>
    <rPh sb="0" eb="2">
      <t>セカイ</t>
    </rPh>
    <rPh sb="3" eb="4">
      <t>マツ</t>
    </rPh>
    <rPh sb="5" eb="6">
      <t>ダイ</t>
    </rPh>
    <rPh sb="6" eb="8">
      <t>ズカン</t>
    </rPh>
    <phoneticPr fontId="1"/>
  </si>
  <si>
    <r>
      <rPr>
        <sz val="11"/>
        <rFont val="游ゴシック Medium"/>
        <family val="3"/>
        <charset val="128"/>
      </rPr>
      <t>国際理解を深めよう</t>
    </r>
    <r>
      <rPr>
        <sz val="11"/>
        <rFont val="Consolas"/>
        <family val="3"/>
      </rPr>
      <t xml:space="preserve"> !/</t>
    </r>
    <r>
      <rPr>
        <sz val="11"/>
        <rFont val="游ゴシック Medium"/>
        <family val="3"/>
        <charset val="128"/>
      </rPr>
      <t>知らない文化・伝統・行事もいっぱい</t>
    </r>
    <rPh sb="0" eb="2">
      <t>コクサイ</t>
    </rPh>
    <rPh sb="2" eb="4">
      <t>リカイ</t>
    </rPh>
    <rPh sb="5" eb="6">
      <t>フカ</t>
    </rPh>
    <rPh sb="12" eb="13">
      <t>シ</t>
    </rPh>
    <rPh sb="16" eb="18">
      <t>ブンカ</t>
    </rPh>
    <rPh sb="19" eb="21">
      <t>デントウ</t>
    </rPh>
    <rPh sb="22" eb="24">
      <t>ギョウジ</t>
    </rPh>
    <phoneticPr fontId="1"/>
  </si>
  <si>
    <r>
      <rPr>
        <sz val="11"/>
        <rFont val="游ゴシック Medium"/>
        <family val="3"/>
        <charset val="128"/>
      </rPr>
      <t>おもしろ地理学会</t>
    </r>
    <rPh sb="4" eb="6">
      <t>チリ</t>
    </rPh>
    <rPh sb="6" eb="8">
      <t>ガッカイ</t>
    </rPh>
    <phoneticPr fontId="1"/>
  </si>
  <si>
    <r>
      <rPr>
        <sz val="11"/>
        <rFont val="游ゴシック Medium"/>
        <family val="3"/>
        <charset val="128"/>
      </rPr>
      <t>世界で一番ふしぎな地図帳</t>
    </r>
    <rPh sb="0" eb="2">
      <t>セカイ</t>
    </rPh>
    <rPh sb="3" eb="5">
      <t>イチバン</t>
    </rPh>
    <rPh sb="9" eb="12">
      <t>チズチョウ</t>
    </rPh>
    <phoneticPr fontId="1"/>
  </si>
  <si>
    <r>
      <rPr>
        <sz val="11"/>
        <rFont val="游ゴシック Medium"/>
        <family val="3"/>
        <charset val="128"/>
      </rPr>
      <t>青春出版社</t>
    </r>
    <rPh sb="0" eb="2">
      <t>セイシュン</t>
    </rPh>
    <rPh sb="2" eb="5">
      <t>シュッパンシャ</t>
    </rPh>
    <phoneticPr fontId="1"/>
  </si>
  <si>
    <r>
      <rPr>
        <sz val="11"/>
        <rFont val="游ゴシック Medium"/>
        <family val="3"/>
        <charset val="128"/>
      </rPr>
      <t>新木場のコンビニ</t>
    </r>
    <rPh sb="0" eb="3">
      <t>シンキバ</t>
    </rPh>
    <phoneticPr fontId="1"/>
  </si>
  <si>
    <r>
      <rPr>
        <sz val="11"/>
        <rFont val="游ゴシック Medium"/>
        <family val="3"/>
        <charset val="128"/>
      </rPr>
      <t>町田</t>
    </r>
    <r>
      <rPr>
        <sz val="11"/>
        <rFont val="Consolas"/>
        <family val="3"/>
      </rPr>
      <t xml:space="preserve"> </t>
    </r>
    <r>
      <rPr>
        <sz val="11"/>
        <rFont val="游ゴシック Medium"/>
        <family val="3"/>
        <charset val="128"/>
      </rPr>
      <t>忍</t>
    </r>
    <rPh sb="0" eb="2">
      <t>マチダ</t>
    </rPh>
    <rPh sb="3" eb="4">
      <t>シノブ</t>
    </rPh>
    <phoneticPr fontId="1"/>
  </si>
  <si>
    <r>
      <rPr>
        <sz val="11"/>
        <rFont val="游ゴシック Medium"/>
        <family val="3"/>
        <charset val="128"/>
      </rPr>
      <t>町田</t>
    </r>
    <r>
      <rPr>
        <sz val="11"/>
        <rFont val="Consolas"/>
        <family val="3"/>
      </rPr>
      <t xml:space="preserve"> </t>
    </r>
    <r>
      <rPr>
        <sz val="11"/>
        <rFont val="游ゴシック Medium"/>
        <family val="3"/>
        <charset val="128"/>
      </rPr>
      <t>忍博物館</t>
    </r>
    <r>
      <rPr>
        <sz val="11"/>
        <rFont val="Consolas"/>
        <family val="3"/>
      </rPr>
      <t>/</t>
    </r>
    <r>
      <rPr>
        <sz val="11"/>
        <rFont val="游ゴシック Medium"/>
        <family val="3"/>
        <charset val="128"/>
      </rPr>
      <t>絶滅危惧浪漫</t>
    </r>
    <rPh sb="0" eb="2">
      <t>マチダ</t>
    </rPh>
    <rPh sb="3" eb="4">
      <t>シノブ</t>
    </rPh>
    <rPh sb="4" eb="7">
      <t>ハクブツカン</t>
    </rPh>
    <rPh sb="8" eb="10">
      <t>ゼツメツ</t>
    </rPh>
    <rPh sb="10" eb="12">
      <t>キグ</t>
    </rPh>
    <rPh sb="12" eb="14">
      <t>ロマン</t>
    </rPh>
    <phoneticPr fontId="1"/>
  </si>
  <si>
    <r>
      <rPr>
        <sz val="11"/>
        <rFont val="游ゴシック Medium"/>
        <family val="3"/>
        <charset val="128"/>
      </rPr>
      <t>国立科学博物館、読売新聞社</t>
    </r>
    <rPh sb="0" eb="7">
      <t>コクリツカガクハクブツカン</t>
    </rPh>
    <rPh sb="8" eb="13">
      <t>ヨミウリシンブンシャ</t>
    </rPh>
    <phoneticPr fontId="1"/>
  </si>
  <si>
    <r>
      <rPr>
        <sz val="11"/>
        <rFont val="游ゴシック Medium"/>
        <family val="3"/>
        <charset val="128"/>
      </rPr>
      <t>特別展</t>
    </r>
    <r>
      <rPr>
        <sz val="11"/>
        <rFont val="Consolas"/>
        <family val="3"/>
      </rPr>
      <t xml:space="preserve"> </t>
    </r>
    <r>
      <rPr>
        <sz val="11"/>
        <rFont val="游ゴシック Medium"/>
        <family val="3"/>
        <charset val="128"/>
      </rPr>
      <t>毒</t>
    </r>
    <r>
      <rPr>
        <sz val="11"/>
        <rFont val="Consolas"/>
        <family val="3"/>
      </rPr>
      <t>|Special Exhibition POISON</t>
    </r>
    <rPh sb="0" eb="3">
      <t>トクベツテン</t>
    </rPh>
    <rPh sb="4" eb="5">
      <t>ドク</t>
    </rPh>
    <phoneticPr fontId="1"/>
  </si>
  <si>
    <r>
      <rPr>
        <sz val="11"/>
        <rFont val="游ゴシック Medium"/>
        <family val="3"/>
        <charset val="128"/>
      </rPr>
      <t>読売新聞社、フジテレビジョン</t>
    </r>
    <rPh sb="0" eb="5">
      <t>ヨミウリシンブンシャ</t>
    </rPh>
    <phoneticPr fontId="1"/>
  </si>
  <si>
    <r>
      <rPr>
        <sz val="11"/>
        <rFont val="游ゴシック Medium"/>
        <family val="3"/>
        <charset val="128"/>
      </rPr>
      <t>国立科学博物館</t>
    </r>
    <rPh sb="0" eb="7">
      <t>コクリツカガクハクブツカン</t>
    </rPh>
    <phoneticPr fontId="1"/>
  </si>
  <si>
    <r>
      <rPr>
        <sz val="11"/>
        <rFont val="游ゴシック Medium"/>
        <family val="3"/>
        <charset val="128"/>
      </rPr>
      <t>高橋</t>
    </r>
    <r>
      <rPr>
        <sz val="11"/>
        <rFont val="Consolas"/>
        <family val="3"/>
      </rPr>
      <t xml:space="preserve"> </t>
    </r>
    <r>
      <rPr>
        <sz val="11"/>
        <rFont val="游ゴシック Medium"/>
        <family val="3"/>
        <charset val="128"/>
      </rPr>
      <t>善丸</t>
    </r>
    <rPh sb="0" eb="2">
      <t>タカハシ</t>
    </rPh>
    <rPh sb="3" eb="5">
      <t>ヨシマル</t>
    </rPh>
    <phoneticPr fontId="1"/>
  </si>
  <si>
    <r>
      <rPr>
        <sz val="11"/>
        <rFont val="游ゴシック Medium"/>
        <family val="3"/>
        <charset val="128"/>
      </rPr>
      <t>所蔵･編</t>
    </r>
    <rPh sb="0" eb="2">
      <t>ショゾウ</t>
    </rPh>
    <rPh sb="3" eb="4">
      <t>ヘン</t>
    </rPh>
    <phoneticPr fontId="1"/>
  </si>
  <si>
    <r>
      <rPr>
        <sz val="11"/>
        <rFont val="游ゴシック Medium"/>
        <family val="3"/>
        <charset val="128"/>
      </rPr>
      <t>お薬</t>
    </r>
    <r>
      <rPr>
        <sz val="11"/>
        <rFont val="Consolas"/>
        <family val="3"/>
      </rPr>
      <t>Graffity</t>
    </r>
    <rPh sb="0" eb="2">
      <t>オクスリ</t>
    </rPh>
    <rPh sb="2" eb="10">
      <t>グラフィティ</t>
    </rPh>
    <phoneticPr fontId="1"/>
  </si>
  <si>
    <r>
      <rPr>
        <sz val="11"/>
        <rFont val="游ゴシック Medium"/>
        <family val="3"/>
        <charset val="128"/>
      </rPr>
      <t>光琳社出版</t>
    </r>
    <rPh sb="0" eb="3">
      <t>コウリンシャ</t>
    </rPh>
    <rPh sb="3" eb="5">
      <t>シュッパン</t>
    </rPh>
    <phoneticPr fontId="1"/>
  </si>
  <si>
    <r>
      <rPr>
        <sz val="11"/>
        <rFont val="游ゴシック Medium"/>
        <family val="3"/>
        <charset val="128"/>
      </rPr>
      <t>那和</t>
    </r>
    <r>
      <rPr>
        <sz val="11"/>
        <rFont val="Consolas"/>
        <family val="3"/>
      </rPr>
      <t xml:space="preserve"> </t>
    </r>
    <r>
      <rPr>
        <sz val="11"/>
        <rFont val="游ゴシック Medium"/>
        <family val="3"/>
        <charset val="128"/>
      </rPr>
      <t>秀峻</t>
    </r>
    <rPh sb="0" eb="2">
      <t>ナワ</t>
    </rPh>
    <rPh sb="3" eb="5">
      <t>ヒデタカ</t>
    </rPh>
    <phoneticPr fontId="1"/>
  </si>
  <si>
    <r>
      <rPr>
        <sz val="11"/>
        <rFont val="游ゴシック Medium"/>
        <family val="3"/>
        <charset val="128"/>
      </rPr>
      <t>隅田川</t>
    </r>
    <r>
      <rPr>
        <sz val="11"/>
        <rFont val="Consolas"/>
        <family val="3"/>
      </rPr>
      <t>/</t>
    </r>
    <r>
      <rPr>
        <sz val="11"/>
        <rFont val="游ゴシック Medium"/>
        <family val="3"/>
        <charset val="128"/>
      </rPr>
      <t>流れに映る下町の哀歓</t>
    </r>
    <rPh sb="0" eb="3">
      <t>スミダガワ</t>
    </rPh>
    <rPh sb="4" eb="5">
      <t>ナガ</t>
    </rPh>
    <rPh sb="7" eb="8">
      <t>ウツ</t>
    </rPh>
    <rPh sb="9" eb="11">
      <t>シタマチ</t>
    </rPh>
    <rPh sb="12" eb="14">
      <t>アイカン</t>
    </rPh>
    <phoneticPr fontId="1"/>
  </si>
  <si>
    <r>
      <rPr>
        <sz val="11"/>
        <rFont val="游ゴシック Medium"/>
        <family val="3"/>
        <charset val="128"/>
      </rPr>
      <t>東京新聞出版局</t>
    </r>
    <rPh sb="0" eb="2">
      <t>トウキョウ</t>
    </rPh>
    <rPh sb="2" eb="4">
      <t>シンブン</t>
    </rPh>
    <rPh sb="4" eb="7">
      <t>シュッパンキョク</t>
    </rPh>
    <phoneticPr fontId="1"/>
  </si>
  <si>
    <r>
      <rPr>
        <sz val="11"/>
        <rFont val="游ゴシック Medium"/>
        <family val="3"/>
        <charset val="128"/>
      </rPr>
      <t>みうら</t>
    </r>
    <r>
      <rPr>
        <sz val="11"/>
        <rFont val="Consolas"/>
        <family val="3"/>
      </rPr>
      <t xml:space="preserve"> </t>
    </r>
    <r>
      <rPr>
        <sz val="11"/>
        <rFont val="游ゴシック Medium"/>
        <family val="3"/>
        <charset val="128"/>
      </rPr>
      <t>じゅん</t>
    </r>
    <phoneticPr fontId="1"/>
  </si>
  <si>
    <r>
      <rPr>
        <sz val="11"/>
        <rFont val="游ゴシック Medium"/>
        <family val="3"/>
        <charset val="128"/>
      </rPr>
      <t>ゆるキャラ大図鑑</t>
    </r>
    <rPh sb="5" eb="6">
      <t>ダイ</t>
    </rPh>
    <rPh sb="6" eb="8">
      <t>ズカン</t>
    </rPh>
    <phoneticPr fontId="1"/>
  </si>
  <si>
    <r>
      <rPr>
        <sz val="11"/>
        <rFont val="游ゴシック Medium"/>
        <family val="3"/>
        <charset val="128"/>
      </rPr>
      <t>扶桑社</t>
    </r>
    <rPh sb="0" eb="3">
      <t>フソウシャ</t>
    </rPh>
    <phoneticPr fontId="1"/>
  </si>
  <si>
    <r>
      <t>"</t>
    </r>
    <r>
      <rPr>
        <sz val="11"/>
        <rFont val="游ゴシック Medium"/>
        <family val="3"/>
        <charset val="128"/>
      </rPr>
      <t>もったいない</t>
    </r>
    <r>
      <rPr>
        <sz val="11"/>
        <rFont val="Consolas"/>
        <family val="3"/>
      </rPr>
      <t>"</t>
    </r>
    <r>
      <rPr>
        <sz val="11"/>
        <rFont val="游ゴシック Medium"/>
        <family val="3"/>
        <charset val="128"/>
      </rPr>
      <t>本舗</t>
    </r>
    <rPh sb="8" eb="10">
      <t>ホンポ</t>
    </rPh>
    <phoneticPr fontId="1"/>
  </si>
  <si>
    <r>
      <rPr>
        <sz val="11"/>
        <rFont val="游ゴシック Medium"/>
        <family val="3"/>
        <charset val="128"/>
      </rPr>
      <t>伊藤</t>
    </r>
    <r>
      <rPr>
        <sz val="11"/>
        <rFont val="Consolas"/>
        <family val="3"/>
      </rPr>
      <t xml:space="preserve"> </t>
    </r>
    <r>
      <rPr>
        <sz val="11"/>
        <rFont val="游ゴシック Medium"/>
        <family val="3"/>
        <charset val="128"/>
      </rPr>
      <t>真理</t>
    </r>
    <rPh sb="0" eb="2">
      <t>イトウ</t>
    </rPh>
    <rPh sb="3" eb="5">
      <t>マリ</t>
    </rPh>
    <phoneticPr fontId="1"/>
  </si>
  <si>
    <r>
      <rPr>
        <b/>
        <sz val="11"/>
        <color indexed="33"/>
        <rFont val="游ゴシック Medium"/>
        <family val="3"/>
        <charset val="128"/>
      </rPr>
      <t>雲南の豚</t>
    </r>
    <rPh sb="0" eb="2">
      <t>ウンナン</t>
    </rPh>
    <rPh sb="3" eb="4">
      <t>ブタ</t>
    </rPh>
    <phoneticPr fontId="1"/>
  </si>
  <si>
    <r>
      <rPr>
        <b/>
        <sz val="11"/>
        <color indexed="33"/>
        <rFont val="游ゴシック Medium"/>
        <family val="3"/>
        <charset val="128"/>
      </rPr>
      <t>原色</t>
    </r>
    <r>
      <rPr>
        <b/>
        <sz val="11"/>
        <color indexed="33"/>
        <rFont val="Consolas"/>
        <family val="3"/>
      </rPr>
      <t xml:space="preserve"> </t>
    </r>
    <r>
      <rPr>
        <b/>
        <sz val="11"/>
        <color indexed="33"/>
        <rFont val="游ゴシック Medium"/>
        <family val="3"/>
        <charset val="128"/>
      </rPr>
      <t>ブタの病気</t>
    </r>
    <rPh sb="0" eb="2">
      <t>ゲンショク</t>
    </rPh>
    <rPh sb="6" eb="8">
      <t>ビョウキ</t>
    </rPh>
    <phoneticPr fontId="1"/>
  </si>
  <si>
    <r>
      <rPr>
        <sz val="11"/>
        <rFont val="游ゴシック Medium"/>
        <family val="3"/>
        <charset val="128"/>
      </rPr>
      <t>家の光協会</t>
    </r>
    <rPh sb="0" eb="1">
      <t>イエ</t>
    </rPh>
    <rPh sb="2" eb="3">
      <t>ヒカリ</t>
    </rPh>
    <rPh sb="3" eb="5">
      <t>キョウカイ</t>
    </rPh>
    <phoneticPr fontId="1"/>
  </si>
  <si>
    <r>
      <rPr>
        <b/>
        <sz val="11"/>
        <color indexed="33"/>
        <rFont val="游ゴシック Medium"/>
        <family val="3"/>
        <charset val="128"/>
      </rPr>
      <t>原色</t>
    </r>
    <r>
      <rPr>
        <b/>
        <sz val="11"/>
        <color indexed="33"/>
        <rFont val="Consolas"/>
        <family val="3"/>
      </rPr>
      <t xml:space="preserve"> </t>
    </r>
    <r>
      <rPr>
        <b/>
        <sz val="11"/>
        <color indexed="33"/>
        <rFont val="游ゴシック Medium"/>
        <family val="3"/>
        <charset val="128"/>
      </rPr>
      <t>ニワトリの病気</t>
    </r>
    <rPh sb="0" eb="2">
      <t>ゲンショク</t>
    </rPh>
    <rPh sb="8" eb="10">
      <t>ビョウキ</t>
    </rPh>
    <phoneticPr fontId="1"/>
  </si>
  <si>
    <r>
      <rPr>
        <b/>
        <sz val="11"/>
        <color indexed="33"/>
        <rFont val="游ゴシック Medium"/>
        <family val="3"/>
        <charset val="128"/>
      </rPr>
      <t>原色</t>
    </r>
    <r>
      <rPr>
        <b/>
        <sz val="11"/>
        <color indexed="33"/>
        <rFont val="Consolas"/>
        <family val="3"/>
      </rPr>
      <t xml:space="preserve"> </t>
    </r>
    <r>
      <rPr>
        <b/>
        <sz val="11"/>
        <color indexed="33"/>
        <rFont val="游ゴシック Medium"/>
        <family val="3"/>
        <charset val="128"/>
      </rPr>
      <t>ウシの病気</t>
    </r>
    <rPh sb="0" eb="2">
      <t>ゲンショク</t>
    </rPh>
    <rPh sb="6" eb="8">
      <t>ビョウキ</t>
    </rPh>
    <phoneticPr fontId="1"/>
  </si>
  <si>
    <r>
      <rPr>
        <b/>
        <sz val="11"/>
        <color indexed="33"/>
        <rFont val="游ゴシック Medium"/>
        <family val="3"/>
        <charset val="128"/>
      </rPr>
      <t>第</t>
    </r>
    <r>
      <rPr>
        <b/>
        <sz val="11"/>
        <color indexed="33"/>
        <rFont val="Consolas"/>
        <family val="3"/>
      </rPr>
      <t>2</t>
    </r>
    <r>
      <rPr>
        <b/>
        <sz val="11"/>
        <color indexed="33"/>
        <rFont val="游ゴシック Medium"/>
        <family val="3"/>
        <charset val="128"/>
      </rPr>
      <t>回</t>
    </r>
    <r>
      <rPr>
        <b/>
        <sz val="11"/>
        <color indexed="33"/>
        <rFont val="Consolas"/>
        <family val="3"/>
      </rPr>
      <t xml:space="preserve"> </t>
    </r>
    <r>
      <rPr>
        <b/>
        <sz val="11"/>
        <color indexed="33"/>
        <rFont val="游ゴシック Medium"/>
        <family val="3"/>
        <charset val="128"/>
      </rPr>
      <t>人形たち展</t>
    </r>
    <rPh sb="0" eb="1">
      <t>ダイ</t>
    </rPh>
    <rPh sb="2" eb="3">
      <t>カイ</t>
    </rPh>
    <rPh sb="4" eb="6">
      <t>ニンギョウ</t>
    </rPh>
    <rPh sb="8" eb="9">
      <t>テン</t>
    </rPh>
    <phoneticPr fontId="1"/>
  </si>
  <si>
    <r>
      <rPr>
        <sz val="11"/>
        <rFont val="游ゴシック Medium"/>
        <family val="3"/>
        <charset val="128"/>
      </rPr>
      <t>マール社編集部</t>
    </r>
    <rPh sb="3" eb="4">
      <t>シャ</t>
    </rPh>
    <rPh sb="4" eb="6">
      <t>ヘンシュウ</t>
    </rPh>
    <rPh sb="6" eb="7">
      <t>ブ</t>
    </rPh>
    <phoneticPr fontId="1"/>
  </si>
  <si>
    <r>
      <t xml:space="preserve">Pause Catalog [4 </t>
    </r>
    <r>
      <rPr>
        <sz val="11"/>
        <rFont val="游ゴシック Medium"/>
        <family val="3"/>
        <charset val="128"/>
      </rPr>
      <t>二人編</t>
    </r>
    <r>
      <rPr>
        <sz val="11"/>
        <rFont val="Consolas"/>
        <family val="3"/>
      </rPr>
      <t>]</t>
    </r>
    <rPh sb="0" eb="5">
      <t>ポーズ</t>
    </rPh>
    <rPh sb="6" eb="13">
      <t>カタログ</t>
    </rPh>
    <rPh sb="17" eb="19">
      <t>フタリ</t>
    </rPh>
    <rPh sb="19" eb="20">
      <t>ヘン</t>
    </rPh>
    <phoneticPr fontId="1"/>
  </si>
  <si>
    <r>
      <t>100</t>
    </r>
    <r>
      <rPr>
        <sz val="11"/>
        <rFont val="游ゴシック Medium"/>
        <family val="3"/>
        <charset val="128"/>
      </rPr>
      <t>ポーズ</t>
    </r>
    <r>
      <rPr>
        <sz val="11"/>
        <rFont val="Consolas"/>
        <family val="3"/>
      </rPr>
      <t>/1407</t>
    </r>
    <r>
      <rPr>
        <sz val="11"/>
        <rFont val="游ゴシック Medium"/>
        <family val="3"/>
        <charset val="128"/>
      </rPr>
      <t>種</t>
    </r>
    <rPh sb="11" eb="12">
      <t>シュ</t>
    </rPh>
    <phoneticPr fontId="1"/>
  </si>
  <si>
    <r>
      <rPr>
        <sz val="11"/>
        <rFont val="游ゴシック Medium"/>
        <family val="3"/>
        <charset val="128"/>
      </rPr>
      <t>マール社</t>
    </r>
    <rPh sb="3" eb="4">
      <t>シャ</t>
    </rPh>
    <phoneticPr fontId="1"/>
  </si>
  <si>
    <r>
      <rPr>
        <sz val="11"/>
        <rFont val="游ゴシック Medium"/>
        <family val="3"/>
        <charset val="128"/>
      </rPr>
      <t>ペンで描く</t>
    </r>
    <r>
      <rPr>
        <sz val="11"/>
        <rFont val="Consolas"/>
        <family val="3"/>
      </rPr>
      <t>/</t>
    </r>
    <r>
      <rPr>
        <sz val="11"/>
        <rFont val="游ゴシック Medium"/>
        <family val="3"/>
        <charset val="128"/>
      </rPr>
      <t>スケッチから細密描写まで</t>
    </r>
    <r>
      <rPr>
        <sz val="11"/>
        <rFont val="Consolas"/>
        <family val="3"/>
      </rPr>
      <t>/Rendering in pen and ink</t>
    </r>
    <rPh sb="3" eb="4">
      <t>カ</t>
    </rPh>
    <rPh sb="12" eb="14">
      <t>サイミツ</t>
    </rPh>
    <rPh sb="14" eb="16">
      <t>ビョウシャ</t>
    </rPh>
    <phoneticPr fontId="1"/>
  </si>
  <si>
    <r>
      <rPr>
        <sz val="11"/>
        <rFont val="游ゴシック Medium"/>
        <family val="3"/>
        <charset val="128"/>
      </rPr>
      <t>裸婦と素描</t>
    </r>
    <rPh sb="0" eb="2">
      <t>ラフ</t>
    </rPh>
    <rPh sb="3" eb="5">
      <t>ソビョウ</t>
    </rPh>
    <phoneticPr fontId="1"/>
  </si>
  <si>
    <r>
      <rPr>
        <sz val="11"/>
        <rFont val="游ゴシック Medium"/>
        <family val="3"/>
        <charset val="128"/>
      </rPr>
      <t>みみずく</t>
    </r>
    <r>
      <rPr>
        <sz val="11"/>
        <rFont val="Consolas"/>
        <family val="3"/>
      </rPr>
      <t xml:space="preserve"> Art Series</t>
    </r>
    <rPh sb="5" eb="8">
      <t>アート</t>
    </rPh>
    <rPh sb="9" eb="15">
      <t>シリーズ</t>
    </rPh>
    <phoneticPr fontId="1"/>
  </si>
  <si>
    <r>
      <rPr>
        <sz val="11"/>
        <rFont val="游ゴシック Medium"/>
        <family val="3"/>
        <charset val="128"/>
      </rPr>
      <t>視覚</t>
    </r>
    <r>
      <rPr>
        <sz val="11"/>
        <rFont val="Consolas"/>
        <family val="3"/>
      </rPr>
      <t>Design</t>
    </r>
    <r>
      <rPr>
        <sz val="11"/>
        <rFont val="游ゴシック Medium"/>
        <family val="3"/>
        <charset val="128"/>
      </rPr>
      <t>研究所</t>
    </r>
    <rPh sb="0" eb="2">
      <t>シカク</t>
    </rPh>
    <rPh sb="2" eb="8">
      <t>デザイン</t>
    </rPh>
    <rPh sb="8" eb="11">
      <t>ケンキュウショ</t>
    </rPh>
    <phoneticPr fontId="1"/>
  </si>
  <si>
    <r>
      <rPr>
        <sz val="11"/>
        <rFont val="游ゴシック Medium"/>
        <family val="3"/>
        <charset val="128"/>
      </rPr>
      <t>グラフィック社編集部</t>
    </r>
    <rPh sb="6" eb="7">
      <t>シャ</t>
    </rPh>
    <rPh sb="7" eb="9">
      <t>ヘンシュウ</t>
    </rPh>
    <rPh sb="9" eb="10">
      <t>ブ</t>
    </rPh>
    <phoneticPr fontId="1"/>
  </si>
  <si>
    <r>
      <rPr>
        <sz val="11"/>
        <rFont val="游ゴシック Medium"/>
        <family val="3"/>
        <charset val="128"/>
      </rPr>
      <t>描かれた女性美</t>
    </r>
    <r>
      <rPr>
        <sz val="11"/>
        <rFont val="Consolas"/>
        <family val="3"/>
      </rPr>
      <t xml:space="preserve"> </t>
    </r>
    <r>
      <rPr>
        <sz val="11"/>
        <rFont val="游ゴシック Medium"/>
        <family val="3"/>
        <charset val="128"/>
      </rPr>
      <t>究極のフォルムと色彩</t>
    </r>
    <r>
      <rPr>
        <sz val="11"/>
        <rFont val="Consolas"/>
        <family val="3"/>
      </rPr>
      <t>/The Best of Women Painting</t>
    </r>
    <rPh sb="0" eb="1">
      <t>エガ</t>
    </rPh>
    <rPh sb="4" eb="6">
      <t>ジョセイ</t>
    </rPh>
    <rPh sb="6" eb="7">
      <t>ビ</t>
    </rPh>
    <rPh sb="8" eb="10">
      <t>キュウキョク</t>
    </rPh>
    <rPh sb="16" eb="18">
      <t>シキサイ</t>
    </rPh>
    <phoneticPr fontId="1"/>
  </si>
  <si>
    <r>
      <rPr>
        <sz val="11"/>
        <rFont val="游ゴシック Medium"/>
        <family val="3"/>
        <charset val="128"/>
      </rPr>
      <t>美のコレクション</t>
    </r>
    <rPh sb="0" eb="1">
      <t>ビ</t>
    </rPh>
    <phoneticPr fontId="1"/>
  </si>
  <si>
    <r>
      <rPr>
        <sz val="11"/>
        <rFont val="游ゴシック Medium"/>
        <family val="3"/>
        <charset val="128"/>
      </rPr>
      <t>グラフィック社</t>
    </r>
    <rPh sb="6" eb="7">
      <t>シャ</t>
    </rPh>
    <phoneticPr fontId="1"/>
  </si>
  <si>
    <r>
      <rPr>
        <sz val="11"/>
        <rFont val="游ゴシック Medium"/>
        <family val="3"/>
        <charset val="128"/>
      </rPr>
      <t>星</t>
    </r>
    <r>
      <rPr>
        <sz val="11"/>
        <rFont val="Consolas"/>
        <family val="3"/>
      </rPr>
      <t xml:space="preserve"> </t>
    </r>
    <r>
      <rPr>
        <sz val="11"/>
        <rFont val="游ゴシック Medium"/>
        <family val="3"/>
        <charset val="128"/>
      </rPr>
      <t>恵美子</t>
    </r>
    <rPh sb="0" eb="1">
      <t>ホシ</t>
    </rPh>
    <rPh sb="2" eb="5">
      <t>エミコ</t>
    </rPh>
    <phoneticPr fontId="1"/>
  </si>
  <si>
    <r>
      <rPr>
        <sz val="11"/>
        <rFont val="游ゴシック Medium"/>
        <family val="3"/>
        <charset val="128"/>
      </rPr>
      <t>尾形正茂</t>
    </r>
    <r>
      <rPr>
        <sz val="11"/>
        <rFont val="Consolas"/>
        <family val="3"/>
      </rPr>
      <t>/</t>
    </r>
    <r>
      <rPr>
        <sz val="11"/>
        <rFont val="游ゴシック Medium"/>
        <family val="3"/>
        <charset val="128"/>
      </rPr>
      <t>瀬戸ひなた</t>
    </r>
    <r>
      <rPr>
        <sz val="11"/>
        <rFont val="Consolas"/>
        <family val="3"/>
      </rPr>
      <t>,</t>
    </r>
    <r>
      <rPr>
        <sz val="11"/>
        <rFont val="游ゴシック Medium"/>
        <family val="3"/>
        <charset val="128"/>
      </rPr>
      <t>法月ひかる</t>
    </r>
    <r>
      <rPr>
        <sz val="11"/>
        <rFont val="Consolas"/>
        <family val="3"/>
      </rPr>
      <t>,</t>
    </r>
    <r>
      <rPr>
        <sz val="11"/>
        <rFont val="游ゴシック Medium"/>
        <family val="3"/>
        <charset val="128"/>
      </rPr>
      <t>柳田やよい</t>
    </r>
    <rPh sb="0" eb="2">
      <t>オガタ</t>
    </rPh>
    <rPh sb="2" eb="4">
      <t>マサシゲ</t>
    </rPh>
    <rPh sb="5" eb="7">
      <t>セト</t>
    </rPh>
    <rPh sb="11" eb="13">
      <t>ホウヅキ</t>
    </rPh>
    <rPh sb="17" eb="19">
      <t>ヤナギダ</t>
    </rPh>
    <phoneticPr fontId="1"/>
  </si>
  <si>
    <r>
      <rPr>
        <sz val="11"/>
        <rFont val="游ゴシック Medium"/>
        <family val="3"/>
        <charset val="128"/>
      </rPr>
      <t>女の子の一日</t>
    </r>
    <r>
      <rPr>
        <sz val="11"/>
        <rFont val="Consolas"/>
        <family val="3"/>
      </rPr>
      <t xml:space="preserve"> </t>
    </r>
    <r>
      <rPr>
        <sz val="11"/>
        <rFont val="游ゴシック Medium"/>
        <family val="3"/>
        <charset val="128"/>
      </rPr>
      <t>キャラポーズ</t>
    </r>
    <r>
      <rPr>
        <sz val="11"/>
        <rFont val="Consolas"/>
        <family val="3"/>
      </rPr>
      <t>/Everyday Poses in the Lives of 3 Girls</t>
    </r>
    <rPh sb="0" eb="1">
      <t>オンナ</t>
    </rPh>
    <rPh sb="2" eb="3">
      <t>コ</t>
    </rPh>
    <rPh sb="4" eb="6">
      <t>イチニチ</t>
    </rPh>
    <phoneticPr fontId="1"/>
  </si>
  <si>
    <r>
      <rPr>
        <sz val="11"/>
        <rFont val="游ゴシック Medium"/>
        <family val="3"/>
        <charset val="128"/>
      </rPr>
      <t>マンガのためのポーズ集</t>
    </r>
    <rPh sb="10" eb="11">
      <t>シュウ</t>
    </rPh>
    <phoneticPr fontId="1"/>
  </si>
  <si>
    <r>
      <rPr>
        <sz val="11"/>
        <rFont val="游ゴシック Medium"/>
        <family val="3"/>
        <charset val="128"/>
      </rPr>
      <t>小林</t>
    </r>
    <r>
      <rPr>
        <sz val="11"/>
        <rFont val="Consolas"/>
        <family val="3"/>
      </rPr>
      <t xml:space="preserve"> </t>
    </r>
    <r>
      <rPr>
        <sz val="11"/>
        <rFont val="游ゴシック Medium"/>
        <family val="3"/>
        <charset val="128"/>
      </rPr>
      <t>正樹</t>
    </r>
    <rPh sb="0" eb="2">
      <t>コバヤシ</t>
    </rPh>
    <rPh sb="3" eb="5">
      <t>マサキ</t>
    </rPh>
    <phoneticPr fontId="1"/>
  </si>
  <si>
    <r>
      <rPr>
        <sz val="11"/>
        <rFont val="游ゴシック Medium"/>
        <family val="3"/>
        <charset val="128"/>
      </rPr>
      <t>年中行事カット集</t>
    </r>
    <r>
      <rPr>
        <sz val="8"/>
        <rFont val="Consolas"/>
        <family val="3"/>
      </rPr>
      <t xml:space="preserve"> </t>
    </r>
    <r>
      <rPr>
        <sz val="8"/>
        <rFont val="游ゴシック Medium"/>
        <family val="3"/>
        <charset val="128"/>
      </rPr>
      <t>チラシ・文集・社内報に</t>
    </r>
    <r>
      <rPr>
        <sz val="8"/>
        <rFont val="Consolas"/>
        <family val="3"/>
      </rPr>
      <t>…</t>
    </r>
    <r>
      <rPr>
        <sz val="8"/>
        <rFont val="游ゴシック Medium"/>
        <family val="3"/>
        <charset val="128"/>
      </rPr>
      <t>。</t>
    </r>
    <rPh sb="0" eb="2">
      <t>ネンジュウ</t>
    </rPh>
    <rPh sb="2" eb="4">
      <t>ギョウジ</t>
    </rPh>
    <rPh sb="7" eb="8">
      <t>シュウ</t>
    </rPh>
    <rPh sb="13" eb="14">
      <t>ブン</t>
    </rPh>
    <rPh sb="14" eb="15">
      <t>シュウ</t>
    </rPh>
    <rPh sb="16" eb="19">
      <t>シャナイホウ</t>
    </rPh>
    <phoneticPr fontId="1"/>
  </si>
  <si>
    <r>
      <rPr>
        <sz val="11"/>
        <rFont val="游ゴシック Medium"/>
        <family val="3"/>
        <charset val="128"/>
      </rPr>
      <t>ランネ</t>
    </r>
    <r>
      <rPr>
        <sz val="11"/>
        <rFont val="Consolas"/>
        <family val="3"/>
      </rPr>
      <t>,</t>
    </r>
    <r>
      <rPr>
        <sz val="11"/>
        <rFont val="游ゴシック Medium"/>
        <family val="3"/>
        <charset val="128"/>
      </rPr>
      <t>オーギュスト</t>
    </r>
    <phoneticPr fontId="1"/>
  </si>
  <si>
    <r>
      <rPr>
        <sz val="11"/>
        <rFont val="游ゴシック Medium"/>
        <family val="3"/>
        <charset val="128"/>
      </rPr>
      <t>民族衣装</t>
    </r>
    <r>
      <rPr>
        <sz val="11"/>
        <rFont val="Consolas"/>
        <family val="3"/>
      </rPr>
      <t>/Le Costume National</t>
    </r>
    <rPh sb="0" eb="2">
      <t>ミンゾク</t>
    </rPh>
    <rPh sb="2" eb="4">
      <t>イショウ</t>
    </rPh>
    <phoneticPr fontId="1"/>
  </si>
  <si>
    <r>
      <rPr>
        <sz val="11"/>
        <rFont val="游ゴシック Medium"/>
        <family val="3"/>
        <charset val="128"/>
      </rPr>
      <t>マールカラー文庫</t>
    </r>
    <rPh sb="6" eb="8">
      <t>ブンコ</t>
    </rPh>
    <phoneticPr fontId="1"/>
  </si>
  <si>
    <r>
      <rPr>
        <sz val="11"/>
        <rFont val="游ゴシック Medium"/>
        <family val="3"/>
        <charset val="128"/>
      </rPr>
      <t>原著</t>
    </r>
    <r>
      <rPr>
        <sz val="11"/>
        <rFont val="Consolas"/>
        <family val="3"/>
      </rPr>
      <t xml:space="preserve">:Le Costume Historique </t>
    </r>
    <r>
      <rPr>
        <sz val="11"/>
        <rFont val="游ゴシック Medium"/>
        <family val="3"/>
        <charset val="128"/>
      </rPr>
      <t>服装史</t>
    </r>
    <r>
      <rPr>
        <sz val="11"/>
        <rFont val="Consolas"/>
        <family val="3"/>
      </rPr>
      <t xml:space="preserve"> </t>
    </r>
    <r>
      <rPr>
        <sz val="11"/>
        <rFont val="游ゴシック Medium"/>
        <family val="3"/>
        <charset val="128"/>
      </rPr>
      <t>全</t>
    </r>
    <r>
      <rPr>
        <sz val="11"/>
        <rFont val="Consolas"/>
        <family val="3"/>
      </rPr>
      <t>6</t>
    </r>
    <r>
      <rPr>
        <sz val="11"/>
        <rFont val="游ゴシック Medium"/>
        <family val="3"/>
        <charset val="128"/>
      </rPr>
      <t>巻</t>
    </r>
    <r>
      <rPr>
        <sz val="11"/>
        <rFont val="Consolas"/>
        <family val="3"/>
      </rPr>
      <t xml:space="preserve"> 1877~1888 </t>
    </r>
    <r>
      <rPr>
        <sz val="11"/>
        <rFont val="游ゴシック Medium"/>
        <family val="3"/>
        <charset val="128"/>
      </rPr>
      <t>の中の民族衣装の部</t>
    </r>
    <rPh sb="0" eb="2">
      <t>ゲンチョ</t>
    </rPh>
    <rPh sb="25" eb="27">
      <t>フクソウ</t>
    </rPh>
    <rPh sb="27" eb="28">
      <t>シ</t>
    </rPh>
    <rPh sb="29" eb="30">
      <t>ゼン</t>
    </rPh>
    <rPh sb="31" eb="32">
      <t>カン</t>
    </rPh>
    <rPh sb="44" eb="45">
      <t>ナカ</t>
    </rPh>
    <rPh sb="46" eb="48">
      <t>ミンゾク</t>
    </rPh>
    <rPh sb="48" eb="50">
      <t>イショウ</t>
    </rPh>
    <rPh sb="51" eb="52">
      <t>ブ</t>
    </rPh>
    <phoneticPr fontId="1"/>
  </si>
  <si>
    <r>
      <rPr>
        <sz val="11"/>
        <rFont val="游ゴシック Medium"/>
        <family val="3"/>
        <charset val="128"/>
      </rPr>
      <t>事典</t>
    </r>
    <rPh sb="0" eb="2">
      <t>ジテン</t>
    </rPh>
    <phoneticPr fontId="1"/>
  </si>
  <si>
    <r>
      <rPr>
        <sz val="11"/>
        <rFont val="游ゴシック Medium"/>
        <family val="3"/>
        <charset val="128"/>
      </rPr>
      <t>松浦</t>
    </r>
    <r>
      <rPr>
        <sz val="11"/>
        <rFont val="Consolas"/>
        <family val="3"/>
      </rPr>
      <t xml:space="preserve"> </t>
    </r>
    <r>
      <rPr>
        <sz val="11"/>
        <rFont val="游ゴシック Medium"/>
        <family val="3"/>
        <charset val="128"/>
      </rPr>
      <t>洋一</t>
    </r>
    <r>
      <rPr>
        <sz val="11"/>
        <rFont val="Consolas"/>
        <family val="3"/>
      </rPr>
      <t xml:space="preserve"> + Gillespie, John K.</t>
    </r>
    <rPh sb="0" eb="2">
      <t>マツウラ</t>
    </rPh>
    <rPh sb="3" eb="5">
      <t>ヨウイチ</t>
    </rPh>
    <phoneticPr fontId="1"/>
  </si>
  <si>
    <r>
      <rPr>
        <sz val="11"/>
        <rFont val="游ゴシック Medium"/>
        <family val="3"/>
        <charset val="128"/>
      </rPr>
      <t>日本文化を英語で紹介する事典</t>
    </r>
    <r>
      <rPr>
        <sz val="11"/>
        <rFont val="Consolas"/>
        <family val="3"/>
      </rPr>
      <t>|A Bilingual Handbook on Japanese Culture</t>
    </r>
    <rPh sb="0" eb="4">
      <t>ニホンブンカ</t>
    </rPh>
    <rPh sb="5" eb="7">
      <t>エイゴ</t>
    </rPh>
    <rPh sb="8" eb="10">
      <t>ショウカイ</t>
    </rPh>
    <rPh sb="12" eb="14">
      <t>ジテン</t>
    </rPh>
    <phoneticPr fontId="1"/>
  </si>
  <si>
    <r>
      <rPr>
        <sz val="11"/>
        <rFont val="游ゴシック Medium"/>
        <family val="3"/>
        <charset val="128"/>
      </rPr>
      <t>第</t>
    </r>
    <r>
      <rPr>
        <sz val="11"/>
        <rFont val="Consolas"/>
        <family val="3"/>
      </rPr>
      <t>3</t>
    </r>
    <r>
      <rPr>
        <sz val="11"/>
        <rFont val="游ゴシック Medium"/>
        <family val="3"/>
        <charset val="128"/>
      </rPr>
      <t>版</t>
    </r>
    <rPh sb="0" eb="1">
      <t>ダイ</t>
    </rPh>
    <rPh sb="2" eb="3">
      <t>パン</t>
    </rPh>
    <phoneticPr fontId="1"/>
  </si>
  <si>
    <r>
      <rPr>
        <sz val="11"/>
        <rFont val="游ゴシック Medium"/>
        <family val="3"/>
        <charset val="128"/>
      </rPr>
      <t>ナツメ社</t>
    </r>
    <rPh sb="3" eb="4">
      <t>シャ</t>
    </rPh>
    <phoneticPr fontId="1"/>
  </si>
  <si>
    <r>
      <t>amazon|ENTER</t>
    </r>
    <r>
      <rPr>
        <sz val="11"/>
        <rFont val="游ゴシック Medium"/>
        <family val="3"/>
        <charset val="128"/>
      </rPr>
      <t>本店</t>
    </r>
    <rPh sb="12" eb="14">
      <t>ホンテン</t>
    </rPh>
    <phoneticPr fontId="1"/>
  </si>
  <si>
    <r>
      <rPr>
        <sz val="11"/>
        <rFont val="游ゴシック Medium"/>
        <family val="3"/>
        <charset val="128"/>
      </rPr>
      <t>日本植物調節剤研究協会</t>
    </r>
    <rPh sb="0" eb="2">
      <t>ニホン</t>
    </rPh>
    <rPh sb="2" eb="4">
      <t>ショクブツ</t>
    </rPh>
    <rPh sb="4" eb="6">
      <t>チョウセツ</t>
    </rPh>
    <rPh sb="6" eb="7">
      <t>ザイ</t>
    </rPh>
    <rPh sb="7" eb="9">
      <t>ケンキュウ</t>
    </rPh>
    <rPh sb="9" eb="11">
      <t>キョウカイ</t>
    </rPh>
    <phoneticPr fontId="1"/>
  </si>
  <si>
    <r>
      <rPr>
        <sz val="11"/>
        <rFont val="游ゴシック Medium"/>
        <family val="3"/>
        <charset val="128"/>
      </rPr>
      <t>財団法人</t>
    </r>
    <r>
      <rPr>
        <sz val="11"/>
        <rFont val="Consolas"/>
        <family val="3"/>
      </rPr>
      <t>:</t>
    </r>
    <r>
      <rPr>
        <sz val="11"/>
        <rFont val="游ゴシック Medium"/>
        <family val="3"/>
        <charset val="128"/>
      </rPr>
      <t>企画</t>
    </r>
    <rPh sb="0" eb="4">
      <t>ザイダンホウジン</t>
    </rPh>
    <rPh sb="5" eb="7">
      <t>キカク</t>
    </rPh>
    <phoneticPr fontId="1"/>
  </si>
  <si>
    <r>
      <rPr>
        <sz val="11"/>
        <rFont val="游ゴシック Medium"/>
        <family val="3"/>
        <charset val="128"/>
      </rPr>
      <t>沼田真･吉沢長人</t>
    </r>
    <rPh sb="0" eb="2">
      <t>ヌマタ</t>
    </rPh>
    <rPh sb="2" eb="3">
      <t>マコト</t>
    </rPh>
    <rPh sb="4" eb="6">
      <t>ヨシザワ</t>
    </rPh>
    <rPh sb="6" eb="8">
      <t>ナガト</t>
    </rPh>
    <phoneticPr fontId="1"/>
  </si>
  <si>
    <r>
      <rPr>
        <b/>
        <sz val="11"/>
        <color indexed="33"/>
        <rFont val="游ゴシック Medium"/>
        <family val="3"/>
        <charset val="128"/>
      </rPr>
      <t>日本原色雑草図鑑</t>
    </r>
    <r>
      <rPr>
        <sz val="11"/>
        <rFont val="Consolas"/>
        <family val="3"/>
      </rPr>
      <t>/</t>
    </r>
    <r>
      <rPr>
        <sz val="11"/>
        <rFont val="游ゴシック Medium"/>
        <family val="3"/>
        <charset val="128"/>
      </rPr>
      <t>新版</t>
    </r>
    <r>
      <rPr>
        <sz val="11"/>
        <rFont val="Consolas"/>
        <family val="3"/>
      </rPr>
      <t>/Weed Flora of Japan - Illustrated by Colour</t>
    </r>
    <rPh sb="0" eb="2">
      <t>ニホン</t>
    </rPh>
    <rPh sb="2" eb="4">
      <t>ゲンショク</t>
    </rPh>
    <rPh sb="4" eb="6">
      <t>ザッソウ</t>
    </rPh>
    <rPh sb="6" eb="8">
      <t>ズカン</t>
    </rPh>
    <rPh sb="9" eb="11">
      <t>シンパン</t>
    </rPh>
    <phoneticPr fontId="1"/>
  </si>
  <si>
    <r>
      <rPr>
        <sz val="11"/>
        <rFont val="游ゴシック Medium"/>
        <family val="3"/>
        <charset val="128"/>
      </rPr>
      <t>全国農村教育協会</t>
    </r>
    <r>
      <rPr>
        <sz val="11"/>
        <rFont val="Consolas"/>
        <family val="3"/>
      </rPr>
      <t>/</t>
    </r>
    <r>
      <rPr>
        <sz val="11"/>
        <rFont val="游ゴシック Medium"/>
        <family val="3"/>
        <charset val="128"/>
      </rPr>
      <t>全農教</t>
    </r>
    <rPh sb="0" eb="2">
      <t>ゼンコク</t>
    </rPh>
    <rPh sb="2" eb="4">
      <t>ノウソン</t>
    </rPh>
    <rPh sb="4" eb="6">
      <t>キョウイク</t>
    </rPh>
    <rPh sb="6" eb="8">
      <t>キョウカイ</t>
    </rPh>
    <rPh sb="9" eb="10">
      <t>ゼン</t>
    </rPh>
    <rPh sb="10" eb="11">
      <t>ノウ</t>
    </rPh>
    <rPh sb="11" eb="12">
      <t>キョウ</t>
    </rPh>
    <phoneticPr fontId="1"/>
  </si>
  <si>
    <r>
      <rPr>
        <sz val="11"/>
        <rFont val="游ゴシック Medium"/>
        <family val="3"/>
        <charset val="128"/>
      </rPr>
      <t>土屋</t>
    </r>
    <r>
      <rPr>
        <sz val="11"/>
        <rFont val="Consolas"/>
        <family val="3"/>
      </rPr>
      <t xml:space="preserve"> </t>
    </r>
    <r>
      <rPr>
        <sz val="11"/>
        <rFont val="游ゴシック Medium"/>
        <family val="3"/>
        <charset val="128"/>
      </rPr>
      <t>晶子</t>
    </r>
    <rPh sb="0" eb="2">
      <t>ツチヤ</t>
    </rPh>
    <rPh sb="3" eb="5">
      <t>アキコ</t>
    </rPh>
    <phoneticPr fontId="1"/>
  </si>
  <si>
    <r>
      <rPr>
        <sz val="11"/>
        <rFont val="游ゴシック Medium"/>
        <family val="3"/>
        <charset val="128"/>
      </rPr>
      <t>奇妙でセクシーな海の生きものたち</t>
    </r>
    <r>
      <rPr>
        <sz val="11"/>
        <rFont val="Consolas"/>
        <family val="3"/>
      </rPr>
      <t>/Sensuous Seas Tales of a Marine Biologist</t>
    </r>
    <rPh sb="0" eb="2">
      <t>キミョウ</t>
    </rPh>
    <rPh sb="8" eb="9">
      <t>ウミ</t>
    </rPh>
    <rPh sb="10" eb="11">
      <t>イ</t>
    </rPh>
    <phoneticPr fontId="1"/>
  </si>
  <si>
    <r>
      <rPr>
        <sz val="11"/>
        <rFont val="游ゴシック Medium"/>
        <family val="3"/>
        <charset val="128"/>
      </rPr>
      <t>インターシフト</t>
    </r>
    <r>
      <rPr>
        <sz val="11"/>
        <rFont val="Consolas"/>
        <family val="3"/>
      </rPr>
      <t>/</t>
    </r>
    <r>
      <rPr>
        <sz val="11"/>
        <rFont val="游ゴシック Medium"/>
        <family val="3"/>
        <charset val="128"/>
      </rPr>
      <t>合同出版</t>
    </r>
    <rPh sb="8" eb="10">
      <t>ゴウドウ</t>
    </rPh>
    <rPh sb="10" eb="12">
      <t>シュッパン</t>
    </rPh>
    <phoneticPr fontId="1"/>
  </si>
  <si>
    <r>
      <rPr>
        <sz val="11"/>
        <rFont val="游ゴシック Medium"/>
        <family val="3"/>
        <charset val="128"/>
      </rPr>
      <t>内山</t>
    </r>
    <r>
      <rPr>
        <sz val="11"/>
        <rFont val="Consolas"/>
        <family val="3"/>
      </rPr>
      <t xml:space="preserve"> </t>
    </r>
    <r>
      <rPr>
        <sz val="11"/>
        <rFont val="游ゴシック Medium"/>
        <family val="3"/>
        <charset val="128"/>
      </rPr>
      <t>りゅう</t>
    </r>
    <rPh sb="0" eb="2">
      <t>ウチヤマ</t>
    </rPh>
    <phoneticPr fontId="1"/>
  </si>
  <si>
    <r>
      <rPr>
        <b/>
        <sz val="11"/>
        <color indexed="33"/>
        <rFont val="游ゴシック Medium"/>
        <family val="3"/>
        <charset val="128"/>
      </rPr>
      <t>美顔礼讃</t>
    </r>
    <r>
      <rPr>
        <b/>
        <sz val="11"/>
        <color indexed="33"/>
        <rFont val="Consolas"/>
        <family val="3"/>
      </rPr>
      <t>/</t>
    </r>
    <r>
      <rPr>
        <b/>
        <sz val="11"/>
        <color indexed="33"/>
        <rFont val="游ゴシック Medium"/>
        <family val="3"/>
        <charset val="128"/>
      </rPr>
      <t>両生爬虫類</t>
    </r>
    <r>
      <rPr>
        <b/>
        <sz val="11"/>
        <color indexed="33"/>
        <rFont val="Consolas"/>
        <family val="3"/>
      </rPr>
      <t xml:space="preserve"> </t>
    </r>
    <r>
      <rPr>
        <b/>
        <sz val="11"/>
        <color indexed="33"/>
        <rFont val="游ゴシック Medium"/>
        <family val="3"/>
        <charset val="128"/>
      </rPr>
      <t>顔づくし</t>
    </r>
    <rPh sb="0" eb="2">
      <t>ビガン</t>
    </rPh>
    <rPh sb="2" eb="4">
      <t>ライサン</t>
    </rPh>
    <rPh sb="5" eb="7">
      <t>リョウセイ</t>
    </rPh>
    <rPh sb="7" eb="10">
      <t>ハチュウルイ</t>
    </rPh>
    <rPh sb="11" eb="12">
      <t>カオ</t>
    </rPh>
    <phoneticPr fontId="1"/>
  </si>
  <si>
    <r>
      <rPr>
        <sz val="11"/>
        <rFont val="游ゴシック Medium"/>
        <family val="3"/>
        <charset val="128"/>
      </rPr>
      <t>千石</t>
    </r>
    <r>
      <rPr>
        <sz val="11"/>
        <rFont val="Consolas"/>
        <family val="3"/>
      </rPr>
      <t xml:space="preserve"> </t>
    </r>
    <r>
      <rPr>
        <sz val="11"/>
        <rFont val="游ゴシック Medium"/>
        <family val="3"/>
        <charset val="128"/>
      </rPr>
      <t>正一</t>
    </r>
    <rPh sb="0" eb="2">
      <t>センゴク</t>
    </rPh>
    <rPh sb="3" eb="5">
      <t>ショウイチ</t>
    </rPh>
    <phoneticPr fontId="1"/>
  </si>
  <si>
    <r>
      <rPr>
        <sz val="11"/>
        <rFont val="游ゴシック Medium"/>
        <family val="3"/>
        <charset val="128"/>
      </rPr>
      <t>こっち</t>
    </r>
    <r>
      <rPr>
        <sz val="11"/>
        <rFont val="Consolas"/>
        <family val="3"/>
      </rPr>
      <t xml:space="preserve"> </t>
    </r>
    <r>
      <rPr>
        <sz val="11"/>
        <rFont val="游ゴシック Medium"/>
        <family val="3"/>
        <charset val="128"/>
      </rPr>
      <t>みんなよ！</t>
    </r>
    <phoneticPr fontId="1"/>
  </si>
  <si>
    <r>
      <rPr>
        <sz val="11"/>
        <rFont val="游ゴシック Medium"/>
        <family val="3"/>
        <charset val="128"/>
      </rPr>
      <t>富田</t>
    </r>
    <r>
      <rPr>
        <sz val="11"/>
        <rFont val="Consolas"/>
        <family val="3"/>
      </rPr>
      <t xml:space="preserve"> </t>
    </r>
    <r>
      <rPr>
        <sz val="11"/>
        <rFont val="游ゴシック Medium"/>
        <family val="3"/>
        <charset val="128"/>
      </rPr>
      <t>京一</t>
    </r>
    <rPh sb="0" eb="2">
      <t>トミタ</t>
    </rPh>
    <rPh sb="3" eb="5">
      <t>キョウイチ</t>
    </rPh>
    <phoneticPr fontId="1"/>
  </si>
  <si>
    <r>
      <rPr>
        <sz val="11"/>
        <rFont val="游ゴシック Medium"/>
        <family val="3"/>
        <charset val="128"/>
      </rPr>
      <t>長坂拓也</t>
    </r>
    <r>
      <rPr>
        <sz val="11"/>
        <rFont val="Consolas"/>
        <family val="3"/>
      </rPr>
      <t>/</t>
    </r>
    <r>
      <rPr>
        <sz val="11"/>
        <rFont val="游ゴシック Medium"/>
        <family val="3"/>
        <charset val="128"/>
      </rPr>
      <t>松橋利光</t>
    </r>
    <rPh sb="0" eb="2">
      <t>ナガサカ</t>
    </rPh>
    <rPh sb="2" eb="4">
      <t>タクヤ</t>
    </rPh>
    <rPh sb="5" eb="7">
      <t>マツハシ</t>
    </rPh>
    <rPh sb="7" eb="9">
      <t>トシミツ</t>
    </rPh>
    <phoneticPr fontId="1"/>
  </si>
  <si>
    <r>
      <rPr>
        <sz val="11"/>
        <rFont val="游ゴシック Medium"/>
        <family val="3"/>
        <charset val="128"/>
      </rPr>
      <t>監修</t>
    </r>
    <r>
      <rPr>
        <sz val="11"/>
        <rFont val="Consolas"/>
        <family val="3"/>
      </rPr>
      <t>/</t>
    </r>
    <r>
      <rPr>
        <sz val="11"/>
        <rFont val="游ゴシック Medium"/>
        <family val="3"/>
        <charset val="128"/>
      </rPr>
      <t>写真</t>
    </r>
    <rPh sb="0" eb="2">
      <t>カンシュウ</t>
    </rPh>
    <rPh sb="3" eb="5">
      <t>シャシン</t>
    </rPh>
    <phoneticPr fontId="1"/>
  </si>
  <si>
    <r>
      <rPr>
        <sz val="11"/>
        <rFont val="游ゴシック Medium"/>
        <family val="3"/>
        <charset val="128"/>
      </rPr>
      <t>ザ･爬虫類</t>
    </r>
    <r>
      <rPr>
        <sz val="11"/>
        <rFont val="Consolas"/>
        <family val="3"/>
      </rPr>
      <t>&amp;</t>
    </r>
    <r>
      <rPr>
        <sz val="11"/>
        <rFont val="游ゴシック Medium"/>
        <family val="3"/>
        <charset val="128"/>
      </rPr>
      <t>両生類</t>
    </r>
    <r>
      <rPr>
        <sz val="6"/>
        <rFont val="Consolas"/>
        <family val="3"/>
      </rPr>
      <t>/</t>
    </r>
    <r>
      <rPr>
        <sz val="6"/>
        <rFont val="游ゴシック Medium"/>
        <family val="3"/>
        <charset val="128"/>
      </rPr>
      <t>初心者でも繁殖にトライできる本</t>
    </r>
    <rPh sb="2" eb="5">
      <t>ハチュウルイ</t>
    </rPh>
    <rPh sb="6" eb="9">
      <t>リョウセイルイ</t>
    </rPh>
    <rPh sb="10" eb="13">
      <t>ショシンシャ</t>
    </rPh>
    <rPh sb="15" eb="17">
      <t>ハンショク</t>
    </rPh>
    <rPh sb="24" eb="25">
      <t>ホン</t>
    </rPh>
    <phoneticPr fontId="1"/>
  </si>
  <si>
    <r>
      <rPr>
        <sz val="11"/>
        <rFont val="游ゴシック Medium"/>
        <family val="3"/>
        <charset val="128"/>
      </rPr>
      <t>誠文堂新光社</t>
    </r>
    <rPh sb="0" eb="2">
      <t>セイフミ</t>
    </rPh>
    <rPh sb="2" eb="3">
      <t>ドウ</t>
    </rPh>
    <rPh sb="3" eb="5">
      <t>シンコウ</t>
    </rPh>
    <rPh sb="5" eb="6">
      <t>シャ</t>
    </rPh>
    <phoneticPr fontId="1"/>
  </si>
  <si>
    <r>
      <rPr>
        <sz val="11"/>
        <rFont val="游ゴシック Medium"/>
        <family val="3"/>
        <charset val="128"/>
      </rPr>
      <t>悪魔の</t>
    </r>
    <r>
      <rPr>
        <sz val="11"/>
        <rFont val="Consolas"/>
        <family val="3"/>
      </rPr>
      <t>Card</t>
    </r>
    <rPh sb="0" eb="2">
      <t>アクマ</t>
    </rPh>
    <rPh sb="3" eb="7">
      <t>カード</t>
    </rPh>
    <phoneticPr fontId="1"/>
  </si>
  <si>
    <r>
      <rPr>
        <sz val="11"/>
        <rFont val="游ゴシック Medium"/>
        <family val="3"/>
        <charset val="128"/>
      </rPr>
      <t>カーナウ</t>
    </r>
    <r>
      <rPr>
        <sz val="11"/>
        <rFont val="Consolas"/>
        <family val="3"/>
      </rPr>
      <t>,</t>
    </r>
    <r>
      <rPr>
        <sz val="11"/>
        <rFont val="游ゴシック Medium"/>
        <family val="3"/>
        <charset val="128"/>
      </rPr>
      <t>ベラ</t>
    </r>
    <phoneticPr fontId="1"/>
  </si>
  <si>
    <r>
      <rPr>
        <sz val="11"/>
        <rFont val="游ゴシック Medium"/>
        <family val="3"/>
        <charset val="128"/>
      </rPr>
      <t>岩田瑞穂</t>
    </r>
    <rPh sb="0" eb="2">
      <t>イワタ</t>
    </rPh>
    <rPh sb="2" eb="4">
      <t>ミズホ</t>
    </rPh>
    <phoneticPr fontId="1"/>
  </si>
  <si>
    <r>
      <t>Creative</t>
    </r>
    <r>
      <rPr>
        <sz val="11"/>
        <rFont val="游ゴシック Medium"/>
        <family val="3"/>
        <charset val="128"/>
      </rPr>
      <t>色鉛筆</t>
    </r>
    <r>
      <rPr>
        <sz val="11"/>
        <rFont val="Consolas"/>
        <family val="3"/>
      </rPr>
      <t>/</t>
    </r>
    <r>
      <rPr>
        <sz val="11"/>
        <rFont val="游ゴシック Medium"/>
        <family val="3"/>
        <charset val="128"/>
      </rPr>
      <t>その表現と技法</t>
    </r>
    <r>
      <rPr>
        <sz val="11"/>
        <rFont val="Consolas"/>
        <family val="3"/>
      </rPr>
      <t>/Creative Colored</t>
    </r>
    <rPh sb="0" eb="8">
      <t>クリエイティブ</t>
    </rPh>
    <rPh sb="8" eb="11">
      <t>イロエンピツ</t>
    </rPh>
    <rPh sb="14" eb="16">
      <t>ヒョウゲン</t>
    </rPh>
    <rPh sb="17" eb="19">
      <t>ギホウ</t>
    </rPh>
    <phoneticPr fontId="1"/>
  </si>
  <si>
    <r>
      <rPr>
        <sz val="11"/>
        <rFont val="游ゴシック Medium"/>
        <family val="3"/>
        <charset val="128"/>
      </rPr>
      <t>辞典</t>
    </r>
    <r>
      <rPr>
        <sz val="11"/>
        <rFont val="Consolas"/>
        <family val="3"/>
      </rPr>
      <t>/</t>
    </r>
    <r>
      <rPr>
        <sz val="11"/>
        <rFont val="游ゴシック Medium"/>
        <family val="3"/>
        <charset val="128"/>
      </rPr>
      <t>準新書</t>
    </r>
    <rPh sb="0" eb="2">
      <t>ジテン</t>
    </rPh>
    <rPh sb="3" eb="4">
      <t>ジュン</t>
    </rPh>
    <rPh sb="4" eb="6">
      <t>シンショ</t>
    </rPh>
    <phoneticPr fontId="1"/>
  </si>
  <si>
    <r>
      <rPr>
        <sz val="11"/>
        <rFont val="游ゴシック Medium"/>
        <family val="3"/>
        <charset val="128"/>
      </rPr>
      <t>南雲</t>
    </r>
    <r>
      <rPr>
        <sz val="11"/>
        <rFont val="Consolas"/>
        <family val="3"/>
      </rPr>
      <t xml:space="preserve"> </t>
    </r>
    <r>
      <rPr>
        <sz val="11"/>
        <rFont val="游ゴシック Medium"/>
        <family val="3"/>
        <charset val="128"/>
      </rPr>
      <t>治嘉</t>
    </r>
    <rPh sb="0" eb="2">
      <t>ナグモ</t>
    </rPh>
    <rPh sb="3" eb="5">
      <t>ハルヨシ</t>
    </rPh>
    <phoneticPr fontId="1"/>
  </si>
  <si>
    <r>
      <rPr>
        <sz val="11"/>
        <rFont val="游ゴシック Medium"/>
        <family val="3"/>
        <charset val="128"/>
      </rPr>
      <t>著</t>
    </r>
    <r>
      <rPr>
        <sz val="11"/>
        <rFont val="Consolas"/>
        <family val="3"/>
      </rPr>
      <t>:</t>
    </r>
    <r>
      <rPr>
        <sz val="11"/>
        <rFont val="游ゴシック Medium"/>
        <family val="3"/>
        <charset val="128"/>
      </rPr>
      <t>ターレンスクラブ編集部</t>
    </r>
    <rPh sb="0" eb="1">
      <t>チョ</t>
    </rPh>
    <rPh sb="10" eb="12">
      <t>ヘンシュウ</t>
    </rPh>
    <rPh sb="12" eb="13">
      <t>ブ</t>
    </rPh>
    <phoneticPr fontId="1"/>
  </si>
  <si>
    <r>
      <t xml:space="preserve">How to Draw </t>
    </r>
    <r>
      <rPr>
        <sz val="11"/>
        <rFont val="游ゴシック Medium"/>
        <family val="3"/>
        <charset val="128"/>
      </rPr>
      <t>画材材料ブック</t>
    </r>
    <rPh sb="12" eb="14">
      <t>ガザイ</t>
    </rPh>
    <rPh sb="14" eb="16">
      <t>ザイリョウ</t>
    </rPh>
    <phoneticPr fontId="1"/>
  </si>
  <si>
    <r>
      <rPr>
        <sz val="11"/>
        <rFont val="游ゴシック Medium"/>
        <family val="3"/>
        <charset val="128"/>
      </rPr>
      <t>株式会社ターレンス</t>
    </r>
    <r>
      <rPr>
        <sz val="11"/>
        <rFont val="Consolas"/>
        <family val="3"/>
      </rPr>
      <t xml:space="preserve"> </t>
    </r>
    <r>
      <rPr>
        <sz val="11"/>
        <rFont val="游ゴシック Medium"/>
        <family val="3"/>
        <charset val="128"/>
      </rPr>
      <t>ジャパン</t>
    </r>
    <rPh sb="0" eb="4">
      <t>カブシキガイシャ</t>
    </rPh>
    <phoneticPr fontId="1"/>
  </si>
  <si>
    <r>
      <t xml:space="preserve">How to Draw </t>
    </r>
    <r>
      <rPr>
        <sz val="11"/>
        <rFont val="游ゴシック Medium"/>
        <family val="3"/>
        <charset val="128"/>
      </rPr>
      <t>画材材料ブック</t>
    </r>
    <r>
      <rPr>
        <sz val="11"/>
        <rFont val="Consolas"/>
        <family val="3"/>
      </rPr>
      <t xml:space="preserve"> 2</t>
    </r>
    <rPh sb="12" eb="14">
      <t>ガザイ</t>
    </rPh>
    <rPh sb="14" eb="16">
      <t>ザイリョウ</t>
    </rPh>
    <phoneticPr fontId="1"/>
  </si>
  <si>
    <r>
      <rPr>
        <sz val="11"/>
        <rFont val="游ゴシック Medium"/>
        <family val="3"/>
        <charset val="128"/>
      </rPr>
      <t>北側</t>
    </r>
    <r>
      <rPr>
        <sz val="11"/>
        <rFont val="Consolas"/>
        <family val="3"/>
      </rPr>
      <t xml:space="preserve"> </t>
    </r>
    <r>
      <rPr>
        <sz val="11"/>
        <rFont val="游ゴシック Medium"/>
        <family val="3"/>
        <charset val="128"/>
      </rPr>
      <t>尚史</t>
    </r>
    <rPh sb="0" eb="2">
      <t>キタガワ</t>
    </rPh>
    <rPh sb="3" eb="5">
      <t>ナオフミ</t>
    </rPh>
    <phoneticPr fontId="1"/>
  </si>
  <si>
    <r>
      <rPr>
        <sz val="11"/>
        <rFont val="游ゴシック Medium"/>
        <family val="3"/>
        <charset val="128"/>
      </rPr>
      <t>伊藤ふくお</t>
    </r>
    <r>
      <rPr>
        <sz val="11"/>
        <rFont val="Consolas"/>
        <family val="3"/>
      </rPr>
      <t>/</t>
    </r>
    <r>
      <rPr>
        <sz val="11"/>
        <rFont val="游ゴシック Medium"/>
        <family val="3"/>
        <charset val="128"/>
      </rPr>
      <t>丸山健一郎</t>
    </r>
    <rPh sb="0" eb="2">
      <t>イトウ</t>
    </rPh>
    <rPh sb="6" eb="8">
      <t>マルヤマ</t>
    </rPh>
    <rPh sb="8" eb="11">
      <t>ケンイチロウ</t>
    </rPh>
    <phoneticPr fontId="1"/>
  </si>
  <si>
    <r>
      <t>photo/</t>
    </r>
    <r>
      <rPr>
        <sz val="11"/>
        <rFont val="游ゴシック Medium"/>
        <family val="3"/>
        <charset val="128"/>
      </rPr>
      <t>文</t>
    </r>
    <rPh sb="6" eb="7">
      <t>ブン</t>
    </rPh>
    <phoneticPr fontId="1"/>
  </si>
  <si>
    <r>
      <rPr>
        <b/>
        <sz val="11"/>
        <color indexed="33"/>
        <rFont val="游ゴシック Medium"/>
        <family val="3"/>
        <charset val="128"/>
      </rPr>
      <t>ひっつきむしの図鑑</t>
    </r>
    <rPh sb="7" eb="9">
      <t>ズカン</t>
    </rPh>
    <phoneticPr fontId="1"/>
  </si>
  <si>
    <r>
      <rPr>
        <sz val="11"/>
        <rFont val="游ゴシック Medium"/>
        <family val="3"/>
        <charset val="128"/>
      </rPr>
      <t>トンボ出版</t>
    </r>
    <rPh sb="3" eb="5">
      <t>シュッパン</t>
    </rPh>
    <phoneticPr fontId="1"/>
  </si>
  <si>
    <r>
      <rPr>
        <sz val="11"/>
        <rFont val="游ゴシック Medium"/>
        <family val="3"/>
        <charset val="128"/>
      </rPr>
      <t>永田</t>
    </r>
    <r>
      <rPr>
        <sz val="11"/>
        <rFont val="Consolas"/>
        <family val="3"/>
      </rPr>
      <t xml:space="preserve"> </t>
    </r>
    <r>
      <rPr>
        <sz val="11"/>
        <rFont val="游ゴシック Medium"/>
        <family val="3"/>
        <charset val="128"/>
      </rPr>
      <t>市郎</t>
    </r>
    <r>
      <rPr>
        <sz val="11"/>
        <rFont val="Consolas"/>
        <family val="3"/>
      </rPr>
      <t>/</t>
    </r>
    <r>
      <rPr>
        <sz val="11"/>
        <rFont val="游ゴシック Medium"/>
        <family val="3"/>
        <charset val="128"/>
      </rPr>
      <t>長谷川</t>
    </r>
    <r>
      <rPr>
        <sz val="11"/>
        <rFont val="Consolas"/>
        <family val="3"/>
      </rPr>
      <t xml:space="preserve"> </t>
    </r>
    <r>
      <rPr>
        <sz val="11"/>
        <rFont val="游ゴシック Medium"/>
        <family val="3"/>
        <charset val="128"/>
      </rPr>
      <t>朋之</t>
    </r>
    <r>
      <rPr>
        <sz val="11"/>
        <rFont val="Consolas"/>
        <family val="3"/>
      </rPr>
      <t>/</t>
    </r>
    <r>
      <rPr>
        <sz val="11"/>
        <rFont val="游ゴシック Medium"/>
        <family val="3"/>
        <charset val="128"/>
      </rPr>
      <t>石井</t>
    </r>
    <r>
      <rPr>
        <sz val="11"/>
        <rFont val="Consolas"/>
        <family val="3"/>
      </rPr>
      <t xml:space="preserve"> </t>
    </r>
    <r>
      <rPr>
        <sz val="11"/>
        <rFont val="游ゴシック Medium"/>
        <family val="3"/>
        <charset val="128"/>
      </rPr>
      <t>健夫</t>
    </r>
  </si>
  <si>
    <r>
      <rPr>
        <sz val="11"/>
        <rFont val="游ゴシック Medium"/>
        <family val="3"/>
        <charset val="128"/>
      </rPr>
      <t>戦闘</t>
    </r>
    <r>
      <rPr>
        <sz val="11"/>
        <rFont val="Consolas"/>
        <family val="3"/>
      </rPr>
      <t>Knife/Combat Knife/</t>
    </r>
    <r>
      <rPr>
        <sz val="11"/>
        <rFont val="游ゴシック Medium"/>
        <family val="3"/>
        <charset val="128"/>
      </rPr>
      <t>戦う男たちが選ぶ列強の</t>
    </r>
    <r>
      <rPr>
        <sz val="11"/>
        <rFont val="Consolas"/>
        <family val="3"/>
      </rPr>
      <t>Knife</t>
    </r>
    <rPh sb="0" eb="2">
      <t>セントウ</t>
    </rPh>
    <rPh sb="2" eb="7">
      <t>ナイフ</t>
    </rPh>
    <rPh sb="8" eb="14">
      <t>コンバット</t>
    </rPh>
    <rPh sb="15" eb="20">
      <t>ナイフ</t>
    </rPh>
    <rPh sb="21" eb="22">
      <t>タタカ</t>
    </rPh>
    <rPh sb="23" eb="24">
      <t>オトコ</t>
    </rPh>
    <rPh sb="27" eb="28">
      <t>エラ</t>
    </rPh>
    <rPh sb="29" eb="31">
      <t>レッキョウ</t>
    </rPh>
    <rPh sb="32" eb="37">
      <t>ナイフ</t>
    </rPh>
    <phoneticPr fontId="1"/>
  </si>
  <si>
    <r>
      <rPr>
        <sz val="11"/>
        <rFont val="游ゴシック Medium"/>
        <family val="3"/>
        <charset val="128"/>
      </rPr>
      <t>世界の文学</t>
    </r>
    <r>
      <rPr>
        <sz val="11"/>
        <rFont val="Consolas"/>
        <family val="3"/>
      </rPr>
      <t>/</t>
    </r>
    <r>
      <rPr>
        <sz val="11"/>
        <rFont val="游ゴシック Medium"/>
        <family val="3"/>
        <charset val="128"/>
      </rPr>
      <t>名作への招待</t>
    </r>
    <rPh sb="0" eb="2">
      <t>セカイ</t>
    </rPh>
    <rPh sb="3" eb="5">
      <t>ブンガク</t>
    </rPh>
    <rPh sb="6" eb="8">
      <t>メイサク</t>
    </rPh>
    <rPh sb="10" eb="12">
      <t>ショウタイ</t>
    </rPh>
    <phoneticPr fontId="1"/>
  </si>
  <si>
    <r>
      <rPr>
        <sz val="11"/>
        <rFont val="游ゴシック Medium"/>
        <family val="3"/>
        <charset val="128"/>
      </rPr>
      <t>聖徳太子</t>
    </r>
    <r>
      <rPr>
        <sz val="11"/>
        <rFont val="Consolas"/>
        <family val="3"/>
      </rPr>
      <t>,</t>
    </r>
    <r>
      <rPr>
        <sz val="11"/>
        <rFont val="游ゴシック Medium"/>
        <family val="3"/>
        <charset val="128"/>
      </rPr>
      <t>大安万侶</t>
    </r>
    <r>
      <rPr>
        <sz val="11"/>
        <rFont val="Consolas"/>
        <family val="3"/>
      </rPr>
      <t>,</t>
    </r>
    <r>
      <rPr>
        <sz val="11"/>
        <rFont val="游ゴシック Medium"/>
        <family val="3"/>
        <charset val="128"/>
      </rPr>
      <t>舎人親王</t>
    </r>
    <r>
      <rPr>
        <sz val="11"/>
        <rFont val="Consolas"/>
        <family val="3"/>
      </rPr>
      <t>,</t>
    </r>
    <r>
      <rPr>
        <sz val="8"/>
        <rFont val="游ゴシック Medium"/>
        <family val="3"/>
        <charset val="128"/>
      </rPr>
      <t>ほか</t>
    </r>
    <rPh sb="0" eb="4">
      <t>ショウトクタイシ</t>
    </rPh>
    <rPh sb="5" eb="9">
      <t>オオノヤスマロ</t>
    </rPh>
    <rPh sb="10" eb="14">
      <t>トネリノシンノウ</t>
    </rPh>
    <phoneticPr fontId="1"/>
  </si>
  <si>
    <r>
      <t xml:space="preserve">021 / 1999/12/26 / </t>
    </r>
    <r>
      <rPr>
        <sz val="11"/>
        <rFont val="游ゴシック Medium"/>
        <family val="3"/>
        <charset val="128"/>
      </rPr>
      <t>古事記</t>
    </r>
    <r>
      <rPr>
        <sz val="11"/>
        <rFont val="Consolas"/>
        <family val="3"/>
      </rPr>
      <t xml:space="preserve"> </t>
    </r>
    <r>
      <rPr>
        <sz val="11"/>
        <rFont val="游ゴシック Medium"/>
        <family val="3"/>
        <charset val="128"/>
      </rPr>
      <t>日本書紀</t>
    </r>
    <r>
      <rPr>
        <sz val="11"/>
        <rFont val="Consolas"/>
        <family val="3"/>
      </rPr>
      <t xml:space="preserve"> </t>
    </r>
    <r>
      <rPr>
        <sz val="8"/>
        <rFont val="游ゴシック Medium"/>
        <family val="3"/>
        <charset val="128"/>
      </rPr>
      <t>風土記</t>
    </r>
    <r>
      <rPr>
        <sz val="11"/>
        <rFont val="Consolas"/>
        <family val="3"/>
      </rPr>
      <t>/</t>
    </r>
    <r>
      <rPr>
        <sz val="11"/>
        <rFont val="游ゴシック Medium"/>
        <family val="3"/>
        <charset val="128"/>
      </rPr>
      <t>日本Ⅰ</t>
    </r>
    <rPh sb="19" eb="22">
      <t>コジキ</t>
    </rPh>
    <rPh sb="23" eb="27">
      <t>ニホンショキ</t>
    </rPh>
    <rPh sb="28" eb="31">
      <t>フドキ</t>
    </rPh>
    <rPh sb="32" eb="34">
      <t>ニホン</t>
    </rPh>
    <phoneticPr fontId="1"/>
  </si>
  <si>
    <r>
      <rPr>
        <sz val="11"/>
        <rFont val="游ゴシック Medium"/>
        <family val="3"/>
        <charset val="128"/>
      </rPr>
      <t>週刊朝日百科</t>
    </r>
    <rPh sb="0" eb="2">
      <t>シュウカン</t>
    </rPh>
    <rPh sb="2" eb="4">
      <t>アサヒ</t>
    </rPh>
    <rPh sb="4" eb="6">
      <t>ヒャッカ</t>
    </rPh>
    <phoneticPr fontId="1"/>
  </si>
  <si>
    <r>
      <t xml:space="preserve">047 / 2000/06/11 / </t>
    </r>
    <r>
      <rPr>
        <sz val="11"/>
        <rFont val="游ゴシック Medium"/>
        <family val="3"/>
        <charset val="128"/>
      </rPr>
      <t>百年の孤独</t>
    </r>
    <r>
      <rPr>
        <sz val="11"/>
        <rFont val="Consolas"/>
        <family val="3"/>
      </rPr>
      <t xml:space="preserve"> </t>
    </r>
    <r>
      <rPr>
        <sz val="11"/>
        <rFont val="游ゴシック Medium"/>
        <family val="3"/>
        <charset val="128"/>
      </rPr>
      <t>蜘蛛女のキス</t>
    </r>
    <r>
      <rPr>
        <sz val="11"/>
        <rFont val="Consolas"/>
        <family val="3"/>
      </rPr>
      <t>…/</t>
    </r>
    <r>
      <rPr>
        <sz val="11"/>
        <rFont val="游ゴシック Medium"/>
        <family val="3"/>
        <charset val="128"/>
      </rPr>
      <t>ガルシア</t>
    </r>
    <r>
      <rPr>
        <sz val="11"/>
        <rFont val="Consolas"/>
        <family val="3"/>
      </rPr>
      <t>=</t>
    </r>
    <r>
      <rPr>
        <sz val="11"/>
        <rFont val="游ゴシック Medium"/>
        <family val="3"/>
        <charset val="128"/>
      </rPr>
      <t>マルケス､マヌエル･プイグほか</t>
    </r>
    <r>
      <rPr>
        <sz val="11"/>
        <rFont val="Consolas"/>
        <family val="3"/>
      </rPr>
      <t>/</t>
    </r>
    <r>
      <rPr>
        <sz val="11"/>
        <rFont val="游ゴシック Medium"/>
        <family val="3"/>
        <charset val="128"/>
      </rPr>
      <t>南北</t>
    </r>
    <r>
      <rPr>
        <sz val="11"/>
        <rFont val="Consolas"/>
        <family val="3"/>
      </rPr>
      <t>America</t>
    </r>
    <r>
      <rPr>
        <sz val="11"/>
        <rFont val="游ゴシック Medium"/>
        <family val="3"/>
        <charset val="128"/>
      </rPr>
      <t>Ⅱ</t>
    </r>
    <rPh sb="19" eb="21">
      <t>ヒャクネン</t>
    </rPh>
    <rPh sb="22" eb="24">
      <t>コドク</t>
    </rPh>
    <rPh sb="25" eb="27">
      <t>クモ</t>
    </rPh>
    <rPh sb="27" eb="28">
      <t>オンナ</t>
    </rPh>
    <rPh sb="54" eb="56">
      <t>ナンボク</t>
    </rPh>
    <rPh sb="56" eb="63">
      <t>アメリカ</t>
    </rPh>
    <phoneticPr fontId="1"/>
  </si>
  <si>
    <r>
      <t>049 / 2000/06/25 / Horror</t>
    </r>
    <r>
      <rPr>
        <sz val="11"/>
        <rFont val="游ゴシック Medium"/>
        <family val="3"/>
        <charset val="128"/>
      </rPr>
      <t>傑作選</t>
    </r>
    <r>
      <rPr>
        <sz val="11"/>
        <rFont val="Consolas"/>
        <family val="3"/>
      </rPr>
      <t xml:space="preserve"> </t>
    </r>
    <r>
      <rPr>
        <sz val="11"/>
        <rFont val="游ゴシック Medium"/>
        <family val="3"/>
        <charset val="128"/>
      </rPr>
      <t>ミザリー</t>
    </r>
    <r>
      <rPr>
        <sz val="11"/>
        <rFont val="Consolas"/>
        <family val="3"/>
      </rPr>
      <t xml:space="preserve"> </t>
    </r>
    <r>
      <rPr>
        <sz val="11"/>
        <rFont val="游ゴシック Medium"/>
        <family val="3"/>
        <charset val="128"/>
      </rPr>
      <t>シャイニング</t>
    </r>
    <r>
      <rPr>
        <sz val="11"/>
        <rFont val="Consolas"/>
        <family val="3"/>
      </rPr>
      <t xml:space="preserve"> </t>
    </r>
    <r>
      <rPr>
        <sz val="11"/>
        <rFont val="游ゴシック Medium"/>
        <family val="3"/>
        <charset val="128"/>
      </rPr>
      <t>羊たちの沈黙</t>
    </r>
    <r>
      <rPr>
        <sz val="11"/>
        <rFont val="Consolas"/>
        <family val="3"/>
      </rPr>
      <t>…/</t>
    </r>
    <r>
      <rPr>
        <sz val="11"/>
        <rFont val="游ゴシック Medium"/>
        <family val="3"/>
        <charset val="128"/>
      </rPr>
      <t>スティーヴン･キング､トマス･ハリスほか</t>
    </r>
    <r>
      <rPr>
        <sz val="11"/>
        <rFont val="Consolas"/>
        <family val="3"/>
      </rPr>
      <t>/</t>
    </r>
    <r>
      <rPr>
        <sz val="11"/>
        <rFont val="游ゴシック Medium"/>
        <family val="3"/>
        <charset val="128"/>
      </rPr>
      <t>南北</t>
    </r>
    <r>
      <rPr>
        <sz val="11"/>
        <rFont val="Consolas"/>
        <family val="3"/>
      </rPr>
      <t>America</t>
    </r>
    <r>
      <rPr>
        <sz val="11"/>
        <rFont val="游ゴシック Medium"/>
        <family val="3"/>
        <charset val="128"/>
      </rPr>
      <t>Ⅱ</t>
    </r>
    <rPh sb="19" eb="25">
      <t>ホラー</t>
    </rPh>
    <rPh sb="25" eb="28">
      <t>ケッサクセン</t>
    </rPh>
    <rPh sb="41" eb="42">
      <t>ヒツジ</t>
    </rPh>
    <rPh sb="45" eb="47">
      <t>チンモク</t>
    </rPh>
    <rPh sb="70" eb="72">
      <t>ナンボク</t>
    </rPh>
    <rPh sb="72" eb="79">
      <t>アメリカ</t>
    </rPh>
    <phoneticPr fontId="1"/>
  </si>
  <si>
    <r>
      <rPr>
        <sz val="11"/>
        <rFont val="游ゴシック Medium"/>
        <family val="3"/>
        <charset val="128"/>
      </rPr>
      <t>世界の美術</t>
    </r>
    <rPh sb="0" eb="2">
      <t>セカイ</t>
    </rPh>
    <rPh sb="3" eb="5">
      <t>ビジュツ</t>
    </rPh>
    <phoneticPr fontId="1"/>
  </si>
  <si>
    <r>
      <t xml:space="preserve">075 / 1979/09/02 / </t>
    </r>
    <r>
      <rPr>
        <sz val="11"/>
        <rFont val="游ゴシック Medium"/>
        <family val="3"/>
        <charset val="128"/>
      </rPr>
      <t>現代の建築と</t>
    </r>
    <r>
      <rPr>
        <sz val="11"/>
        <rFont val="Consolas"/>
        <family val="3"/>
      </rPr>
      <t>Design</t>
    </r>
    <rPh sb="19" eb="21">
      <t>ゲンダイ</t>
    </rPh>
    <rPh sb="22" eb="24">
      <t>ケンチク</t>
    </rPh>
    <rPh sb="25" eb="31">
      <t>デザイン</t>
    </rPh>
    <phoneticPr fontId="1"/>
  </si>
  <si>
    <r>
      <rPr>
        <sz val="11"/>
        <rFont val="游ゴシック Medium"/>
        <family val="3"/>
        <charset val="128"/>
      </rPr>
      <t>動物たちの地球</t>
    </r>
    <rPh sb="0" eb="2">
      <t>ドウブツ</t>
    </rPh>
    <rPh sb="5" eb="7">
      <t>チキュウ</t>
    </rPh>
    <phoneticPr fontId="1"/>
  </si>
  <si>
    <r>
      <t xml:space="preserve">060 / 1981/08/16 / </t>
    </r>
    <r>
      <rPr>
        <sz val="11"/>
        <rFont val="游ゴシック Medium"/>
        <family val="3"/>
        <charset val="128"/>
      </rPr>
      <t>からだ作りの神秘⑤</t>
    </r>
    <r>
      <rPr>
        <sz val="11"/>
        <rFont val="Consolas"/>
        <family val="3"/>
      </rPr>
      <t>/</t>
    </r>
    <r>
      <rPr>
        <sz val="11"/>
        <rFont val="游ゴシック Medium"/>
        <family val="3"/>
        <charset val="128"/>
      </rPr>
      <t>かたち作りの法則</t>
    </r>
    <rPh sb="22" eb="23">
      <t>ヅク</t>
    </rPh>
    <rPh sb="25" eb="27">
      <t>シンピ</t>
    </rPh>
    <rPh sb="32" eb="33">
      <t>ヅク</t>
    </rPh>
    <rPh sb="35" eb="37">
      <t>ホウソク</t>
    </rPh>
    <phoneticPr fontId="1"/>
  </si>
  <si>
    <r>
      <t xml:space="preserve">075 / 1981/11/29 / </t>
    </r>
    <r>
      <rPr>
        <sz val="11"/>
        <rFont val="游ゴシック Medium"/>
        <family val="3"/>
        <charset val="128"/>
      </rPr>
      <t>昆虫③</t>
    </r>
    <r>
      <rPr>
        <sz val="11"/>
        <rFont val="Consolas"/>
        <family val="3"/>
      </rPr>
      <t>/</t>
    </r>
    <r>
      <rPr>
        <sz val="11"/>
        <rFont val="游ゴシック Medium"/>
        <family val="3"/>
        <charset val="128"/>
      </rPr>
      <t>シロアリ･カメムシ･アメンボほか</t>
    </r>
    <rPh sb="19" eb="21">
      <t>コンチュウ</t>
    </rPh>
    <phoneticPr fontId="1"/>
  </si>
  <si>
    <r>
      <t xml:space="preserve">138 / 1981/02/27 / </t>
    </r>
    <r>
      <rPr>
        <sz val="11"/>
        <rFont val="游ゴシック Medium"/>
        <family val="3"/>
        <charset val="128"/>
      </rPr>
      <t>地球と人間の歴史⑥</t>
    </r>
    <r>
      <rPr>
        <sz val="11"/>
        <rFont val="Consolas"/>
        <family val="3"/>
      </rPr>
      <t>/</t>
    </r>
    <r>
      <rPr>
        <sz val="11"/>
        <rFont val="游ゴシック Medium"/>
        <family val="3"/>
        <charset val="128"/>
      </rPr>
      <t>自然に手を加える</t>
    </r>
    <rPh sb="19" eb="21">
      <t>チキュウ</t>
    </rPh>
    <rPh sb="22" eb="24">
      <t>ニンゲン</t>
    </rPh>
    <rPh sb="25" eb="27">
      <t>レキシ</t>
    </rPh>
    <rPh sb="29" eb="31">
      <t>シゼン</t>
    </rPh>
    <rPh sb="32" eb="33">
      <t>テ</t>
    </rPh>
    <rPh sb="34" eb="35">
      <t>クワ</t>
    </rPh>
    <phoneticPr fontId="1"/>
  </si>
  <si>
    <r>
      <rPr>
        <sz val="11"/>
        <rFont val="游ゴシック Medium"/>
        <family val="3"/>
        <charset val="128"/>
      </rPr>
      <t>週刊世界動物百科</t>
    </r>
    <rPh sb="0" eb="2">
      <t>シュウカン</t>
    </rPh>
    <rPh sb="2" eb="4">
      <t>セカイ</t>
    </rPh>
    <rPh sb="4" eb="6">
      <t>ドウブツ</t>
    </rPh>
    <rPh sb="6" eb="8">
      <t>ヒャッカ</t>
    </rPh>
    <phoneticPr fontId="1"/>
  </si>
  <si>
    <r>
      <rPr>
        <sz val="11"/>
        <rFont val="游ゴシック Medium"/>
        <family val="3"/>
        <charset val="128"/>
      </rPr>
      <t>朝日</t>
    </r>
    <r>
      <rPr>
        <sz val="11"/>
        <rFont val="Consolas"/>
        <family val="3"/>
      </rPr>
      <t>=</t>
    </r>
    <r>
      <rPr>
        <sz val="11"/>
        <rFont val="游ゴシック Medium"/>
        <family val="3"/>
        <charset val="128"/>
      </rPr>
      <t>ラルース</t>
    </r>
    <rPh sb="0" eb="2">
      <t>アサヒ</t>
    </rPh>
    <phoneticPr fontId="1"/>
  </si>
  <si>
    <r>
      <rPr>
        <sz val="11"/>
        <rFont val="游ゴシック Medium"/>
        <family val="3"/>
        <charset val="128"/>
      </rPr>
      <t>人とからだ</t>
    </r>
    <rPh sb="0" eb="1">
      <t>ヒト</t>
    </rPh>
    <phoneticPr fontId="1"/>
  </si>
  <si>
    <r>
      <rPr>
        <sz val="11"/>
        <rFont val="游ゴシック Medium"/>
        <family val="3"/>
        <charset val="128"/>
      </rPr>
      <t>学研の図鑑</t>
    </r>
    <rPh sb="0" eb="2">
      <t>ガッケン</t>
    </rPh>
    <rPh sb="3" eb="5">
      <t>ズカン</t>
    </rPh>
    <phoneticPr fontId="1"/>
  </si>
  <si>
    <r>
      <rPr>
        <sz val="11"/>
        <rFont val="游ゴシック Medium"/>
        <family val="3"/>
        <charset val="128"/>
      </rPr>
      <t>昆虫</t>
    </r>
    <rPh sb="0" eb="2">
      <t>コンチュウ</t>
    </rPh>
    <phoneticPr fontId="1"/>
  </si>
  <si>
    <r>
      <rPr>
        <sz val="11"/>
        <rFont val="游ゴシック Medium"/>
        <family val="3"/>
        <charset val="128"/>
      </rPr>
      <t>むし</t>
    </r>
    <phoneticPr fontId="1"/>
  </si>
  <si>
    <r>
      <rPr>
        <sz val="11"/>
        <rFont val="游ゴシック Medium"/>
        <family val="3"/>
        <charset val="128"/>
      </rPr>
      <t>ふしぎ･びっくり</t>
    </r>
    <r>
      <rPr>
        <sz val="11"/>
        <rFont val="Consolas"/>
        <family val="3"/>
      </rPr>
      <t>!?/</t>
    </r>
    <r>
      <rPr>
        <sz val="11"/>
        <rFont val="游ゴシック Medium"/>
        <family val="3"/>
        <charset val="128"/>
      </rPr>
      <t>こども図鑑</t>
    </r>
    <rPh sb="14" eb="16">
      <t>ズカン</t>
    </rPh>
    <phoneticPr fontId="1"/>
  </si>
  <si>
    <r>
      <rPr>
        <sz val="11"/>
        <rFont val="游ゴシック Medium"/>
        <family val="3"/>
        <charset val="128"/>
      </rPr>
      <t>近藤峰生より</t>
    </r>
    <rPh sb="0" eb="4">
      <t>コンドウミネオ</t>
    </rPh>
    <phoneticPr fontId="1"/>
  </si>
  <si>
    <r>
      <rPr>
        <sz val="11"/>
        <rFont val="游ゴシック Medium"/>
        <family val="3"/>
        <charset val="128"/>
      </rPr>
      <t>まほまほに贈与</t>
    </r>
    <rPh sb="5" eb="7">
      <t>ゾウヨ</t>
    </rPh>
    <phoneticPr fontId="1"/>
  </si>
  <si>
    <r>
      <rPr>
        <sz val="11"/>
        <rFont val="游ゴシック Medium"/>
        <family val="3"/>
        <charset val="128"/>
      </rPr>
      <t>マイケル</t>
    </r>
    <r>
      <rPr>
        <sz val="11"/>
        <rFont val="Consolas"/>
        <family val="3"/>
      </rPr>
      <t>=</t>
    </r>
    <r>
      <rPr>
        <sz val="11"/>
        <rFont val="游ゴシック Medium"/>
        <family val="3"/>
        <charset val="128"/>
      </rPr>
      <t>ツウィーディー</t>
    </r>
    <phoneticPr fontId="1"/>
  </si>
  <si>
    <r>
      <rPr>
        <sz val="11"/>
        <rFont val="游ゴシック Medium"/>
        <family val="3"/>
        <charset val="128"/>
      </rPr>
      <t>ジョン</t>
    </r>
    <r>
      <rPr>
        <sz val="11"/>
        <rFont val="Consolas"/>
        <family val="3"/>
      </rPr>
      <t>=</t>
    </r>
    <r>
      <rPr>
        <sz val="11"/>
        <rFont val="游ゴシック Medium"/>
        <family val="3"/>
        <charset val="128"/>
      </rPr>
      <t>グレイ</t>
    </r>
    <r>
      <rPr>
        <sz val="11"/>
        <rFont val="Consolas"/>
        <family val="3"/>
      </rPr>
      <t>/</t>
    </r>
    <r>
      <rPr>
        <sz val="11"/>
        <rFont val="游ゴシック Medium"/>
        <family val="3"/>
        <charset val="128"/>
      </rPr>
      <t>トニー</t>
    </r>
    <r>
      <rPr>
        <sz val="11"/>
        <rFont val="Consolas"/>
        <family val="3"/>
      </rPr>
      <t>=</t>
    </r>
    <r>
      <rPr>
        <sz val="11"/>
        <rFont val="游ゴシック Medium"/>
        <family val="3"/>
        <charset val="128"/>
      </rPr>
      <t>スウィフト</t>
    </r>
    <r>
      <rPr>
        <sz val="11"/>
        <rFont val="Consolas"/>
        <family val="3"/>
      </rPr>
      <t>+</t>
    </r>
    <r>
      <rPr>
        <sz val="11"/>
        <rFont val="游ゴシック Medium"/>
        <family val="3"/>
        <charset val="128"/>
      </rPr>
      <t>アドリアン</t>
    </r>
    <r>
      <rPr>
        <sz val="11"/>
        <rFont val="Consolas"/>
        <family val="3"/>
      </rPr>
      <t>=</t>
    </r>
    <r>
      <rPr>
        <sz val="11"/>
        <rFont val="游ゴシック Medium"/>
        <family val="3"/>
        <charset val="128"/>
      </rPr>
      <t>ウィリアムズ</t>
    </r>
    <r>
      <rPr>
        <sz val="11"/>
        <rFont val="Consolas"/>
        <family val="3"/>
      </rPr>
      <t>/</t>
    </r>
    <r>
      <rPr>
        <sz val="11"/>
        <rFont val="游ゴシック Medium"/>
        <family val="3"/>
        <charset val="128"/>
      </rPr>
      <t>三枝豊平</t>
    </r>
    <rPh sb="31" eb="33">
      <t>サエグサ</t>
    </rPh>
    <rPh sb="33" eb="35">
      <t>トヨヘイ</t>
    </rPh>
    <phoneticPr fontId="1"/>
  </si>
  <si>
    <r>
      <rPr>
        <sz val="11"/>
        <rFont val="游ゴシック Medium"/>
        <family val="3"/>
        <charset val="128"/>
      </rPr>
      <t>指導</t>
    </r>
    <r>
      <rPr>
        <sz val="11"/>
        <rFont val="Consolas"/>
        <family val="3"/>
      </rPr>
      <t>//</t>
    </r>
    <rPh sb="0" eb="2">
      <t>シドウ</t>
    </rPh>
    <phoneticPr fontId="1"/>
  </si>
  <si>
    <r>
      <rPr>
        <sz val="11"/>
        <rFont val="游ゴシック Medium"/>
        <family val="3"/>
        <charset val="128"/>
      </rPr>
      <t>昆虫の世界</t>
    </r>
    <r>
      <rPr>
        <sz val="11"/>
        <rFont val="Consolas"/>
        <family val="3"/>
      </rPr>
      <t>/Atlas of Insects</t>
    </r>
    <rPh sb="0" eb="2">
      <t>コンチュウ</t>
    </rPh>
    <rPh sb="3" eb="5">
      <t>セカイ</t>
    </rPh>
    <phoneticPr fontId="1"/>
  </si>
  <si>
    <r>
      <rPr>
        <sz val="11"/>
        <rFont val="游ゴシック Medium"/>
        <family val="3"/>
        <charset val="128"/>
      </rPr>
      <t>原色学習</t>
    </r>
    <r>
      <rPr>
        <sz val="11"/>
        <rFont val="Consolas"/>
        <family val="3"/>
      </rPr>
      <t>Wide</t>
    </r>
    <r>
      <rPr>
        <sz val="11"/>
        <rFont val="游ゴシック Medium"/>
        <family val="3"/>
        <charset val="128"/>
      </rPr>
      <t>図鑑続巻</t>
    </r>
    <rPh sb="0" eb="2">
      <t>ゲンショク</t>
    </rPh>
    <rPh sb="2" eb="4">
      <t>ガクシュウ</t>
    </rPh>
    <rPh sb="4" eb="8">
      <t>ワイド</t>
    </rPh>
    <rPh sb="8" eb="10">
      <t>ズカン</t>
    </rPh>
    <rPh sb="10" eb="11">
      <t>ゾク</t>
    </rPh>
    <rPh sb="11" eb="12">
      <t>カン</t>
    </rPh>
    <phoneticPr fontId="1"/>
  </si>
  <si>
    <r>
      <rPr>
        <sz val="11"/>
        <rFont val="游ゴシック Medium"/>
        <family val="3"/>
        <charset val="128"/>
      </rPr>
      <t>多摩動物公園昆虫愛好会</t>
    </r>
    <rPh sb="0" eb="6">
      <t>タマドウブツコウエン</t>
    </rPh>
    <rPh sb="6" eb="8">
      <t>コンチュウ</t>
    </rPh>
    <rPh sb="8" eb="11">
      <t>アイコウカイ</t>
    </rPh>
    <phoneticPr fontId="1"/>
  </si>
  <si>
    <r>
      <t>Insectarium,the/</t>
    </r>
    <r>
      <rPr>
        <sz val="11"/>
        <rFont val="游ゴシック Medium"/>
        <family val="3"/>
        <charset val="128"/>
      </rPr>
      <t>生きたこん虫の雑誌</t>
    </r>
    <rPh sb="0" eb="11">
      <t>インセクタリゥム</t>
    </rPh>
    <rPh sb="12" eb="15">
      <t>ザ</t>
    </rPh>
    <rPh sb="16" eb="17">
      <t>イ</t>
    </rPh>
    <rPh sb="21" eb="22">
      <t>チュウ</t>
    </rPh>
    <rPh sb="23" eb="25">
      <t>ザッシ</t>
    </rPh>
    <phoneticPr fontId="1"/>
  </si>
  <si>
    <r>
      <rPr>
        <sz val="11"/>
        <rFont val="游ゴシック Medium"/>
        <family val="3"/>
        <charset val="128"/>
      </rPr>
      <t>財団法人東京動物園協会</t>
    </r>
    <r>
      <rPr>
        <sz val="11"/>
        <rFont val="Consolas"/>
        <family val="3"/>
      </rPr>
      <t>:</t>
    </r>
    <r>
      <rPr>
        <sz val="11"/>
        <rFont val="游ゴシック Medium"/>
        <family val="3"/>
        <charset val="128"/>
      </rPr>
      <t>発行</t>
    </r>
    <rPh sb="0" eb="4">
      <t>ザイダンホウジン</t>
    </rPh>
    <rPh sb="4" eb="6">
      <t>トウキョウ</t>
    </rPh>
    <rPh sb="6" eb="9">
      <t>ドウブツエン</t>
    </rPh>
    <rPh sb="9" eb="11">
      <t>キョウカイ</t>
    </rPh>
    <rPh sb="12" eb="14">
      <t>ハッコウ</t>
    </rPh>
    <phoneticPr fontId="1"/>
  </si>
  <si>
    <r>
      <rPr>
        <sz val="11"/>
        <rFont val="游ゴシック Medium"/>
        <family val="3"/>
        <charset val="128"/>
      </rPr>
      <t>鈴木</t>
    </r>
    <r>
      <rPr>
        <sz val="11"/>
        <rFont val="Consolas"/>
        <family val="3"/>
      </rPr>
      <t xml:space="preserve"> </t>
    </r>
    <r>
      <rPr>
        <sz val="11"/>
        <rFont val="游ゴシック Medium"/>
        <family val="3"/>
        <charset val="128"/>
      </rPr>
      <t>安一郎</t>
    </r>
    <rPh sb="0" eb="2">
      <t>スズキ</t>
    </rPh>
    <rPh sb="3" eb="6">
      <t>ヤスイチロウ</t>
    </rPh>
    <phoneticPr fontId="1"/>
  </si>
  <si>
    <r>
      <rPr>
        <sz val="11"/>
        <rFont val="游ゴシック Medium"/>
        <family val="3"/>
        <charset val="128"/>
      </rPr>
      <t>きのこのほん</t>
    </r>
    <phoneticPr fontId="1"/>
  </si>
  <si>
    <r>
      <rPr>
        <sz val="11"/>
        <rFont val="游ゴシック Medium"/>
        <family val="3"/>
        <charset val="128"/>
      </rPr>
      <t>ソフトカバー</t>
    </r>
    <phoneticPr fontId="1"/>
  </si>
  <si>
    <r>
      <rPr>
        <sz val="11"/>
        <rFont val="游ゴシック Medium"/>
        <family val="3"/>
        <charset val="128"/>
      </rPr>
      <t>伊沢正名</t>
    </r>
    <rPh sb="0" eb="2">
      <t>イザワ</t>
    </rPh>
    <rPh sb="2" eb="3">
      <t>マサ</t>
    </rPh>
    <rPh sb="3" eb="4">
      <t>ナ</t>
    </rPh>
    <phoneticPr fontId="1"/>
  </si>
  <si>
    <r>
      <rPr>
        <sz val="11"/>
        <rFont val="游ゴシック Medium"/>
        <family val="3"/>
        <charset val="128"/>
      </rPr>
      <t>きのこブック</t>
    </r>
    <phoneticPr fontId="1"/>
  </si>
  <si>
    <r>
      <rPr>
        <sz val="11"/>
        <rFont val="游ゴシック Medium"/>
        <family val="3"/>
        <charset val="128"/>
      </rPr>
      <t>キノコの世界</t>
    </r>
    <rPh sb="4" eb="6">
      <t>セカイ</t>
    </rPh>
    <phoneticPr fontId="1"/>
  </si>
  <si>
    <r>
      <rPr>
        <sz val="11"/>
        <rFont val="游ゴシック Medium"/>
        <family val="3"/>
        <charset val="128"/>
      </rPr>
      <t>朝日百科</t>
    </r>
    <rPh sb="0" eb="2">
      <t>アサヒ</t>
    </rPh>
    <rPh sb="2" eb="4">
      <t>ヒャッカ</t>
    </rPh>
    <phoneticPr fontId="1"/>
  </si>
  <si>
    <r>
      <rPr>
        <sz val="11"/>
        <rFont val="游ゴシック Medium"/>
        <family val="3"/>
        <charset val="128"/>
      </rPr>
      <t>辞典</t>
    </r>
    <r>
      <rPr>
        <sz val="11"/>
        <rFont val="Consolas"/>
        <family val="3"/>
      </rPr>
      <t>/</t>
    </r>
    <r>
      <rPr>
        <sz val="11"/>
        <rFont val="游ゴシック Medium"/>
        <family val="3"/>
        <charset val="128"/>
      </rPr>
      <t>新書</t>
    </r>
    <rPh sb="0" eb="2">
      <t>ジテン</t>
    </rPh>
    <rPh sb="3" eb="5">
      <t>シンショ</t>
    </rPh>
    <phoneticPr fontId="1"/>
  </si>
  <si>
    <r>
      <rPr>
        <sz val="11"/>
        <rFont val="游ゴシック Medium"/>
        <family val="3"/>
        <charset val="128"/>
      </rPr>
      <t>小山昇平</t>
    </r>
    <rPh sb="0" eb="2">
      <t>コヤマ</t>
    </rPh>
    <rPh sb="2" eb="4">
      <t>ショウヘイ</t>
    </rPh>
    <phoneticPr fontId="1"/>
  </si>
  <si>
    <r>
      <rPr>
        <sz val="11"/>
        <rFont val="游ゴシック Medium"/>
        <family val="3"/>
        <charset val="128"/>
      </rPr>
      <t>日本の毒キノコ</t>
    </r>
    <r>
      <rPr>
        <sz val="11"/>
        <rFont val="Consolas"/>
        <family val="3"/>
      </rPr>
      <t>150</t>
    </r>
    <r>
      <rPr>
        <sz val="11"/>
        <rFont val="游ゴシック Medium"/>
        <family val="3"/>
        <charset val="128"/>
      </rPr>
      <t>種</t>
    </r>
    <rPh sb="0" eb="2">
      <t>ニホン</t>
    </rPh>
    <rPh sb="3" eb="4">
      <t>ドク</t>
    </rPh>
    <rPh sb="10" eb="11">
      <t>シュ</t>
    </rPh>
    <phoneticPr fontId="1"/>
  </si>
  <si>
    <r>
      <rPr>
        <sz val="11"/>
        <rFont val="游ゴシック Medium"/>
        <family val="3"/>
        <charset val="128"/>
      </rPr>
      <t>ほおずき書籍</t>
    </r>
    <rPh sb="4" eb="6">
      <t>ショセキ</t>
    </rPh>
    <phoneticPr fontId="1"/>
  </si>
  <si>
    <r>
      <rPr>
        <sz val="11"/>
        <rFont val="游ゴシック Medium"/>
        <family val="3"/>
        <charset val="128"/>
      </rPr>
      <t>栗林</t>
    </r>
    <r>
      <rPr>
        <sz val="11"/>
        <rFont val="Consolas"/>
        <family val="3"/>
      </rPr>
      <t xml:space="preserve"> </t>
    </r>
    <r>
      <rPr>
        <sz val="11"/>
        <rFont val="游ゴシック Medium"/>
        <family val="3"/>
        <charset val="128"/>
      </rPr>
      <t>慧</t>
    </r>
    <rPh sb="0" eb="2">
      <t>クリバヤシ</t>
    </rPh>
    <rPh sb="3" eb="4">
      <t>サトシ</t>
    </rPh>
    <phoneticPr fontId="1"/>
  </si>
  <si>
    <r>
      <rPr>
        <sz val="11"/>
        <rFont val="游ゴシック Medium"/>
        <family val="3"/>
        <charset val="128"/>
      </rPr>
      <t>大谷</t>
    </r>
    <r>
      <rPr>
        <sz val="11"/>
        <rFont val="Consolas"/>
        <family val="3"/>
      </rPr>
      <t xml:space="preserve"> </t>
    </r>
    <r>
      <rPr>
        <sz val="11"/>
        <rFont val="游ゴシック Medium"/>
        <family val="3"/>
        <charset val="128"/>
      </rPr>
      <t>剛</t>
    </r>
    <rPh sb="0" eb="2">
      <t>オオタニ</t>
    </rPh>
    <rPh sb="3" eb="4">
      <t>タケシ</t>
    </rPh>
    <phoneticPr fontId="1"/>
  </si>
  <si>
    <r>
      <rPr>
        <sz val="11"/>
        <rFont val="游ゴシック Medium"/>
        <family val="3"/>
        <charset val="128"/>
      </rPr>
      <t>昆虫図鑑</t>
    </r>
    <r>
      <rPr>
        <sz val="11"/>
        <rFont val="Consolas"/>
        <family val="3"/>
      </rPr>
      <t>/</t>
    </r>
    <r>
      <rPr>
        <sz val="11"/>
        <rFont val="游ゴシック Medium"/>
        <family val="3"/>
        <charset val="128"/>
      </rPr>
      <t>名前といわれ</t>
    </r>
    <rPh sb="0" eb="2">
      <t>コンチュウ</t>
    </rPh>
    <rPh sb="2" eb="4">
      <t>ズカン</t>
    </rPh>
    <rPh sb="5" eb="7">
      <t>ナマエ</t>
    </rPh>
    <phoneticPr fontId="1"/>
  </si>
  <si>
    <r>
      <rPr>
        <sz val="11"/>
        <rFont val="游ゴシック Medium"/>
        <family val="3"/>
        <charset val="128"/>
      </rPr>
      <t>昆虫</t>
    </r>
    <r>
      <rPr>
        <sz val="11"/>
        <rFont val="Consolas"/>
        <family val="3"/>
      </rPr>
      <t>/</t>
    </r>
    <r>
      <rPr>
        <sz val="11"/>
        <rFont val="游ゴシック Medium"/>
        <family val="3"/>
        <charset val="128"/>
      </rPr>
      <t>改訂版</t>
    </r>
    <rPh sb="0" eb="2">
      <t>コンチュウ</t>
    </rPh>
    <rPh sb="3" eb="6">
      <t>カイテイバン</t>
    </rPh>
    <phoneticPr fontId="1"/>
  </si>
  <si>
    <r>
      <rPr>
        <sz val="11"/>
        <rFont val="游ゴシック Medium"/>
        <family val="3"/>
        <charset val="128"/>
      </rPr>
      <t>野外観察図鑑</t>
    </r>
    <r>
      <rPr>
        <sz val="11"/>
        <rFont val="Consolas"/>
        <family val="3"/>
      </rPr>
      <t>1</t>
    </r>
    <rPh sb="0" eb="2">
      <t>ヤガイ</t>
    </rPh>
    <rPh sb="2" eb="4">
      <t>カンサツ</t>
    </rPh>
    <rPh sb="4" eb="6">
      <t>ズカン</t>
    </rPh>
    <phoneticPr fontId="1"/>
  </si>
  <si>
    <r>
      <rPr>
        <sz val="11"/>
        <rFont val="游ゴシック Medium"/>
        <family val="3"/>
        <charset val="128"/>
      </rPr>
      <t>旺文社</t>
    </r>
    <rPh sb="0" eb="3">
      <t>オウブンシャ</t>
    </rPh>
    <phoneticPr fontId="1"/>
  </si>
  <si>
    <r>
      <rPr>
        <sz val="11"/>
        <rFont val="游ゴシック Medium"/>
        <family val="3"/>
        <charset val="128"/>
      </rPr>
      <t>植物</t>
    </r>
    <rPh sb="0" eb="2">
      <t>ショクブツ</t>
    </rPh>
    <phoneticPr fontId="1"/>
  </si>
  <si>
    <r>
      <rPr>
        <sz val="11"/>
        <rFont val="游ゴシック Medium"/>
        <family val="3"/>
        <charset val="128"/>
      </rPr>
      <t>植物</t>
    </r>
    <r>
      <rPr>
        <sz val="11"/>
        <rFont val="Consolas"/>
        <family val="3"/>
      </rPr>
      <t>/</t>
    </r>
    <r>
      <rPr>
        <sz val="11"/>
        <rFont val="游ゴシック Medium"/>
        <family val="3"/>
        <charset val="128"/>
      </rPr>
      <t>改訂版</t>
    </r>
    <rPh sb="0" eb="2">
      <t>ショクブツ</t>
    </rPh>
    <rPh sb="3" eb="6">
      <t>カイテイバン</t>
    </rPh>
    <phoneticPr fontId="1"/>
  </si>
  <si>
    <r>
      <rPr>
        <sz val="11"/>
        <rFont val="游ゴシック Medium"/>
        <family val="3"/>
        <charset val="128"/>
      </rPr>
      <t>野外観察図鑑</t>
    </r>
    <r>
      <rPr>
        <sz val="11"/>
        <rFont val="Consolas"/>
        <family val="3"/>
      </rPr>
      <t>2</t>
    </r>
    <rPh sb="0" eb="2">
      <t>ヤガイ</t>
    </rPh>
    <rPh sb="2" eb="4">
      <t>カンサツ</t>
    </rPh>
    <rPh sb="4" eb="6">
      <t>ズカン</t>
    </rPh>
    <phoneticPr fontId="1"/>
  </si>
  <si>
    <r>
      <rPr>
        <sz val="11"/>
        <rFont val="游ゴシック Medium"/>
        <family val="3"/>
        <charset val="128"/>
      </rPr>
      <t>動物</t>
    </r>
    <rPh sb="0" eb="2">
      <t>ドウブツ</t>
    </rPh>
    <phoneticPr fontId="1"/>
  </si>
  <si>
    <r>
      <rPr>
        <sz val="11"/>
        <rFont val="游ゴシック Medium"/>
        <family val="3"/>
        <charset val="128"/>
      </rPr>
      <t>動物</t>
    </r>
    <r>
      <rPr>
        <sz val="11"/>
        <rFont val="Consolas"/>
        <family val="3"/>
      </rPr>
      <t>/</t>
    </r>
    <r>
      <rPr>
        <sz val="11"/>
        <rFont val="游ゴシック Medium"/>
        <family val="3"/>
        <charset val="128"/>
      </rPr>
      <t>改訂版</t>
    </r>
    <rPh sb="0" eb="2">
      <t>ドウブツ</t>
    </rPh>
    <rPh sb="3" eb="6">
      <t>カイテイバン</t>
    </rPh>
    <phoneticPr fontId="1"/>
  </si>
  <si>
    <r>
      <rPr>
        <sz val="11"/>
        <rFont val="游ゴシック Medium"/>
        <family val="3"/>
        <charset val="128"/>
      </rPr>
      <t>野外観察図鑑</t>
    </r>
    <r>
      <rPr>
        <sz val="11"/>
        <rFont val="Consolas"/>
        <family val="3"/>
      </rPr>
      <t>3</t>
    </r>
    <rPh sb="0" eb="2">
      <t>ヤガイ</t>
    </rPh>
    <rPh sb="2" eb="4">
      <t>カンサツ</t>
    </rPh>
    <rPh sb="4" eb="6">
      <t>ズカン</t>
    </rPh>
    <phoneticPr fontId="1"/>
  </si>
  <si>
    <r>
      <rPr>
        <sz val="11"/>
        <rFont val="游ゴシック Medium"/>
        <family val="3"/>
        <charset val="128"/>
      </rPr>
      <t>魚</t>
    </r>
    <rPh sb="0" eb="1">
      <t>サカナ</t>
    </rPh>
    <phoneticPr fontId="1"/>
  </si>
  <si>
    <r>
      <rPr>
        <sz val="11"/>
        <rFont val="游ゴシック Medium"/>
        <family val="3"/>
        <charset val="128"/>
      </rPr>
      <t>魚</t>
    </r>
    <r>
      <rPr>
        <sz val="11"/>
        <rFont val="Consolas"/>
        <family val="3"/>
      </rPr>
      <t>/</t>
    </r>
    <r>
      <rPr>
        <sz val="11"/>
        <rFont val="游ゴシック Medium"/>
        <family val="3"/>
        <charset val="128"/>
      </rPr>
      <t>改訂版</t>
    </r>
    <rPh sb="0" eb="1">
      <t>サカナ</t>
    </rPh>
    <rPh sb="2" eb="5">
      <t>カイテイバン</t>
    </rPh>
    <phoneticPr fontId="1"/>
  </si>
  <si>
    <r>
      <rPr>
        <sz val="11"/>
        <rFont val="游ゴシック Medium"/>
        <family val="3"/>
        <charset val="128"/>
      </rPr>
      <t>野外観察図鑑</t>
    </r>
    <r>
      <rPr>
        <sz val="11"/>
        <rFont val="Consolas"/>
        <family val="3"/>
      </rPr>
      <t>4</t>
    </r>
    <rPh sb="0" eb="2">
      <t>ヤガイ</t>
    </rPh>
    <rPh sb="2" eb="4">
      <t>カンサツ</t>
    </rPh>
    <rPh sb="4" eb="6">
      <t>ズカン</t>
    </rPh>
    <phoneticPr fontId="1"/>
  </si>
  <si>
    <r>
      <rPr>
        <sz val="11"/>
        <rFont val="游ゴシック Medium"/>
        <family val="3"/>
        <charset val="128"/>
      </rPr>
      <t>鳥</t>
    </r>
    <rPh sb="0" eb="1">
      <t>トリ</t>
    </rPh>
    <phoneticPr fontId="1"/>
  </si>
  <si>
    <r>
      <rPr>
        <sz val="11"/>
        <rFont val="游ゴシック Medium"/>
        <family val="3"/>
        <charset val="128"/>
      </rPr>
      <t>鳥</t>
    </r>
    <r>
      <rPr>
        <sz val="11"/>
        <rFont val="Consolas"/>
        <family val="3"/>
      </rPr>
      <t>/</t>
    </r>
    <r>
      <rPr>
        <sz val="11"/>
        <rFont val="游ゴシック Medium"/>
        <family val="3"/>
        <charset val="128"/>
      </rPr>
      <t>改訂版</t>
    </r>
    <rPh sb="0" eb="1">
      <t>トリ</t>
    </rPh>
    <rPh sb="2" eb="5">
      <t>カイテイバン</t>
    </rPh>
    <phoneticPr fontId="1"/>
  </si>
  <si>
    <r>
      <rPr>
        <sz val="11"/>
        <rFont val="游ゴシック Medium"/>
        <family val="3"/>
        <charset val="128"/>
      </rPr>
      <t>野外観察図鑑</t>
    </r>
    <r>
      <rPr>
        <sz val="11"/>
        <rFont val="Consolas"/>
        <family val="3"/>
      </rPr>
      <t>5</t>
    </r>
    <rPh sb="0" eb="2">
      <t>ヤガイ</t>
    </rPh>
    <rPh sb="2" eb="4">
      <t>カンサツ</t>
    </rPh>
    <rPh sb="4" eb="6">
      <t>ズカン</t>
    </rPh>
    <phoneticPr fontId="1"/>
  </si>
  <si>
    <r>
      <rPr>
        <sz val="11"/>
        <rFont val="游ゴシック Medium"/>
        <family val="3"/>
        <charset val="128"/>
      </rPr>
      <t>貝と水の生物</t>
    </r>
    <rPh sb="0" eb="1">
      <t>カイ</t>
    </rPh>
    <rPh sb="2" eb="3">
      <t>ミズ</t>
    </rPh>
    <rPh sb="4" eb="6">
      <t>セイブツ</t>
    </rPh>
    <phoneticPr fontId="1"/>
  </si>
  <si>
    <r>
      <rPr>
        <sz val="11"/>
        <rFont val="游ゴシック Medium"/>
        <family val="3"/>
        <charset val="128"/>
      </rPr>
      <t>貝と水の生物</t>
    </r>
    <r>
      <rPr>
        <sz val="11"/>
        <rFont val="Consolas"/>
        <family val="3"/>
      </rPr>
      <t>/</t>
    </r>
    <r>
      <rPr>
        <sz val="11"/>
        <rFont val="游ゴシック Medium"/>
        <family val="3"/>
        <charset val="128"/>
      </rPr>
      <t>改訂版</t>
    </r>
    <rPh sb="0" eb="1">
      <t>カイ</t>
    </rPh>
    <rPh sb="2" eb="3">
      <t>ミズ</t>
    </rPh>
    <rPh sb="4" eb="6">
      <t>セイブツ</t>
    </rPh>
    <rPh sb="7" eb="10">
      <t>カイテイバン</t>
    </rPh>
    <phoneticPr fontId="1"/>
  </si>
  <si>
    <r>
      <rPr>
        <sz val="11"/>
        <rFont val="游ゴシック Medium"/>
        <family val="3"/>
        <charset val="128"/>
      </rPr>
      <t>野外観察図鑑</t>
    </r>
    <r>
      <rPr>
        <sz val="11"/>
        <rFont val="Consolas"/>
        <family val="3"/>
      </rPr>
      <t>6</t>
    </r>
    <rPh sb="0" eb="2">
      <t>ヤガイ</t>
    </rPh>
    <rPh sb="2" eb="4">
      <t>カンサツ</t>
    </rPh>
    <rPh sb="4" eb="6">
      <t>ズカン</t>
    </rPh>
    <phoneticPr fontId="1"/>
  </si>
  <si>
    <r>
      <rPr>
        <sz val="11"/>
        <rFont val="游ゴシック Medium"/>
        <family val="3"/>
        <charset val="128"/>
      </rPr>
      <t>地球</t>
    </r>
    <rPh sb="0" eb="2">
      <t>チキュウ</t>
    </rPh>
    <phoneticPr fontId="1"/>
  </si>
  <si>
    <r>
      <rPr>
        <sz val="11"/>
        <rFont val="游ゴシック Medium"/>
        <family val="3"/>
        <charset val="128"/>
      </rPr>
      <t>地球</t>
    </r>
    <r>
      <rPr>
        <sz val="11"/>
        <rFont val="Consolas"/>
        <family val="3"/>
      </rPr>
      <t>/</t>
    </r>
    <r>
      <rPr>
        <sz val="11"/>
        <rFont val="游ゴシック Medium"/>
        <family val="3"/>
        <charset val="128"/>
      </rPr>
      <t>改訂版</t>
    </r>
    <rPh sb="0" eb="2">
      <t>チキュウ</t>
    </rPh>
    <rPh sb="3" eb="6">
      <t>カイテイバン</t>
    </rPh>
    <phoneticPr fontId="1"/>
  </si>
  <si>
    <r>
      <rPr>
        <sz val="11"/>
        <rFont val="游ゴシック Medium"/>
        <family val="3"/>
        <charset val="128"/>
      </rPr>
      <t>野外観察図鑑</t>
    </r>
    <r>
      <rPr>
        <sz val="11"/>
        <rFont val="Consolas"/>
        <family val="3"/>
      </rPr>
      <t>7</t>
    </r>
    <rPh sb="0" eb="2">
      <t>ヤガイ</t>
    </rPh>
    <rPh sb="2" eb="4">
      <t>カンサツ</t>
    </rPh>
    <rPh sb="4" eb="6">
      <t>ズカン</t>
    </rPh>
    <phoneticPr fontId="1"/>
  </si>
  <si>
    <r>
      <rPr>
        <sz val="11"/>
        <rFont val="游ゴシック Medium"/>
        <family val="3"/>
        <charset val="128"/>
      </rPr>
      <t>松井孝爾</t>
    </r>
    <rPh sb="0" eb="2">
      <t>マツイ</t>
    </rPh>
    <rPh sb="2" eb="4">
      <t>タカジ</t>
    </rPh>
    <phoneticPr fontId="1"/>
  </si>
  <si>
    <r>
      <rPr>
        <sz val="11"/>
        <rFont val="游ゴシック Medium"/>
        <family val="3"/>
        <charset val="128"/>
      </rPr>
      <t>著･画</t>
    </r>
    <rPh sb="0" eb="1">
      <t>チョ</t>
    </rPh>
    <rPh sb="2" eb="3">
      <t>ガ</t>
    </rPh>
    <phoneticPr fontId="1"/>
  </si>
  <si>
    <r>
      <t>R. Kinne</t>
    </r>
    <r>
      <rPr>
        <sz val="11"/>
        <rFont val="游ゴシック Medium"/>
        <family val="3"/>
        <charset val="128"/>
      </rPr>
      <t>･桜井敦史</t>
    </r>
    <rPh sb="0" eb="2">
      <t>ラス</t>
    </rPh>
    <rPh sb="3" eb="8">
      <t>キニー</t>
    </rPh>
    <rPh sb="9" eb="11">
      <t>サクライ</t>
    </rPh>
    <rPh sb="11" eb="13">
      <t>アツシ</t>
    </rPh>
    <phoneticPr fontId="1"/>
  </si>
  <si>
    <r>
      <rPr>
        <sz val="11"/>
        <rFont val="游ゴシック Medium"/>
        <family val="3"/>
        <charset val="128"/>
      </rPr>
      <t>カエルの世界</t>
    </r>
    <rPh sb="4" eb="6">
      <t>セカイ</t>
    </rPh>
    <phoneticPr fontId="1"/>
  </si>
  <si>
    <r>
      <rPr>
        <sz val="11"/>
        <rFont val="游ゴシック Medium"/>
        <family val="3"/>
        <charset val="128"/>
      </rPr>
      <t>カラー新書</t>
    </r>
    <r>
      <rPr>
        <sz val="11"/>
        <rFont val="Consolas"/>
        <family val="3"/>
      </rPr>
      <t>/43</t>
    </r>
    <rPh sb="3" eb="5">
      <t>シンショ</t>
    </rPh>
    <phoneticPr fontId="1"/>
  </si>
  <si>
    <r>
      <t>P7~12</t>
    </r>
    <r>
      <rPr>
        <sz val="11"/>
        <rFont val="游ゴシック Medium"/>
        <family val="3"/>
        <charset val="128"/>
      </rPr>
      <t>外れ</t>
    </r>
    <rPh sb="5" eb="6">
      <t>ハズ</t>
    </rPh>
    <phoneticPr fontId="1"/>
  </si>
  <si>
    <r>
      <rPr>
        <sz val="11"/>
        <rFont val="游ゴシック Medium"/>
        <family val="3"/>
        <charset val="128"/>
      </rPr>
      <t>ねずみ</t>
    </r>
    <phoneticPr fontId="1"/>
  </si>
  <si>
    <r>
      <rPr>
        <b/>
        <sz val="11"/>
        <color indexed="33"/>
        <rFont val="游ゴシック Medium"/>
        <family val="3"/>
        <charset val="128"/>
      </rPr>
      <t>ねずみの生活</t>
    </r>
    <rPh sb="4" eb="6">
      <t>セイカツ</t>
    </rPh>
    <phoneticPr fontId="1"/>
  </si>
  <si>
    <r>
      <rPr>
        <sz val="11"/>
        <rFont val="游ゴシック Medium"/>
        <family val="3"/>
        <charset val="128"/>
      </rPr>
      <t>岩波写真文庫</t>
    </r>
    <r>
      <rPr>
        <sz val="11"/>
        <rFont val="Consolas"/>
        <family val="3"/>
      </rPr>
      <t>/235</t>
    </r>
    <rPh sb="0" eb="2">
      <t>イワナミ</t>
    </rPh>
    <rPh sb="2" eb="4">
      <t>シャシン</t>
    </rPh>
    <rPh sb="4" eb="6">
      <t>ブンコ</t>
    </rPh>
    <phoneticPr fontId="1"/>
  </si>
  <si>
    <r>
      <rPr>
        <sz val="11"/>
        <rFont val="游ゴシック Medium"/>
        <family val="3"/>
        <charset val="128"/>
      </rPr>
      <t>千</t>
    </r>
    <r>
      <rPr>
        <sz val="11"/>
        <rFont val="Consolas"/>
        <family val="3"/>
      </rPr>
      <t xml:space="preserve"> </t>
    </r>
    <r>
      <rPr>
        <sz val="11"/>
        <rFont val="游ゴシック Medium"/>
        <family val="3"/>
        <charset val="128"/>
      </rPr>
      <t>宗室</t>
    </r>
    <rPh sb="0" eb="1">
      <t>セン</t>
    </rPh>
    <rPh sb="2" eb="4">
      <t>ソウシツ</t>
    </rPh>
    <phoneticPr fontId="1"/>
  </si>
  <si>
    <r>
      <rPr>
        <sz val="11"/>
        <rFont val="游ゴシック Medium"/>
        <family val="3"/>
        <charset val="128"/>
      </rPr>
      <t>炉のお点前</t>
    </r>
    <rPh sb="0" eb="1">
      <t>ロ</t>
    </rPh>
    <rPh sb="3" eb="5">
      <t>テマエ</t>
    </rPh>
    <phoneticPr fontId="1"/>
  </si>
  <si>
    <r>
      <rPr>
        <sz val="11"/>
        <rFont val="游ゴシック Medium"/>
        <family val="3"/>
        <charset val="128"/>
      </rPr>
      <t>淡交テキスト･ブック</t>
    </r>
    <r>
      <rPr>
        <sz val="11"/>
        <rFont val="Consolas"/>
        <family val="3"/>
      </rPr>
      <t>/07</t>
    </r>
    <rPh sb="0" eb="1">
      <t>タン</t>
    </rPh>
    <rPh sb="1" eb="2">
      <t>コウ</t>
    </rPh>
    <phoneticPr fontId="1"/>
  </si>
  <si>
    <r>
      <rPr>
        <sz val="11"/>
        <rFont val="游ゴシック Medium"/>
        <family val="3"/>
        <charset val="128"/>
      </rPr>
      <t>淡交社</t>
    </r>
    <rPh sb="0" eb="1">
      <t>タン</t>
    </rPh>
    <rPh sb="1" eb="2">
      <t>コウ</t>
    </rPh>
    <rPh sb="2" eb="3">
      <t>シャ</t>
    </rPh>
    <phoneticPr fontId="1"/>
  </si>
  <si>
    <r>
      <rPr>
        <sz val="11"/>
        <rFont val="游ゴシック Medium"/>
        <family val="3"/>
        <charset val="128"/>
      </rPr>
      <t>炉の炭点前</t>
    </r>
    <rPh sb="0" eb="1">
      <t>ロ</t>
    </rPh>
    <rPh sb="2" eb="3">
      <t>スミ</t>
    </rPh>
    <rPh sb="3" eb="5">
      <t>テマエ</t>
    </rPh>
    <phoneticPr fontId="1"/>
  </si>
  <si>
    <r>
      <rPr>
        <sz val="11"/>
        <rFont val="游ゴシック Medium"/>
        <family val="3"/>
        <charset val="128"/>
      </rPr>
      <t>淡交テキスト･ブック</t>
    </r>
    <r>
      <rPr>
        <sz val="11"/>
        <rFont val="Consolas"/>
        <family val="3"/>
      </rPr>
      <t>/08</t>
    </r>
    <rPh sb="0" eb="1">
      <t>タン</t>
    </rPh>
    <rPh sb="1" eb="2">
      <t>コウ</t>
    </rPh>
    <phoneticPr fontId="1"/>
  </si>
  <si>
    <r>
      <rPr>
        <sz val="11"/>
        <rFont val="游ゴシック Medium"/>
        <family val="3"/>
        <charset val="128"/>
      </rPr>
      <t>台目切のお点前</t>
    </r>
    <rPh sb="0" eb="2">
      <t>ダイメ</t>
    </rPh>
    <rPh sb="2" eb="3">
      <t>キリ</t>
    </rPh>
    <rPh sb="5" eb="7">
      <t>テマエ</t>
    </rPh>
    <phoneticPr fontId="1"/>
  </si>
  <si>
    <r>
      <rPr>
        <sz val="11"/>
        <rFont val="游ゴシック Medium"/>
        <family val="3"/>
        <charset val="128"/>
      </rPr>
      <t>淡交テキスト･ブック</t>
    </r>
    <r>
      <rPr>
        <sz val="11"/>
        <rFont val="Consolas"/>
        <family val="3"/>
      </rPr>
      <t>/11</t>
    </r>
    <rPh sb="0" eb="1">
      <t>タン</t>
    </rPh>
    <rPh sb="1" eb="2">
      <t>コウ</t>
    </rPh>
    <phoneticPr fontId="1"/>
  </si>
  <si>
    <r>
      <rPr>
        <sz val="11"/>
        <rFont val="游ゴシック Medium"/>
        <family val="3"/>
        <charset val="128"/>
      </rPr>
      <t>マクドナルドのハッピーセット</t>
    </r>
    <r>
      <rPr>
        <sz val="11"/>
        <rFont val="Consolas"/>
        <family val="3"/>
      </rPr>
      <t xml:space="preserve"> </t>
    </r>
    <r>
      <rPr>
        <sz val="11"/>
        <rFont val="游ゴシック Medium"/>
        <family val="3"/>
        <charset val="128"/>
      </rPr>
      <t>小学館の図鑑</t>
    </r>
    <r>
      <rPr>
        <sz val="11"/>
        <rFont val="Consolas"/>
        <family val="3"/>
      </rPr>
      <t xml:space="preserve"> NEO</t>
    </r>
    <rPh sb="15" eb="18">
      <t>ショウガクカン</t>
    </rPh>
    <rPh sb="19" eb="21">
      <t>ズカン</t>
    </rPh>
    <phoneticPr fontId="1"/>
  </si>
  <si>
    <r>
      <rPr>
        <sz val="11"/>
        <rFont val="游ゴシック Medium"/>
        <family val="3"/>
        <charset val="128"/>
      </rPr>
      <t>恐竜</t>
    </r>
    <rPh sb="0" eb="2">
      <t>キョウリュウ</t>
    </rPh>
    <phoneticPr fontId="1"/>
  </si>
  <si>
    <r>
      <rPr>
        <sz val="11"/>
        <rFont val="游ゴシック Medium"/>
        <family val="3"/>
        <charset val="128"/>
      </rPr>
      <t>マクドナルドのハッピーセット</t>
    </r>
    <phoneticPr fontId="1"/>
  </si>
  <si>
    <r>
      <rPr>
        <sz val="11"/>
        <rFont val="游ゴシック Medium"/>
        <family val="3"/>
        <charset val="128"/>
      </rPr>
      <t>図鑑</t>
    </r>
    <r>
      <rPr>
        <sz val="11"/>
        <rFont val="Consolas"/>
        <family val="3"/>
      </rPr>
      <t>/</t>
    </r>
    <r>
      <rPr>
        <sz val="11"/>
        <rFont val="游ゴシック Medium"/>
        <family val="3"/>
        <charset val="128"/>
      </rPr>
      <t>文学</t>
    </r>
    <rPh sb="0" eb="2">
      <t>ズカン</t>
    </rPh>
    <rPh sb="3" eb="5">
      <t>ブンガク</t>
    </rPh>
    <phoneticPr fontId="1"/>
  </si>
  <si>
    <r>
      <rPr>
        <sz val="11"/>
        <rFont val="游ゴシック Medium"/>
        <family val="3"/>
        <charset val="128"/>
      </rPr>
      <t>俳句</t>
    </r>
    <r>
      <rPr>
        <sz val="11"/>
        <rFont val="Consolas"/>
        <family val="3"/>
      </rPr>
      <t>α</t>
    </r>
    <r>
      <rPr>
        <sz val="11"/>
        <rFont val="游ゴシック Medium"/>
        <family val="3"/>
        <charset val="128"/>
      </rPr>
      <t>あるふぁ編集部</t>
    </r>
    <rPh sb="0" eb="2">
      <t>ハイク</t>
    </rPh>
    <rPh sb="2" eb="3">
      <t>アルファ</t>
    </rPh>
    <rPh sb="7" eb="10">
      <t>ヘンシュウブ</t>
    </rPh>
    <phoneticPr fontId="1"/>
  </si>
  <si>
    <r>
      <rPr>
        <sz val="11"/>
        <rFont val="游ゴシック Medium"/>
        <family val="3"/>
        <charset val="128"/>
      </rPr>
      <t>食の歳時記三百六十五日</t>
    </r>
    <rPh sb="0" eb="1">
      <t>ショク</t>
    </rPh>
    <rPh sb="2" eb="5">
      <t>サイジキ</t>
    </rPh>
    <rPh sb="5" eb="11">
      <t>サンビャクロクジュウゴニチ</t>
    </rPh>
    <phoneticPr fontId="1"/>
  </si>
  <si>
    <r>
      <rPr>
        <strike/>
        <sz val="11"/>
        <rFont val="游ゴシック Medium"/>
        <family val="3"/>
        <charset val="128"/>
      </rPr>
      <t>図鑑</t>
    </r>
    <rPh sb="0" eb="2">
      <t>ズカン</t>
    </rPh>
    <phoneticPr fontId="1"/>
  </si>
  <si>
    <r>
      <rPr>
        <strike/>
        <sz val="11"/>
        <rFont val="游ゴシック Medium"/>
        <family val="3"/>
        <charset val="128"/>
      </rPr>
      <t>多摩動物公園</t>
    </r>
    <rPh sb="0" eb="6">
      <t>タマドウブツコウエン</t>
    </rPh>
    <phoneticPr fontId="1"/>
  </si>
  <si>
    <r>
      <rPr>
        <strike/>
        <sz val="11"/>
        <rFont val="游ゴシック Medium"/>
        <family val="3"/>
        <charset val="128"/>
      </rPr>
      <t>昆虫カード</t>
    </r>
    <rPh sb="0" eb="2">
      <t>コンチュウ</t>
    </rPh>
    <rPh sb="2" eb="5">
      <t>card</t>
    </rPh>
    <phoneticPr fontId="1"/>
  </si>
  <si>
    <r>
      <rPr>
        <strike/>
        <sz val="11"/>
        <rFont val="游ゴシック Medium"/>
        <family val="3"/>
        <charset val="128"/>
      </rPr>
      <t>財団法人東京動物園協会</t>
    </r>
    <r>
      <rPr>
        <strike/>
        <sz val="11"/>
        <rFont val="Consolas"/>
        <family val="3"/>
      </rPr>
      <t>:</t>
    </r>
    <r>
      <rPr>
        <strike/>
        <sz val="11"/>
        <rFont val="游ゴシック Medium"/>
        <family val="3"/>
        <charset val="128"/>
      </rPr>
      <t>編集･発行</t>
    </r>
    <rPh sb="0" eb="4">
      <t>ザイダンホウジン</t>
    </rPh>
    <rPh sb="4" eb="6">
      <t>トウキョウ</t>
    </rPh>
    <rPh sb="6" eb="9">
      <t>ドウブツエン</t>
    </rPh>
    <rPh sb="9" eb="11">
      <t>キョウカイ</t>
    </rPh>
    <rPh sb="12" eb="14">
      <t>ヘンシュウ</t>
    </rPh>
    <rPh sb="15" eb="17">
      <t>ハッコウ</t>
    </rPh>
    <phoneticPr fontId="1"/>
  </si>
  <si>
    <r>
      <rPr>
        <strike/>
        <sz val="11"/>
        <rFont val="游ゴシック Medium"/>
        <family val="3"/>
        <charset val="128"/>
      </rPr>
      <t>上野動物公園</t>
    </r>
    <rPh sb="0" eb="2">
      <t>ウエノ</t>
    </rPh>
    <rPh sb="2" eb="4">
      <t>ドウブツ</t>
    </rPh>
    <rPh sb="4" eb="6">
      <t>コウエン</t>
    </rPh>
    <phoneticPr fontId="1"/>
  </si>
  <si>
    <r>
      <rPr>
        <strike/>
        <sz val="11"/>
        <rFont val="游ゴシック Medium"/>
        <family val="3"/>
        <charset val="128"/>
      </rPr>
      <t>両生類・爬虫類カード</t>
    </r>
    <rPh sb="0" eb="3">
      <t>リョウセイルイ</t>
    </rPh>
    <rPh sb="4" eb="7">
      <t>ハチュウルイ</t>
    </rPh>
    <rPh sb="7" eb="10">
      <t>card</t>
    </rPh>
    <phoneticPr fontId="1"/>
  </si>
  <si>
    <r>
      <rPr>
        <sz val="11"/>
        <rFont val="游ゴシック Medium"/>
        <family val="3"/>
        <charset val="128"/>
      </rPr>
      <t>ガリレオ工房</t>
    </r>
    <rPh sb="4" eb="6">
      <t>コウボウ</t>
    </rPh>
    <phoneticPr fontId="1"/>
  </si>
  <si>
    <r>
      <rPr>
        <sz val="11"/>
        <rFont val="游ゴシック Medium"/>
        <family val="3"/>
        <charset val="128"/>
      </rPr>
      <t>小学生の</t>
    </r>
    <r>
      <rPr>
        <sz val="11"/>
        <rFont val="Consolas"/>
        <family val="3"/>
      </rPr>
      <t xml:space="preserve"> </t>
    </r>
    <r>
      <rPr>
        <sz val="11"/>
        <rFont val="游ゴシック Medium"/>
        <family val="3"/>
        <charset val="128"/>
      </rPr>
      <t>実験</t>
    </r>
    <r>
      <rPr>
        <sz val="11"/>
        <rFont val="Consolas"/>
        <family val="3"/>
      </rPr>
      <t xml:space="preserve"> </t>
    </r>
    <r>
      <rPr>
        <sz val="11"/>
        <rFont val="游ゴシック Medium"/>
        <family val="3"/>
        <charset val="128"/>
      </rPr>
      <t>観察</t>
    </r>
    <r>
      <rPr>
        <sz val="11"/>
        <rFont val="Consolas"/>
        <family val="3"/>
      </rPr>
      <t xml:space="preserve"> </t>
    </r>
    <r>
      <rPr>
        <sz val="11"/>
        <rFont val="游ゴシック Medium"/>
        <family val="3"/>
        <charset val="128"/>
      </rPr>
      <t>工作</t>
    </r>
    <r>
      <rPr>
        <sz val="11"/>
        <rFont val="Consolas"/>
        <family val="3"/>
      </rPr>
      <t xml:space="preserve"> </t>
    </r>
    <r>
      <rPr>
        <sz val="11"/>
        <rFont val="游ゴシック Medium"/>
        <family val="3"/>
        <charset val="128"/>
      </rPr>
      <t>自由研究</t>
    </r>
    <r>
      <rPr>
        <sz val="11"/>
        <rFont val="Consolas"/>
        <family val="3"/>
      </rPr>
      <t xml:space="preserve"> </t>
    </r>
    <r>
      <rPr>
        <sz val="11"/>
        <rFont val="游ゴシック Medium"/>
        <family val="3"/>
        <charset val="128"/>
      </rPr>
      <t>科学チャレンジ編</t>
    </r>
    <rPh sb="0" eb="3">
      <t>ショウガクセイ</t>
    </rPh>
    <rPh sb="5" eb="7">
      <t>ジッケン</t>
    </rPh>
    <rPh sb="8" eb="10">
      <t>カンサツ</t>
    </rPh>
    <rPh sb="11" eb="13">
      <t>コウサク</t>
    </rPh>
    <rPh sb="14" eb="16">
      <t>ジユウ</t>
    </rPh>
    <rPh sb="16" eb="18">
      <t>ケンキュウ</t>
    </rPh>
    <rPh sb="19" eb="21">
      <t>カガク</t>
    </rPh>
    <rPh sb="26" eb="27">
      <t>ヘン</t>
    </rPh>
    <phoneticPr fontId="1"/>
  </si>
  <si>
    <r>
      <rPr>
        <sz val="11"/>
        <rFont val="游ゴシック Medium"/>
        <family val="3"/>
        <charset val="128"/>
      </rPr>
      <t>図鑑</t>
    </r>
    <r>
      <rPr>
        <sz val="11"/>
        <rFont val="Consolas"/>
        <family val="3"/>
      </rPr>
      <t>/</t>
    </r>
    <r>
      <rPr>
        <sz val="11"/>
        <rFont val="游ゴシック Medium"/>
        <family val="3"/>
        <charset val="128"/>
      </rPr>
      <t>絵本</t>
    </r>
    <rPh sb="0" eb="2">
      <t>ズカン</t>
    </rPh>
    <rPh sb="3" eb="5">
      <t>エホン</t>
    </rPh>
    <phoneticPr fontId="1"/>
  </si>
  <si>
    <r>
      <rPr>
        <sz val="11"/>
        <rFont val="游ゴシック Medium"/>
        <family val="3"/>
        <charset val="128"/>
      </rPr>
      <t>はたらく</t>
    </r>
    <r>
      <rPr>
        <sz val="11"/>
        <rFont val="Consolas"/>
        <family val="3"/>
      </rPr>
      <t xml:space="preserve"> </t>
    </r>
    <r>
      <rPr>
        <sz val="11"/>
        <rFont val="游ゴシック Medium"/>
        <family val="3"/>
        <charset val="128"/>
      </rPr>
      <t>くるま</t>
    </r>
    <r>
      <rPr>
        <sz val="11"/>
        <rFont val="Consolas"/>
        <family val="3"/>
      </rPr>
      <t xml:space="preserve"> 300</t>
    </r>
    <phoneticPr fontId="1"/>
  </si>
  <si>
    <r>
      <rPr>
        <sz val="11"/>
        <rFont val="游ゴシック Medium"/>
        <family val="3"/>
        <charset val="128"/>
      </rPr>
      <t>げんき</t>
    </r>
    <r>
      <rPr>
        <sz val="11"/>
        <rFont val="Consolas"/>
        <family val="3"/>
      </rPr>
      <t>Super</t>
    </r>
    <r>
      <rPr>
        <sz val="11"/>
        <rFont val="游ゴシック Medium"/>
        <family val="3"/>
        <charset val="128"/>
      </rPr>
      <t>かんさつ絵本⑤</t>
    </r>
    <rPh sb="3" eb="8">
      <t>スーパー</t>
    </rPh>
    <rPh sb="12" eb="14">
      <t>エホン</t>
    </rPh>
    <phoneticPr fontId="1"/>
  </si>
  <si>
    <r>
      <rPr>
        <sz val="11"/>
        <rFont val="游ゴシック Medium"/>
        <family val="3"/>
        <charset val="128"/>
      </rPr>
      <t>石澤良昭</t>
    </r>
    <rPh sb="0" eb="2">
      <t>イシザワ</t>
    </rPh>
    <rPh sb="2" eb="4">
      <t>ヨシアキ</t>
    </rPh>
    <phoneticPr fontId="1"/>
  </si>
  <si>
    <r>
      <rPr>
        <sz val="11"/>
        <rFont val="游ゴシック Medium"/>
        <family val="3"/>
        <charset val="128"/>
      </rPr>
      <t>鈴木幸男</t>
    </r>
    <rPh sb="0" eb="2">
      <t>スズキ</t>
    </rPh>
    <rPh sb="2" eb="4">
      <t>ユキオ</t>
    </rPh>
    <phoneticPr fontId="1"/>
  </si>
  <si>
    <r>
      <t>ANGKOR/</t>
    </r>
    <r>
      <rPr>
        <sz val="11"/>
        <rFont val="游ゴシック Medium"/>
        <family val="3"/>
        <charset val="128"/>
      </rPr>
      <t>アジアの至宝</t>
    </r>
    <r>
      <rPr>
        <sz val="11"/>
        <rFont val="Consolas"/>
        <family val="3"/>
      </rPr>
      <t xml:space="preserve"> </t>
    </r>
    <r>
      <rPr>
        <sz val="11"/>
        <rFont val="游ゴシック Medium"/>
        <family val="3"/>
        <charset val="128"/>
      </rPr>
      <t>アンコール遺跡</t>
    </r>
    <rPh sb="0" eb="6">
      <t>アンコール</t>
    </rPh>
    <rPh sb="11" eb="13">
      <t>シホウ</t>
    </rPh>
    <rPh sb="19" eb="21">
      <t>イセキ</t>
    </rPh>
    <phoneticPr fontId="1"/>
  </si>
  <si>
    <r>
      <rPr>
        <sz val="11"/>
        <rFont val="游ゴシック Medium"/>
        <family val="3"/>
        <charset val="128"/>
      </rPr>
      <t>今川幸雄</t>
    </r>
    <r>
      <rPr>
        <sz val="11"/>
        <rFont val="Consolas"/>
        <family val="3"/>
      </rPr>
      <t>/</t>
    </r>
    <r>
      <rPr>
        <sz val="11"/>
        <rFont val="游ゴシック Medium"/>
        <family val="3"/>
        <charset val="128"/>
      </rPr>
      <t>川瀬生郎</t>
    </r>
    <r>
      <rPr>
        <sz val="11"/>
        <rFont val="Consolas"/>
        <family val="3"/>
      </rPr>
      <t>/</t>
    </r>
    <r>
      <rPr>
        <sz val="11"/>
        <rFont val="游ゴシック Medium"/>
        <family val="3"/>
        <charset val="128"/>
      </rPr>
      <t>山田基久</t>
    </r>
    <rPh sb="0" eb="2">
      <t>イマガワ</t>
    </rPh>
    <rPh sb="2" eb="4">
      <t>ユキオ</t>
    </rPh>
    <rPh sb="5" eb="7">
      <t>カワセ</t>
    </rPh>
    <rPh sb="7" eb="9">
      <t>イクオ</t>
    </rPh>
    <rPh sb="10" eb="12">
      <t>ヤマダ</t>
    </rPh>
    <rPh sb="12" eb="14">
      <t>モトヒサ</t>
    </rPh>
    <phoneticPr fontId="1"/>
  </si>
  <si>
    <r>
      <rPr>
        <sz val="11"/>
        <rFont val="游ゴシック Medium"/>
        <family val="3"/>
        <charset val="128"/>
      </rPr>
      <t>アンコールの遺跡</t>
    </r>
    <r>
      <rPr>
        <sz val="11"/>
        <rFont val="Consolas"/>
        <family val="3"/>
      </rPr>
      <t xml:space="preserve"> </t>
    </r>
    <r>
      <rPr>
        <sz val="11"/>
        <rFont val="游ゴシック Medium"/>
        <family val="3"/>
        <charset val="128"/>
      </rPr>
      <t>カンボジアの文化と芸術</t>
    </r>
    <rPh sb="6" eb="8">
      <t>イセキ</t>
    </rPh>
    <rPh sb="15" eb="17">
      <t>ブンカ</t>
    </rPh>
    <rPh sb="18" eb="20">
      <t>ゲイジュツ</t>
    </rPh>
    <phoneticPr fontId="1"/>
  </si>
  <si>
    <r>
      <rPr>
        <sz val="11"/>
        <rFont val="游ゴシック Medium"/>
        <family val="3"/>
        <charset val="128"/>
      </rPr>
      <t>霞ヶ関出版</t>
    </r>
    <rPh sb="0" eb="3">
      <t>カスミガセキ</t>
    </rPh>
    <rPh sb="3" eb="5">
      <t>シュッパン</t>
    </rPh>
    <phoneticPr fontId="1"/>
  </si>
  <si>
    <r>
      <rPr>
        <sz val="11"/>
        <rFont val="游ゴシック Medium"/>
        <family val="3"/>
        <charset val="128"/>
      </rPr>
      <t>寺山修司</t>
    </r>
    <rPh sb="0" eb="2">
      <t>テラヤマ</t>
    </rPh>
    <rPh sb="2" eb="4">
      <t>シュウジ</t>
    </rPh>
    <phoneticPr fontId="1"/>
  </si>
  <si>
    <r>
      <rPr>
        <sz val="11"/>
        <rFont val="游ゴシック Medium"/>
        <family val="3"/>
        <charset val="128"/>
      </rPr>
      <t>実験映画</t>
    </r>
    <r>
      <rPr>
        <sz val="11"/>
        <rFont val="Consolas"/>
        <family val="3"/>
      </rPr>
      <t>Catalogue</t>
    </r>
    <rPh sb="0" eb="2">
      <t>ジッケン</t>
    </rPh>
    <rPh sb="2" eb="4">
      <t>エイガ</t>
    </rPh>
    <rPh sb="4" eb="13">
      <t>カタログ</t>
    </rPh>
    <phoneticPr fontId="1"/>
  </si>
  <si>
    <r>
      <rPr>
        <sz val="11"/>
        <rFont val="游ゴシック Medium"/>
        <family val="3"/>
        <charset val="128"/>
      </rPr>
      <t>特別展</t>
    </r>
    <r>
      <rPr>
        <sz val="11"/>
        <rFont val="Consolas"/>
        <family val="3"/>
      </rPr>
      <t>&lt;</t>
    </r>
    <r>
      <rPr>
        <sz val="11"/>
        <rFont val="游ゴシック Medium"/>
        <family val="3"/>
        <charset val="128"/>
      </rPr>
      <t>オセアニアの民族芸術</t>
    </r>
    <r>
      <rPr>
        <sz val="11"/>
        <rFont val="Consolas"/>
        <family val="3"/>
      </rPr>
      <t>&gt;</t>
    </r>
    <rPh sb="0" eb="3">
      <t>トクベツテン</t>
    </rPh>
    <rPh sb="10" eb="12">
      <t>ミンゾク</t>
    </rPh>
    <rPh sb="12" eb="14">
      <t>ゲイジュツ</t>
    </rPh>
    <phoneticPr fontId="1"/>
  </si>
  <si>
    <r>
      <rPr>
        <sz val="11"/>
        <rFont val="游ゴシック Medium"/>
        <family val="3"/>
        <charset val="128"/>
      </rPr>
      <t>精霊たちの造形</t>
    </r>
    <r>
      <rPr>
        <sz val="11"/>
        <rFont val="Consolas"/>
        <family val="3"/>
      </rPr>
      <t>/The Image of Spirit</t>
    </r>
    <rPh sb="0" eb="2">
      <t>セイレイ</t>
    </rPh>
    <rPh sb="5" eb="7">
      <t>ゾウケイ</t>
    </rPh>
    <phoneticPr fontId="1"/>
  </si>
  <si>
    <r>
      <rPr>
        <sz val="11"/>
        <rFont val="游ゴシック Medium"/>
        <family val="3"/>
        <charset val="128"/>
      </rPr>
      <t>鶴ヶ島市</t>
    </r>
    <r>
      <rPr>
        <sz val="11"/>
        <rFont val="Consolas"/>
        <family val="3"/>
      </rPr>
      <t>/</t>
    </r>
    <r>
      <rPr>
        <sz val="11"/>
        <rFont val="游ゴシック Medium"/>
        <family val="3"/>
        <charset val="128"/>
      </rPr>
      <t>鶴ヶ島市教員委員会</t>
    </r>
    <rPh sb="0" eb="4">
      <t>ツルガシマシ</t>
    </rPh>
    <rPh sb="5" eb="9">
      <t>ツルガシマシ</t>
    </rPh>
    <rPh sb="9" eb="11">
      <t>キョウイン</t>
    </rPh>
    <rPh sb="11" eb="14">
      <t>イインカイ</t>
    </rPh>
    <phoneticPr fontId="1"/>
  </si>
  <si>
    <r>
      <rPr>
        <sz val="11"/>
        <rFont val="游ゴシック Medium"/>
        <family val="3"/>
        <charset val="128"/>
      </rPr>
      <t>鶴ヶ島市立中央図書館</t>
    </r>
    <rPh sb="0" eb="5">
      <t>ツルガシマシリツ</t>
    </rPh>
    <rPh sb="5" eb="7">
      <t>チュウオウ</t>
    </rPh>
    <rPh sb="7" eb="10">
      <t>トショカン</t>
    </rPh>
    <phoneticPr fontId="1"/>
  </si>
  <si>
    <r>
      <rPr>
        <sz val="11"/>
        <rFont val="游ゴシック Medium"/>
        <family val="3"/>
        <charset val="128"/>
      </rPr>
      <t>ティグリス</t>
    </r>
    <r>
      <rPr>
        <sz val="11"/>
        <rFont val="Consolas"/>
        <family val="3"/>
      </rPr>
      <t>=</t>
    </r>
    <r>
      <rPr>
        <sz val="11"/>
        <rFont val="游ゴシック Medium"/>
        <family val="3"/>
        <charset val="128"/>
      </rPr>
      <t>ユーフラテス文明展</t>
    </r>
    <rPh sb="12" eb="14">
      <t>ブンメイ</t>
    </rPh>
    <rPh sb="14" eb="15">
      <t>テン</t>
    </rPh>
    <phoneticPr fontId="1"/>
  </si>
  <si>
    <r>
      <rPr>
        <sz val="11"/>
        <rFont val="游ゴシック Medium"/>
        <family val="3"/>
        <charset val="128"/>
      </rPr>
      <t>中日新聞本社</t>
    </r>
    <rPh sb="0" eb="2">
      <t>チュウニチ</t>
    </rPh>
    <rPh sb="2" eb="4">
      <t>シンブン</t>
    </rPh>
    <rPh sb="4" eb="6">
      <t>ホンシャ</t>
    </rPh>
    <phoneticPr fontId="1"/>
  </si>
  <si>
    <r>
      <rPr>
        <sz val="11"/>
        <rFont val="游ゴシック Medium"/>
        <family val="3"/>
        <charset val="128"/>
      </rPr>
      <t>中華人民共和国出土文物展</t>
    </r>
    <rPh sb="0" eb="2">
      <t>チュウカ</t>
    </rPh>
    <rPh sb="2" eb="4">
      <t>ジンミン</t>
    </rPh>
    <rPh sb="4" eb="6">
      <t>キョウワ</t>
    </rPh>
    <rPh sb="6" eb="7">
      <t>コク</t>
    </rPh>
    <rPh sb="7" eb="9">
      <t>シュツド</t>
    </rPh>
    <rPh sb="9" eb="11">
      <t>ブンブツ</t>
    </rPh>
    <rPh sb="11" eb="12">
      <t>テン</t>
    </rPh>
    <phoneticPr fontId="1"/>
  </si>
  <si>
    <r>
      <rPr>
        <sz val="11"/>
        <rFont val="游ゴシック Medium"/>
        <family val="3"/>
        <charset val="128"/>
      </rPr>
      <t>開館記念</t>
    </r>
    <rPh sb="0" eb="2">
      <t>カイカン</t>
    </rPh>
    <rPh sb="2" eb="4">
      <t>キネン</t>
    </rPh>
    <phoneticPr fontId="1"/>
  </si>
  <si>
    <r>
      <rPr>
        <sz val="11"/>
        <rFont val="游ゴシック Medium"/>
        <family val="3"/>
        <charset val="128"/>
      </rPr>
      <t>名古屋市博物館</t>
    </r>
    <rPh sb="0" eb="4">
      <t>ナゴヤシ</t>
    </rPh>
    <rPh sb="4" eb="7">
      <t>ハクブツカン</t>
    </rPh>
    <phoneticPr fontId="1"/>
  </si>
  <si>
    <r>
      <rPr>
        <sz val="11"/>
        <rFont val="游ゴシック Medium"/>
        <family val="3"/>
        <charset val="128"/>
      </rPr>
      <t>財団法人</t>
    </r>
    <r>
      <rPr>
        <sz val="11"/>
        <rFont val="Consolas"/>
        <family val="3"/>
      </rPr>
      <t xml:space="preserve"> </t>
    </r>
    <r>
      <rPr>
        <sz val="11"/>
        <rFont val="游ゴシック Medium"/>
        <family val="3"/>
        <charset val="128"/>
      </rPr>
      <t>大阪市文化財協会</t>
    </r>
    <rPh sb="0" eb="2">
      <t>ザイダン</t>
    </rPh>
    <rPh sb="2" eb="4">
      <t>ホウジン</t>
    </rPh>
    <rPh sb="5" eb="8">
      <t>オオサカシ</t>
    </rPh>
    <rPh sb="8" eb="11">
      <t>ブンカザイ</t>
    </rPh>
    <rPh sb="11" eb="13">
      <t>キョウカイ</t>
    </rPh>
    <phoneticPr fontId="1"/>
  </si>
  <si>
    <r>
      <rPr>
        <sz val="11"/>
        <rFont val="游ゴシック Medium"/>
        <family val="3"/>
        <charset val="128"/>
      </rPr>
      <t>大阪出土の桃山陶磁</t>
    </r>
    <r>
      <rPr>
        <sz val="11"/>
        <rFont val="Consolas"/>
        <family val="3"/>
      </rPr>
      <t xml:space="preserve"> II</t>
    </r>
    <rPh sb="0" eb="2">
      <t>オオサカ</t>
    </rPh>
    <rPh sb="2" eb="4">
      <t>シュツド</t>
    </rPh>
    <rPh sb="5" eb="7">
      <t>モモヤマ</t>
    </rPh>
    <rPh sb="7" eb="9">
      <t>トウジ</t>
    </rPh>
    <phoneticPr fontId="1"/>
  </si>
  <si>
    <r>
      <rPr>
        <sz val="11"/>
        <rFont val="游ゴシック Medium"/>
        <family val="3"/>
        <charset val="128"/>
      </rPr>
      <t>博物館</t>
    </r>
    <r>
      <rPr>
        <sz val="11"/>
        <rFont val="Consolas"/>
        <family val="3"/>
      </rPr>
      <t xml:space="preserve"> </t>
    </r>
    <r>
      <rPr>
        <sz val="11"/>
        <rFont val="游ゴシック Medium"/>
        <family val="3"/>
        <charset val="128"/>
      </rPr>
      <t>明治村</t>
    </r>
    <rPh sb="0" eb="3">
      <t>ハクブツカン</t>
    </rPh>
    <rPh sb="4" eb="6">
      <t>メイジ</t>
    </rPh>
    <rPh sb="6" eb="7">
      <t>ムラ</t>
    </rPh>
    <phoneticPr fontId="1"/>
  </si>
  <si>
    <r>
      <rPr>
        <sz val="11"/>
        <rFont val="游ゴシック Medium"/>
        <family val="3"/>
        <charset val="128"/>
      </rPr>
      <t>明治村</t>
    </r>
    <rPh sb="0" eb="2">
      <t>メイジ</t>
    </rPh>
    <rPh sb="2" eb="3">
      <t>ムラ</t>
    </rPh>
    <phoneticPr fontId="1"/>
  </si>
  <si>
    <r>
      <rPr>
        <sz val="11"/>
        <rFont val="游ゴシック Medium"/>
        <family val="3"/>
        <charset val="128"/>
      </rPr>
      <t>知多のまつり</t>
    </r>
    <rPh sb="0" eb="2">
      <t>チタ</t>
    </rPh>
    <phoneticPr fontId="1"/>
  </si>
  <si>
    <r>
      <t>Bali</t>
    </r>
    <r>
      <rPr>
        <sz val="11"/>
        <rFont val="游ゴシック Medium"/>
        <family val="3"/>
        <charset val="128"/>
      </rPr>
      <t>島プリアタン歌舞団</t>
    </r>
    <r>
      <rPr>
        <sz val="11"/>
        <rFont val="Consolas"/>
        <family val="3"/>
      </rPr>
      <t>/The Balinese Ensenble from Peliatan</t>
    </r>
    <rPh sb="0" eb="5">
      <t>バリトウ</t>
    </rPh>
    <rPh sb="10" eb="13">
      <t>カブダン</t>
    </rPh>
    <phoneticPr fontId="1"/>
  </si>
  <si>
    <r>
      <t>Bali</t>
    </r>
    <r>
      <rPr>
        <sz val="11"/>
        <rFont val="游ゴシック Medium"/>
        <family val="3"/>
        <charset val="128"/>
      </rPr>
      <t>島プリアタン歌舞団</t>
    </r>
    <r>
      <rPr>
        <sz val="11"/>
        <rFont val="Consolas"/>
        <family val="3"/>
      </rPr>
      <t xml:space="preserve"> 1985/</t>
    </r>
    <r>
      <rPr>
        <sz val="11"/>
        <rFont val="游ゴシック Medium"/>
        <family val="3"/>
        <charset val="128"/>
      </rPr>
      <t>日本公演</t>
    </r>
    <r>
      <rPr>
        <sz val="11"/>
        <rFont val="Consolas"/>
        <family val="3"/>
      </rPr>
      <t>Program</t>
    </r>
    <rPh sb="0" eb="5">
      <t>バリトウ</t>
    </rPh>
    <rPh sb="10" eb="13">
      <t>カブダン</t>
    </rPh>
    <rPh sb="19" eb="21">
      <t>ニホン</t>
    </rPh>
    <rPh sb="21" eb="23">
      <t>コウエン</t>
    </rPh>
    <rPh sb="23" eb="30">
      <t>プログラム</t>
    </rPh>
    <phoneticPr fontId="1"/>
  </si>
  <si>
    <r>
      <rPr>
        <sz val="11"/>
        <rFont val="游ゴシック Medium"/>
        <family val="3"/>
        <charset val="128"/>
      </rPr>
      <t>日本文化財団</t>
    </r>
    <rPh sb="0" eb="4">
      <t>ニホンブンカ</t>
    </rPh>
    <rPh sb="4" eb="6">
      <t>ザイダン</t>
    </rPh>
    <phoneticPr fontId="1"/>
  </si>
  <si>
    <r>
      <rPr>
        <sz val="11"/>
        <rFont val="游ゴシック Medium"/>
        <family val="3"/>
        <charset val="128"/>
      </rPr>
      <t>近畿電気工事</t>
    </r>
    <rPh sb="0" eb="2">
      <t>キンキ</t>
    </rPh>
    <rPh sb="2" eb="4">
      <t>デンキ</t>
    </rPh>
    <rPh sb="4" eb="6">
      <t>コウジ</t>
    </rPh>
    <phoneticPr fontId="1"/>
  </si>
  <si>
    <r>
      <rPr>
        <sz val="11"/>
        <rFont val="游ゴシック Medium"/>
        <family val="3"/>
        <charset val="128"/>
      </rPr>
      <t>日本万国博覧会を支える</t>
    </r>
    <rPh sb="0" eb="2">
      <t>ニホン</t>
    </rPh>
    <rPh sb="2" eb="4">
      <t>バンコク</t>
    </rPh>
    <rPh sb="4" eb="7">
      <t>ハクランカイ</t>
    </rPh>
    <rPh sb="8" eb="9">
      <t>ササ</t>
    </rPh>
    <phoneticPr fontId="1"/>
  </si>
  <si>
    <r>
      <rPr>
        <sz val="11"/>
        <rFont val="游ゴシック Medium"/>
        <family val="3"/>
        <charset val="128"/>
      </rPr>
      <t>秀樹実家</t>
    </r>
    <r>
      <rPr>
        <sz val="11"/>
        <rFont val="Consolas"/>
        <family val="3"/>
      </rPr>
      <t>/</t>
    </r>
    <r>
      <rPr>
        <sz val="11"/>
        <rFont val="游ゴシック Medium"/>
        <family val="3"/>
        <charset val="128"/>
      </rPr>
      <t>同封、生活産業館のシャチハタ万博記念スタンプ帳、ばあちゃんメモ付</t>
    </r>
    <rPh sb="0" eb="2">
      <t>ヒデキ</t>
    </rPh>
    <rPh sb="2" eb="4">
      <t>ジッカ</t>
    </rPh>
    <rPh sb="5" eb="7">
      <t>ドウフウ</t>
    </rPh>
    <rPh sb="8" eb="10">
      <t>セイカツ</t>
    </rPh>
    <rPh sb="10" eb="12">
      <t>サンギョウ</t>
    </rPh>
    <rPh sb="12" eb="13">
      <t>カン</t>
    </rPh>
    <rPh sb="19" eb="21">
      <t>バンパク</t>
    </rPh>
    <rPh sb="21" eb="23">
      <t>キネン</t>
    </rPh>
    <rPh sb="27" eb="28">
      <t>チョウ</t>
    </rPh>
    <rPh sb="36" eb="37">
      <t>ツキ</t>
    </rPh>
    <phoneticPr fontId="1"/>
  </si>
  <si>
    <r>
      <rPr>
        <sz val="11"/>
        <rFont val="游ゴシック Medium"/>
        <family val="3"/>
        <charset val="128"/>
      </rPr>
      <t>神田祭</t>
    </r>
    <rPh sb="0" eb="2">
      <t>カンダ</t>
    </rPh>
    <rPh sb="2" eb="3">
      <t>サイ</t>
    </rPh>
    <phoneticPr fontId="1"/>
  </si>
  <si>
    <r>
      <rPr>
        <sz val="11"/>
        <rFont val="游ゴシック Medium"/>
        <family val="3"/>
        <charset val="128"/>
      </rPr>
      <t>河口湖自動車博物館</t>
    </r>
    <r>
      <rPr>
        <sz val="11"/>
        <rFont val="Consolas"/>
        <family val="3"/>
      </rPr>
      <t>/</t>
    </r>
    <r>
      <rPr>
        <sz val="11"/>
        <rFont val="游ゴシック Medium"/>
        <family val="3"/>
        <charset val="128"/>
      </rPr>
      <t>河口湖飛行館</t>
    </r>
    <rPh sb="0" eb="3">
      <t>カワグチコ</t>
    </rPh>
    <rPh sb="3" eb="6">
      <t>ジドウシャ</t>
    </rPh>
    <rPh sb="6" eb="9">
      <t>ハクブツカン</t>
    </rPh>
    <rPh sb="10" eb="13">
      <t>カワグチコ</t>
    </rPh>
    <rPh sb="13" eb="15">
      <t>ヒコウ</t>
    </rPh>
    <rPh sb="15" eb="16">
      <t>カン</t>
    </rPh>
    <phoneticPr fontId="1"/>
  </si>
  <si>
    <r>
      <rPr>
        <sz val="11"/>
        <rFont val="游ゴシック Medium"/>
        <family val="3"/>
        <charset val="128"/>
      </rPr>
      <t>陸上自衛隊</t>
    </r>
    <rPh sb="0" eb="2">
      <t>リクジョウ</t>
    </rPh>
    <rPh sb="2" eb="5">
      <t>ジエイタイ</t>
    </rPh>
    <phoneticPr fontId="1"/>
  </si>
  <si>
    <r>
      <rPr>
        <sz val="11"/>
        <rFont val="游ゴシック Medium"/>
        <family val="3"/>
        <charset val="128"/>
      </rPr>
      <t>富士総合火力演習</t>
    </r>
    <r>
      <rPr>
        <sz val="11"/>
        <rFont val="Consolas"/>
        <family val="3"/>
      </rPr>
      <t xml:space="preserve"> </t>
    </r>
    <r>
      <rPr>
        <sz val="11"/>
        <rFont val="游ゴシック Medium"/>
        <family val="3"/>
        <charset val="128"/>
      </rPr>
      <t>平成</t>
    </r>
    <r>
      <rPr>
        <sz val="11"/>
        <rFont val="Consolas"/>
        <family val="3"/>
      </rPr>
      <t>21</t>
    </r>
    <r>
      <rPr>
        <sz val="11"/>
        <rFont val="游ゴシック Medium"/>
        <family val="3"/>
        <charset val="128"/>
      </rPr>
      <t>年度</t>
    </r>
    <r>
      <rPr>
        <sz val="11"/>
        <rFont val="Consolas"/>
        <family val="3"/>
      </rPr>
      <t xml:space="preserve"> / Fuji Power 2009 in Fuji / </t>
    </r>
    <r>
      <rPr>
        <sz val="11"/>
        <rFont val="游ゴシック Medium"/>
        <family val="3"/>
        <charset val="128"/>
      </rPr>
      <t>号外</t>
    </r>
    <rPh sb="0" eb="2">
      <t>フジ</t>
    </rPh>
    <rPh sb="2" eb="4">
      <t>ソウゴウ</t>
    </rPh>
    <rPh sb="4" eb="6">
      <t>カリョク</t>
    </rPh>
    <rPh sb="6" eb="8">
      <t>エンシュウ</t>
    </rPh>
    <rPh sb="9" eb="11">
      <t>ヘイセイ</t>
    </rPh>
    <rPh sb="13" eb="15">
      <t>ネンド</t>
    </rPh>
    <rPh sb="44" eb="46">
      <t>ゴウガイ</t>
    </rPh>
    <phoneticPr fontId="1"/>
  </si>
  <si>
    <r>
      <rPr>
        <strike/>
        <sz val="11"/>
        <rFont val="游ゴシック Medium"/>
        <family val="3"/>
        <charset val="128"/>
      </rPr>
      <t>ベンチリー</t>
    </r>
    <r>
      <rPr>
        <strike/>
        <sz val="11"/>
        <rFont val="Consolas"/>
        <family val="3"/>
      </rPr>
      <t>,Peter</t>
    </r>
    <rPh sb="6" eb="11">
      <t>ビーター</t>
    </rPh>
    <phoneticPr fontId="1"/>
  </si>
  <si>
    <r>
      <rPr>
        <strike/>
        <sz val="11"/>
        <rFont val="游ゴシック Medium"/>
        <family val="3"/>
        <charset val="128"/>
      </rPr>
      <t>松竹</t>
    </r>
    <rPh sb="0" eb="2">
      <t>ショウチク</t>
    </rPh>
    <phoneticPr fontId="1"/>
  </si>
  <si>
    <r>
      <rPr>
        <strike/>
        <sz val="11"/>
        <rFont val="游ゴシック Medium"/>
        <family val="3"/>
        <charset val="128"/>
      </rPr>
      <t>森村誠一</t>
    </r>
    <rPh sb="0" eb="2">
      <t>モリムラ</t>
    </rPh>
    <rPh sb="2" eb="4">
      <t>セイイチ</t>
    </rPh>
    <phoneticPr fontId="1"/>
  </si>
  <si>
    <r>
      <rPr>
        <strike/>
        <sz val="11"/>
        <rFont val="游ゴシック Medium"/>
        <family val="3"/>
        <charset val="128"/>
      </rPr>
      <t>佐藤純弥</t>
    </r>
    <rPh sb="0" eb="2">
      <t>サトウ</t>
    </rPh>
    <phoneticPr fontId="1"/>
  </si>
  <si>
    <r>
      <rPr>
        <strike/>
        <sz val="11"/>
        <rFont val="游ゴシック Medium"/>
        <family val="3"/>
        <charset val="128"/>
      </rPr>
      <t>人間の証明</t>
    </r>
    <rPh sb="0" eb="2">
      <t>ニンゲン</t>
    </rPh>
    <rPh sb="3" eb="5">
      <t>ショウメイ</t>
    </rPh>
    <phoneticPr fontId="1"/>
  </si>
  <si>
    <r>
      <rPr>
        <strike/>
        <sz val="11"/>
        <rFont val="游ゴシック Medium"/>
        <family val="3"/>
        <charset val="128"/>
      </rPr>
      <t>角川春樹事務所</t>
    </r>
    <rPh sb="0" eb="2">
      <t>カドカワ</t>
    </rPh>
    <rPh sb="2" eb="4">
      <t>ハルキ</t>
    </rPh>
    <rPh sb="4" eb="6">
      <t>ジム</t>
    </rPh>
    <rPh sb="6" eb="7">
      <t>ショ</t>
    </rPh>
    <phoneticPr fontId="1"/>
  </si>
  <si>
    <r>
      <rPr>
        <strike/>
        <sz val="11"/>
        <rFont val="游ゴシック Medium"/>
        <family val="3"/>
        <charset val="128"/>
      </rPr>
      <t>東映</t>
    </r>
    <rPh sb="0" eb="2">
      <t>トウエイ</t>
    </rPh>
    <phoneticPr fontId="1"/>
  </si>
  <si>
    <r>
      <rPr>
        <strike/>
        <sz val="11"/>
        <rFont val="游ゴシック Medium"/>
        <family val="3"/>
        <charset val="128"/>
      </rPr>
      <t>東宝</t>
    </r>
    <rPh sb="0" eb="2">
      <t>トウホウ</t>
    </rPh>
    <phoneticPr fontId="1"/>
  </si>
  <si>
    <r>
      <t>Death on the Nile/</t>
    </r>
    <r>
      <rPr>
        <strike/>
        <sz val="11"/>
        <rFont val="游ゴシック Medium"/>
        <family val="3"/>
        <charset val="128"/>
      </rPr>
      <t>ナイル殺人事件</t>
    </r>
    <rPh sb="21" eb="23">
      <t>サツジン</t>
    </rPh>
    <rPh sb="23" eb="25">
      <t>ジケン</t>
    </rPh>
    <phoneticPr fontId="1"/>
  </si>
  <si>
    <r>
      <rPr>
        <strike/>
        <sz val="11"/>
        <rFont val="游ゴシック Medium"/>
        <family val="3"/>
        <charset val="128"/>
      </rPr>
      <t>東宝東和</t>
    </r>
    <rPh sb="0" eb="2">
      <t>トウホウ</t>
    </rPh>
    <rPh sb="2" eb="4">
      <t>トウワ</t>
    </rPh>
    <phoneticPr fontId="1"/>
  </si>
  <si>
    <r>
      <rPr>
        <sz val="11"/>
        <rFont val="游ゴシック Medium"/>
        <family val="3"/>
        <charset val="128"/>
      </rPr>
      <t>シネ・リーブル池袋</t>
    </r>
    <r>
      <rPr>
        <sz val="11"/>
        <rFont val="Consolas"/>
        <family val="3"/>
      </rPr>
      <t>2</t>
    </r>
    <rPh sb="7" eb="9">
      <t>イケブクロ</t>
    </rPh>
    <phoneticPr fontId="1"/>
  </si>
  <si>
    <r>
      <rPr>
        <sz val="11"/>
        <rFont val="游ゴシック Medium"/>
        <family val="3"/>
        <charset val="128"/>
      </rPr>
      <t>シネ・リーブル池袋</t>
    </r>
    <phoneticPr fontId="1"/>
  </si>
  <si>
    <r>
      <rPr>
        <sz val="11"/>
        <rFont val="游ゴシック Medium"/>
        <family val="3"/>
        <charset val="128"/>
      </rPr>
      <t>ヘイフラワーとキルトシュー</t>
    </r>
    <r>
      <rPr>
        <sz val="11"/>
        <rFont val="Consolas"/>
        <family val="3"/>
      </rPr>
      <t>/Hayflower and Quiltshoe</t>
    </r>
    <phoneticPr fontId="1"/>
  </si>
  <si>
    <r>
      <rPr>
        <sz val="11"/>
        <rFont val="游ゴシック Medium"/>
        <family val="3"/>
        <charset val="128"/>
      </rPr>
      <t>シネ・リーブル池袋</t>
    </r>
    <rPh sb="7" eb="9">
      <t>イケブクロ</t>
    </rPh>
    <phoneticPr fontId="1"/>
  </si>
  <si>
    <r>
      <t>2005/11/</t>
    </r>
    <r>
      <rPr>
        <sz val="11"/>
        <rFont val="游ゴシック Medium"/>
        <family val="3"/>
        <charset val="128"/>
      </rPr>
      <t>　　　　　　</t>
    </r>
    <phoneticPr fontId="1"/>
  </si>
  <si>
    <r>
      <rPr>
        <sz val="11"/>
        <rFont val="游ゴシック Medium"/>
        <family val="3"/>
        <charset val="128"/>
      </rPr>
      <t>リロ</t>
    </r>
    <r>
      <rPr>
        <sz val="11"/>
        <rFont val="Consolas"/>
        <family val="3"/>
      </rPr>
      <t xml:space="preserve"> &amp; </t>
    </r>
    <r>
      <rPr>
        <sz val="11"/>
        <rFont val="游ゴシック Medium"/>
        <family val="3"/>
        <charset val="128"/>
      </rPr>
      <t>スティッチ</t>
    </r>
    <phoneticPr fontId="1"/>
  </si>
  <si>
    <r>
      <rPr>
        <sz val="11"/>
        <rFont val="游ゴシック Medium"/>
        <family val="3"/>
        <charset val="128"/>
      </rPr>
      <t>ウルトラマンコスモス</t>
    </r>
    <phoneticPr fontId="1"/>
  </si>
  <si>
    <r>
      <rPr>
        <sz val="11"/>
        <rFont val="游ゴシック Medium"/>
        <family val="3"/>
        <charset val="128"/>
      </rPr>
      <t>中沢</t>
    </r>
    <r>
      <rPr>
        <sz val="11"/>
        <rFont val="Consolas"/>
        <family val="3"/>
      </rPr>
      <t xml:space="preserve"> </t>
    </r>
    <r>
      <rPr>
        <sz val="11"/>
        <rFont val="游ゴシック Medium"/>
        <family val="3"/>
        <charset val="128"/>
      </rPr>
      <t>けい</t>
    </r>
    <rPh sb="0" eb="2">
      <t>ナカザワ</t>
    </rPh>
    <phoneticPr fontId="1"/>
  </si>
  <si>
    <r>
      <rPr>
        <sz val="11"/>
        <rFont val="游ゴシック Medium"/>
        <family val="3"/>
        <charset val="128"/>
      </rPr>
      <t>海を感じる時</t>
    </r>
    <rPh sb="0" eb="6">
      <t>ウミ</t>
    </rPh>
    <phoneticPr fontId="1"/>
  </si>
  <si>
    <r>
      <rPr>
        <sz val="11"/>
        <rFont val="游ゴシック Medium"/>
        <family val="3"/>
        <charset val="128"/>
      </rPr>
      <t>映画館</t>
    </r>
    <rPh sb="0" eb="3">
      <t>エイガカ</t>
    </rPh>
    <phoneticPr fontId="1"/>
  </si>
  <si>
    <r>
      <rPr>
        <sz val="11"/>
        <rFont val="游ゴシック Medium"/>
        <family val="3"/>
        <charset val="128"/>
      </rPr>
      <t>現代ぷろだくしょん</t>
    </r>
    <rPh sb="0" eb="2">
      <t>ゲンダイ</t>
    </rPh>
    <phoneticPr fontId="1"/>
  </si>
  <si>
    <r>
      <rPr>
        <sz val="11"/>
        <rFont val="游ゴシック Medium"/>
        <family val="3"/>
        <charset val="128"/>
      </rPr>
      <t>山田</t>
    </r>
    <r>
      <rPr>
        <sz val="11"/>
        <rFont val="Consolas"/>
        <family val="3"/>
      </rPr>
      <t xml:space="preserve"> </t>
    </r>
    <r>
      <rPr>
        <sz val="11"/>
        <rFont val="游ゴシック Medium"/>
        <family val="3"/>
        <charset val="128"/>
      </rPr>
      <t>火砂子</t>
    </r>
    <rPh sb="0" eb="2">
      <t>ヤマダ</t>
    </rPh>
    <rPh sb="3" eb="6">
      <t>ヒサコ</t>
    </rPh>
    <phoneticPr fontId="1"/>
  </si>
  <si>
    <r>
      <rPr>
        <sz val="11"/>
        <rFont val="游ゴシック Medium"/>
        <family val="3"/>
        <charset val="128"/>
      </rPr>
      <t>劇映画</t>
    </r>
    <r>
      <rPr>
        <sz val="11"/>
        <rFont val="Consolas"/>
        <family val="3"/>
      </rPr>
      <t xml:space="preserve"> </t>
    </r>
    <r>
      <rPr>
        <sz val="11"/>
        <rFont val="游ゴシック Medium"/>
        <family val="3"/>
        <charset val="128"/>
      </rPr>
      <t>母</t>
    </r>
    <r>
      <rPr>
        <sz val="11"/>
        <rFont val="Consolas"/>
        <family val="3"/>
      </rPr>
      <t xml:space="preserve"> </t>
    </r>
    <r>
      <rPr>
        <sz val="11"/>
        <rFont val="游ゴシック Medium"/>
        <family val="3"/>
        <charset val="128"/>
      </rPr>
      <t>小林多喜二の母の物語</t>
    </r>
    <rPh sb="0" eb="3">
      <t>ゲキエイガ</t>
    </rPh>
    <rPh sb="4" eb="5">
      <t>ハハ</t>
    </rPh>
    <rPh sb="6" eb="8">
      <t>コバヤシ</t>
    </rPh>
    <rPh sb="8" eb="11">
      <t>タキジ</t>
    </rPh>
    <rPh sb="12" eb="13">
      <t>ハハ</t>
    </rPh>
    <rPh sb="14" eb="16">
      <t>モノガタリ</t>
    </rPh>
    <phoneticPr fontId="1"/>
  </si>
  <si>
    <r>
      <rPr>
        <sz val="11"/>
        <rFont val="游ゴシック Medium"/>
        <family val="3"/>
        <charset val="128"/>
      </rPr>
      <t>淀橋教会</t>
    </r>
    <rPh sb="0" eb="4">
      <t>ヨドバシキョウカイ</t>
    </rPh>
    <phoneticPr fontId="1"/>
  </si>
  <si>
    <r>
      <rPr>
        <sz val="11"/>
        <rFont val="游ゴシック Medium"/>
        <family val="3"/>
        <charset val="128"/>
      </rPr>
      <t>ラストタンゴ・イン・パリ、他、</t>
    </r>
    <r>
      <rPr>
        <sz val="11"/>
        <rFont val="Consolas"/>
        <family val="3"/>
      </rPr>
      <t>Yoko</t>
    </r>
    <r>
      <rPr>
        <sz val="11"/>
        <rFont val="游ゴシック Medium"/>
        <family val="3"/>
        <charset val="128"/>
      </rPr>
      <t>所有の数冊</t>
    </r>
    <rPh sb="13" eb="14">
      <t>ホカ</t>
    </rPh>
    <rPh sb="19" eb="21">
      <t>ショユウ</t>
    </rPh>
    <rPh sb="22" eb="24">
      <t>スウサツ</t>
    </rPh>
    <phoneticPr fontId="1"/>
  </si>
  <si>
    <r>
      <rPr>
        <sz val="11"/>
        <rFont val="游ゴシック Medium"/>
        <family val="3"/>
        <charset val="128"/>
      </rPr>
      <t>シネマスクエアとうきゅう</t>
    </r>
    <phoneticPr fontId="1"/>
  </si>
  <si>
    <r>
      <rPr>
        <u/>
        <sz val="11"/>
        <color indexed="12"/>
        <rFont val="游ゴシック Medium"/>
        <family val="3"/>
        <charset val="128"/>
      </rPr>
      <t>建築知識</t>
    </r>
    <r>
      <rPr>
        <u/>
        <sz val="11"/>
        <color indexed="12"/>
        <rFont val="Consolas"/>
        <family val="3"/>
      </rPr>
      <t>12</t>
    </r>
    <r>
      <rPr>
        <u/>
        <sz val="11"/>
        <color indexed="12"/>
        <rFont val="游ゴシック Medium"/>
        <family val="3"/>
        <charset val="128"/>
      </rPr>
      <t>月増刊号</t>
    </r>
    <rPh sb="0" eb="2">
      <t>ケンチク</t>
    </rPh>
    <rPh sb="2" eb="4">
      <t>チシキ</t>
    </rPh>
    <rPh sb="6" eb="7">
      <t>ガツ</t>
    </rPh>
    <rPh sb="7" eb="10">
      <t>ゾウカンゴウ</t>
    </rPh>
    <phoneticPr fontId="1"/>
  </si>
  <si>
    <r>
      <rPr>
        <u/>
        <sz val="11"/>
        <color indexed="12"/>
        <rFont val="游ゴシック Medium"/>
        <family val="3"/>
        <charset val="128"/>
      </rPr>
      <t>建築企画開発</t>
    </r>
    <r>
      <rPr>
        <u/>
        <sz val="11"/>
        <color indexed="12"/>
        <rFont val="Consolas"/>
        <family val="3"/>
      </rPr>
      <t>Manual</t>
    </r>
    <rPh sb="0" eb="2">
      <t>ケンチク</t>
    </rPh>
    <rPh sb="2" eb="4">
      <t>キカク</t>
    </rPh>
    <rPh sb="4" eb="6">
      <t>カイハツ</t>
    </rPh>
    <rPh sb="6" eb="12">
      <t>マニュアル</t>
    </rPh>
    <phoneticPr fontId="1"/>
  </si>
  <si>
    <r>
      <t>Communication System/</t>
    </r>
    <r>
      <rPr>
        <sz val="11"/>
        <rFont val="游ゴシック Medium"/>
        <family val="3"/>
        <charset val="128"/>
      </rPr>
      <t>㈱</t>
    </r>
    <rPh sb="0" eb="20">
      <t>コミュニケーション　システム</t>
    </rPh>
    <phoneticPr fontId="1"/>
  </si>
  <si>
    <r>
      <rPr>
        <sz val="11"/>
        <rFont val="游ゴシック Medium"/>
        <family val="3"/>
        <charset val="128"/>
      </rPr>
      <t>高橋秀樹が写真付で載っとる。</t>
    </r>
    <rPh sb="0" eb="2">
      <t>タカハシ</t>
    </rPh>
    <rPh sb="2" eb="4">
      <t>ヒデキ</t>
    </rPh>
    <rPh sb="5" eb="7">
      <t>シャシン</t>
    </rPh>
    <rPh sb="7" eb="8">
      <t>ツキ</t>
    </rPh>
    <rPh sb="9" eb="10">
      <t>ノ</t>
    </rPh>
    <phoneticPr fontId="1"/>
  </si>
  <si>
    <r>
      <rPr>
        <sz val="11"/>
        <rFont val="游ゴシック Medium"/>
        <family val="3"/>
        <charset val="128"/>
      </rPr>
      <t>㈱</t>
    </r>
    <r>
      <rPr>
        <sz val="11"/>
        <rFont val="Consolas"/>
        <family val="3"/>
      </rPr>
      <t>ARTDAYS</t>
    </r>
    <rPh sb="1" eb="8">
      <t>アートデイズ</t>
    </rPh>
    <phoneticPr fontId="1"/>
  </si>
  <si>
    <r>
      <rPr>
        <sz val="8"/>
        <rFont val="游ゴシック Medium"/>
        <family val="3"/>
        <charset val="128"/>
      </rPr>
      <t>週刊</t>
    </r>
    <r>
      <rPr>
        <sz val="8"/>
        <rFont val="Consolas"/>
        <family val="3"/>
      </rPr>
      <t xml:space="preserve"> </t>
    </r>
    <r>
      <rPr>
        <sz val="11"/>
        <rFont val="游ゴシック Medium"/>
        <family val="3"/>
        <charset val="128"/>
      </rPr>
      <t>日本の美をめぐる</t>
    </r>
    <rPh sb="0" eb="2">
      <t>シュウカン</t>
    </rPh>
    <rPh sb="3" eb="5">
      <t>ニホン</t>
    </rPh>
    <rPh sb="6" eb="7">
      <t>ビ</t>
    </rPh>
    <phoneticPr fontId="1"/>
  </si>
  <si>
    <r>
      <rPr>
        <sz val="11"/>
        <rFont val="游ゴシック Medium"/>
        <family val="3"/>
        <charset val="128"/>
      </rPr>
      <t>視覚の魔術師</t>
    </r>
    <r>
      <rPr>
        <sz val="11"/>
        <rFont val="Consolas"/>
        <family val="3"/>
      </rPr>
      <t xml:space="preserve"> </t>
    </r>
    <r>
      <rPr>
        <sz val="11"/>
        <rFont val="游ゴシック Medium"/>
        <family val="3"/>
        <charset val="128"/>
      </rPr>
      <t>北斎</t>
    </r>
    <rPh sb="0" eb="2">
      <t>シカク</t>
    </rPh>
    <rPh sb="3" eb="6">
      <t>マジュツシ</t>
    </rPh>
    <rPh sb="7" eb="9">
      <t>ホクサイ</t>
    </rPh>
    <phoneticPr fontId="1"/>
  </si>
  <si>
    <r>
      <t>no.1/</t>
    </r>
    <r>
      <rPr>
        <sz val="11"/>
        <rFont val="游ゴシック Medium"/>
        <family val="3"/>
        <charset val="128"/>
      </rPr>
      <t>江戸</t>
    </r>
    <r>
      <rPr>
        <sz val="11"/>
        <rFont val="Consolas"/>
        <family val="3"/>
      </rPr>
      <t>13/</t>
    </r>
    <r>
      <rPr>
        <sz val="11"/>
        <rFont val="游ゴシック Medium"/>
        <family val="3"/>
        <charset val="128"/>
      </rPr>
      <t>小学館ウイークリーブック</t>
    </r>
    <rPh sb="5" eb="7">
      <t>エド</t>
    </rPh>
    <rPh sb="10" eb="13">
      <t>ショウガクカン</t>
    </rPh>
    <phoneticPr fontId="1"/>
  </si>
  <si>
    <r>
      <rPr>
        <sz val="11"/>
        <rFont val="游ゴシック Medium"/>
        <family val="3"/>
        <charset val="128"/>
      </rPr>
      <t>雑誌</t>
    </r>
    <r>
      <rPr>
        <sz val="11"/>
        <rFont val="Consolas"/>
        <family val="3"/>
      </rPr>
      <t>/</t>
    </r>
    <r>
      <rPr>
        <sz val="11"/>
        <rFont val="游ゴシック Medium"/>
        <family val="3"/>
        <charset val="128"/>
      </rPr>
      <t>準新書</t>
    </r>
    <rPh sb="0" eb="2">
      <t>ザッシ</t>
    </rPh>
    <rPh sb="3" eb="4">
      <t>ジュン</t>
    </rPh>
    <rPh sb="4" eb="6">
      <t>シンショ</t>
    </rPh>
    <phoneticPr fontId="1"/>
  </si>
  <si>
    <r>
      <rPr>
        <sz val="11"/>
        <rFont val="游ゴシック Medium"/>
        <family val="3"/>
        <charset val="128"/>
      </rPr>
      <t>芸術新潮</t>
    </r>
    <rPh sb="0" eb="2">
      <t>ゲイジュツ</t>
    </rPh>
    <rPh sb="2" eb="4">
      <t>シンチョウ</t>
    </rPh>
    <phoneticPr fontId="1"/>
  </si>
  <si>
    <r>
      <rPr>
        <sz val="11"/>
        <rFont val="游ゴシック Medium"/>
        <family val="3"/>
        <charset val="128"/>
      </rPr>
      <t>ナチスが捺した頽廃芸術の烙印</t>
    </r>
    <rPh sb="4" eb="5">
      <t>オ</t>
    </rPh>
    <rPh sb="7" eb="9">
      <t>タイハイ</t>
    </rPh>
    <rPh sb="9" eb="11">
      <t>ゲイジュツ</t>
    </rPh>
    <rPh sb="12" eb="14">
      <t>ラクイン</t>
    </rPh>
    <phoneticPr fontId="1"/>
  </si>
  <si>
    <r>
      <t>2008/03/</t>
    </r>
    <r>
      <rPr>
        <sz val="11"/>
        <rFont val="游ゴシック Medium"/>
        <family val="3"/>
        <charset val="128"/>
      </rPr>
      <t>上旬</t>
    </r>
    <rPh sb="8" eb="10">
      <t>ジョウジュン</t>
    </rPh>
    <phoneticPr fontId="1"/>
  </si>
  <si>
    <r>
      <rPr>
        <b/>
        <sz val="11"/>
        <color indexed="33"/>
        <rFont val="游ゴシック Medium"/>
        <family val="3"/>
        <charset val="128"/>
      </rPr>
      <t>現代美術をぶっ飛ばす！病める芸術家たち</t>
    </r>
    <rPh sb="0" eb="4">
      <t>ゲンダイビジュツ</t>
    </rPh>
    <rPh sb="7" eb="8">
      <t>ト</t>
    </rPh>
    <rPh sb="11" eb="12">
      <t>ヤ</t>
    </rPh>
    <rPh sb="14" eb="17">
      <t>ゲイジュツカ</t>
    </rPh>
    <phoneticPr fontId="1"/>
  </si>
  <si>
    <r>
      <t>Ono Yoko</t>
    </r>
    <r>
      <rPr>
        <sz val="11"/>
        <rFont val="游ゴシック Medium"/>
        <family val="3"/>
        <charset val="128"/>
      </rPr>
      <t>個展の記事もあり</t>
    </r>
    <rPh sb="0" eb="8">
      <t>オノ　ヨーコ</t>
    </rPh>
    <rPh sb="8" eb="10">
      <t>コテン</t>
    </rPh>
    <rPh sb="11" eb="13">
      <t>キジ</t>
    </rPh>
    <phoneticPr fontId="1"/>
  </si>
  <si>
    <r>
      <rPr>
        <b/>
        <sz val="11"/>
        <color indexed="33"/>
        <rFont val="游ゴシック Medium"/>
        <family val="3"/>
        <charset val="128"/>
      </rPr>
      <t>伊藤晴雨</t>
    </r>
    <rPh sb="0" eb="2">
      <t>イトウ</t>
    </rPh>
    <rPh sb="2" eb="4">
      <t>セイウ</t>
    </rPh>
    <phoneticPr fontId="1"/>
  </si>
  <si>
    <r>
      <rPr>
        <sz val="11"/>
        <rFont val="游ゴシック Medium"/>
        <family val="3"/>
        <charset val="128"/>
      </rPr>
      <t>巨匠にもポルノグラフィ</t>
    </r>
    <rPh sb="0" eb="2">
      <t>キョショウ</t>
    </rPh>
    <phoneticPr fontId="1"/>
  </si>
  <si>
    <r>
      <rPr>
        <sz val="11"/>
        <rFont val="游ゴシック Medium"/>
        <family val="3"/>
        <charset val="128"/>
      </rPr>
      <t>岡本太郎</t>
    </r>
    <rPh sb="0" eb="2">
      <t>オカモト</t>
    </rPh>
    <rPh sb="2" eb="4">
      <t>タロウ</t>
    </rPh>
    <phoneticPr fontId="1"/>
  </si>
  <si>
    <r>
      <rPr>
        <sz val="11"/>
        <rFont val="游ゴシック Medium"/>
        <family val="3"/>
        <charset val="128"/>
      </rPr>
      <t>ここ掘れ、東京大学</t>
    </r>
    <rPh sb="2" eb="3">
      <t>ホ</t>
    </rPh>
    <rPh sb="5" eb="7">
      <t>トウキョウ</t>
    </rPh>
    <rPh sb="7" eb="9">
      <t>ダイガク</t>
    </rPh>
    <phoneticPr fontId="1"/>
  </si>
  <si>
    <r>
      <rPr>
        <u/>
        <sz val="11"/>
        <color indexed="12"/>
        <rFont val="游ゴシック Medium"/>
        <family val="3"/>
        <charset val="128"/>
      </rPr>
      <t>特集・北の民族</t>
    </r>
    <r>
      <rPr>
        <u/>
        <sz val="11"/>
        <color indexed="12"/>
        <rFont val="Consolas"/>
        <family val="3"/>
      </rPr>
      <t xml:space="preserve"> </t>
    </r>
    <r>
      <rPr>
        <u/>
        <sz val="11"/>
        <color indexed="12"/>
        <rFont val="游ゴシック Medium"/>
        <family val="3"/>
        <charset val="128"/>
      </rPr>
      <t>アイヌに学ぼう</t>
    </r>
    <rPh sb="0" eb="2">
      <t>トクシュウ</t>
    </rPh>
    <rPh sb="3" eb="4">
      <t>キタ</t>
    </rPh>
    <rPh sb="5" eb="7">
      <t>ミンゾク</t>
    </rPh>
    <rPh sb="12" eb="13">
      <t>マナ</t>
    </rPh>
    <phoneticPr fontId="1"/>
  </si>
  <si>
    <r>
      <rPr>
        <sz val="11"/>
        <rFont val="游ゴシック Medium"/>
        <family val="3"/>
        <charset val="128"/>
      </rPr>
      <t>写真家</t>
    </r>
    <r>
      <rPr>
        <sz val="11"/>
        <rFont val="Consolas"/>
        <family val="3"/>
      </rPr>
      <t>:</t>
    </r>
    <r>
      <rPr>
        <sz val="11"/>
        <rFont val="游ゴシック Medium"/>
        <family val="3"/>
        <charset val="128"/>
      </rPr>
      <t>白汚</t>
    </r>
    <r>
      <rPr>
        <sz val="11"/>
        <rFont val="Consolas"/>
        <family val="3"/>
      </rPr>
      <t xml:space="preserve"> </t>
    </r>
    <r>
      <rPr>
        <sz val="11"/>
        <rFont val="游ゴシック Medium"/>
        <family val="3"/>
        <charset val="128"/>
      </rPr>
      <t>零の</t>
    </r>
    <r>
      <rPr>
        <sz val="11"/>
        <rFont val="Consolas"/>
        <family val="3"/>
      </rPr>
      <t xml:space="preserve"> [</t>
    </r>
    <r>
      <rPr>
        <sz val="11"/>
        <rFont val="游ゴシック Medium"/>
        <family val="3"/>
        <charset val="128"/>
      </rPr>
      <t>素晴らしき穴人生</t>
    </r>
    <r>
      <rPr>
        <sz val="11"/>
        <rFont val="Consolas"/>
        <family val="3"/>
      </rPr>
      <t>] 106</t>
    </r>
    <r>
      <rPr>
        <sz val="11"/>
        <rFont val="游ゴシック Medium"/>
        <family val="3"/>
        <charset val="128"/>
      </rPr>
      <t>～</t>
    </r>
    <r>
      <rPr>
        <sz val="11"/>
        <rFont val="Consolas"/>
        <family val="3"/>
      </rPr>
      <t>107</t>
    </r>
    <r>
      <rPr>
        <sz val="11"/>
        <rFont val="游ゴシック Medium"/>
        <family val="3"/>
        <charset val="128"/>
      </rPr>
      <t>ページに、</t>
    </r>
    <r>
      <rPr>
        <sz val="11"/>
        <rFont val="Consolas"/>
        <family val="3"/>
      </rPr>
      <t>[</t>
    </r>
    <r>
      <rPr>
        <sz val="11"/>
        <rFont val="游ゴシック Medium"/>
        <family val="3"/>
        <charset val="128"/>
      </rPr>
      <t>人類の始まりには住居だった洞穴に今風家族を配した。</t>
    </r>
    <r>
      <rPr>
        <sz val="11"/>
        <rFont val="Consolas"/>
        <family val="3"/>
      </rPr>
      <t>]</t>
    </r>
    <r>
      <rPr>
        <sz val="11"/>
        <rFont val="游ゴシック Medium"/>
        <family val="3"/>
        <charset val="128"/>
      </rPr>
      <t>ということで、伊藤洋子・高橋秀樹・まほまほ</t>
    </r>
    <r>
      <rPr>
        <sz val="11"/>
        <rFont val="Consolas"/>
        <family val="3"/>
      </rPr>
      <t xml:space="preserve"> </t>
    </r>
    <r>
      <rPr>
        <sz val="11"/>
        <rFont val="游ゴシック Medium"/>
        <family val="3"/>
        <charset val="128"/>
      </rPr>
      <t>の写真が掲載されています。</t>
    </r>
    <rPh sb="0" eb="3">
      <t>シャシンカ</t>
    </rPh>
    <rPh sb="4" eb="6">
      <t>シラオ</t>
    </rPh>
    <rPh sb="7" eb="8">
      <t>レイ</t>
    </rPh>
    <rPh sb="11" eb="13">
      <t>スバ</t>
    </rPh>
    <rPh sb="16" eb="17">
      <t>アナ</t>
    </rPh>
    <rPh sb="17" eb="19">
      <t>ジンセイ</t>
    </rPh>
    <rPh sb="34" eb="36">
      <t>ジンルイ</t>
    </rPh>
    <rPh sb="37" eb="38">
      <t>ハジ</t>
    </rPh>
    <rPh sb="42" eb="44">
      <t>ジュウキョ</t>
    </rPh>
    <rPh sb="47" eb="49">
      <t>ドウケツ</t>
    </rPh>
    <rPh sb="50" eb="52">
      <t>イマフウ</t>
    </rPh>
    <rPh sb="52" eb="54">
      <t>カゾク</t>
    </rPh>
    <rPh sb="55" eb="56">
      <t>ハイ</t>
    </rPh>
    <rPh sb="67" eb="69">
      <t>イトウ</t>
    </rPh>
    <rPh sb="69" eb="71">
      <t>ヨウコ</t>
    </rPh>
    <rPh sb="72" eb="74">
      <t>タカハシ</t>
    </rPh>
    <rPh sb="74" eb="76">
      <t>ヒデキ</t>
    </rPh>
    <rPh sb="83" eb="85">
      <t>シャシン</t>
    </rPh>
    <rPh sb="86" eb="88">
      <t>ケイサイ</t>
    </rPh>
    <phoneticPr fontId="1"/>
  </si>
  <si>
    <r>
      <rPr>
        <sz val="11"/>
        <rFont val="游ゴシック Medium"/>
        <family val="3"/>
        <charset val="128"/>
      </rPr>
      <t>ルドルフ</t>
    </r>
    <r>
      <rPr>
        <sz val="11"/>
        <rFont val="Consolas"/>
        <family val="3"/>
      </rPr>
      <t>2</t>
    </r>
    <r>
      <rPr>
        <sz val="11"/>
        <rFont val="游ゴシック Medium"/>
        <family val="3"/>
        <charset val="128"/>
      </rPr>
      <t>世</t>
    </r>
    <r>
      <rPr>
        <sz val="11"/>
        <rFont val="Consolas"/>
        <family val="3"/>
      </rPr>
      <t>/Kaiser Rudolf II</t>
    </r>
    <rPh sb="5" eb="6">
      <t>セイ</t>
    </rPh>
    <phoneticPr fontId="1"/>
  </si>
  <si>
    <r>
      <rPr>
        <sz val="11"/>
        <rFont val="游ゴシック Medium"/>
        <family val="3"/>
        <charset val="128"/>
      </rPr>
      <t>憂愁の皇帝</t>
    </r>
    <r>
      <rPr>
        <sz val="11"/>
        <rFont val="Consolas"/>
        <family val="3"/>
      </rPr>
      <t xml:space="preserve"> </t>
    </r>
    <r>
      <rPr>
        <sz val="11"/>
        <rFont val="游ゴシック Medium"/>
        <family val="3"/>
        <charset val="128"/>
      </rPr>
      <t>ルドルフ</t>
    </r>
    <r>
      <rPr>
        <sz val="11"/>
        <rFont val="Consolas"/>
        <family val="3"/>
      </rPr>
      <t>2</t>
    </r>
    <r>
      <rPr>
        <sz val="11"/>
        <rFont val="游ゴシック Medium"/>
        <family val="3"/>
        <charset val="128"/>
      </rPr>
      <t>世</t>
    </r>
    <r>
      <rPr>
        <sz val="11"/>
        <rFont val="Consolas"/>
        <family val="3"/>
      </rPr>
      <t xml:space="preserve"> </t>
    </r>
    <r>
      <rPr>
        <sz val="11"/>
        <rFont val="游ゴシック Medium"/>
        <family val="3"/>
        <charset val="128"/>
      </rPr>
      <t>驚異の美術コレクション</t>
    </r>
    <r>
      <rPr>
        <sz val="11"/>
        <rFont val="Consolas"/>
        <family val="3"/>
      </rPr>
      <t xml:space="preserve">/Kaiser Rudolf </t>
    </r>
    <r>
      <rPr>
        <sz val="11"/>
        <rFont val="游ゴシック Medium"/>
        <family val="3"/>
        <charset val="128"/>
      </rPr>
      <t>Ⅱ</t>
    </r>
    <rPh sb="0" eb="2">
      <t>ユウシュウ</t>
    </rPh>
    <rPh sb="3" eb="5">
      <t>コウテイ</t>
    </rPh>
    <rPh sb="11" eb="12">
      <t>セイ</t>
    </rPh>
    <rPh sb="13" eb="15">
      <t>キョウイ</t>
    </rPh>
    <rPh sb="16" eb="18">
      <t>ビジュツ</t>
    </rPh>
    <phoneticPr fontId="1"/>
  </si>
  <si>
    <r>
      <rPr>
        <sz val="11"/>
        <rFont val="游ゴシック Medium"/>
        <family val="3"/>
        <charset val="128"/>
      </rPr>
      <t>手塚治虫</t>
    </r>
    <rPh sb="0" eb="2">
      <t>テヅカ</t>
    </rPh>
    <rPh sb="2" eb="4">
      <t>オサム</t>
    </rPh>
    <phoneticPr fontId="1"/>
  </si>
  <si>
    <r>
      <rPr>
        <sz val="11"/>
        <rFont val="游ゴシック Medium"/>
        <family val="3"/>
        <charset val="128"/>
      </rPr>
      <t>手塚治虫を知るための</t>
    </r>
    <r>
      <rPr>
        <sz val="11"/>
        <rFont val="Consolas"/>
        <family val="3"/>
      </rPr>
      <t xml:space="preserve">Q&amp;A100 </t>
    </r>
    <r>
      <rPr>
        <sz val="11"/>
        <rFont val="游ゴシック Medium"/>
        <family val="3"/>
        <charset val="128"/>
      </rPr>
      <t>生誕</t>
    </r>
    <r>
      <rPr>
        <sz val="11"/>
        <rFont val="Consolas"/>
        <family val="3"/>
      </rPr>
      <t>80</t>
    </r>
    <r>
      <rPr>
        <sz val="11"/>
        <rFont val="游ゴシック Medium"/>
        <family val="3"/>
        <charset val="128"/>
      </rPr>
      <t>周年記念</t>
    </r>
    <rPh sb="0" eb="2">
      <t>テヅカ</t>
    </rPh>
    <rPh sb="2" eb="4">
      <t>オサム</t>
    </rPh>
    <rPh sb="5" eb="6">
      <t>シ</t>
    </rPh>
    <rPh sb="17" eb="19">
      <t>セイタン</t>
    </rPh>
    <rPh sb="21" eb="23">
      <t>シュウネン</t>
    </rPh>
    <rPh sb="23" eb="25">
      <t>キネン</t>
    </rPh>
    <phoneticPr fontId="1"/>
  </si>
  <si>
    <r>
      <rPr>
        <sz val="11"/>
        <rFont val="游ゴシック Medium"/>
        <family val="3"/>
        <charset val="128"/>
      </rPr>
      <t>江戸東京博物館深川資料館手塚治虫展</t>
    </r>
    <rPh sb="0" eb="2">
      <t>エド</t>
    </rPh>
    <rPh sb="2" eb="4">
      <t>トウキョウ</t>
    </rPh>
    <rPh sb="4" eb="7">
      <t>ハクブツカン</t>
    </rPh>
    <rPh sb="7" eb="9">
      <t>フカガワ</t>
    </rPh>
    <rPh sb="9" eb="12">
      <t>シリョウカン</t>
    </rPh>
    <rPh sb="12" eb="14">
      <t>テヅカ</t>
    </rPh>
    <rPh sb="14" eb="16">
      <t>オサム</t>
    </rPh>
    <rPh sb="16" eb="17">
      <t>テン</t>
    </rPh>
    <phoneticPr fontId="1"/>
  </si>
  <si>
    <r>
      <rPr>
        <sz val="11"/>
        <rFont val="游ゴシック Medium"/>
        <family val="3"/>
        <charset val="128"/>
      </rPr>
      <t>週刊美術館</t>
    </r>
    <rPh sb="0" eb="2">
      <t>シュウカン</t>
    </rPh>
    <rPh sb="2" eb="5">
      <t>ビジュツカン</t>
    </rPh>
    <phoneticPr fontId="1"/>
  </si>
  <si>
    <r>
      <rPr>
        <sz val="11"/>
        <rFont val="游ゴシック Medium"/>
        <family val="3"/>
        <charset val="128"/>
      </rPr>
      <t>週刊美術館</t>
    </r>
    <r>
      <rPr>
        <sz val="11"/>
        <rFont val="Consolas"/>
        <family val="3"/>
      </rPr>
      <t>/32/</t>
    </r>
    <r>
      <rPr>
        <sz val="11"/>
        <rFont val="游ゴシック Medium"/>
        <family val="3"/>
        <charset val="128"/>
      </rPr>
      <t>時代順</t>
    </r>
    <r>
      <rPr>
        <sz val="11"/>
        <rFont val="Consolas"/>
        <family val="3"/>
      </rPr>
      <t>41/</t>
    </r>
    <r>
      <rPr>
        <sz val="11"/>
        <rFont val="游ゴシック Medium"/>
        <family val="3"/>
        <charset val="128"/>
      </rPr>
      <t>小学館ウイークリーブック</t>
    </r>
    <r>
      <rPr>
        <sz val="11"/>
        <rFont val="Consolas"/>
        <family val="3"/>
      </rPr>
      <t>/</t>
    </r>
    <r>
      <rPr>
        <sz val="11"/>
        <rFont val="游ゴシック Medium"/>
        <family val="3"/>
        <charset val="128"/>
      </rPr>
      <t>世界は無邪気に晴れている</t>
    </r>
    <rPh sb="0" eb="2">
      <t>シュウカン</t>
    </rPh>
    <rPh sb="2" eb="5">
      <t>ビジュツカン</t>
    </rPh>
    <rPh sb="9" eb="11">
      <t>ジダイ</t>
    </rPh>
    <rPh sb="11" eb="12">
      <t>ジュン</t>
    </rPh>
    <rPh sb="15" eb="18">
      <t>ショウガクカン</t>
    </rPh>
    <rPh sb="28" eb="30">
      <t>セカイ</t>
    </rPh>
    <rPh sb="31" eb="34">
      <t>ムジャキ</t>
    </rPh>
    <rPh sb="35" eb="36">
      <t>ハ</t>
    </rPh>
    <phoneticPr fontId="1"/>
  </si>
  <si>
    <r>
      <rPr>
        <sz val="11"/>
        <rFont val="游ゴシック Medium"/>
        <family val="3"/>
        <charset val="128"/>
      </rPr>
      <t>週刊美術館</t>
    </r>
    <r>
      <rPr>
        <sz val="11"/>
        <rFont val="Consolas"/>
        <family val="3"/>
      </rPr>
      <t>/43/</t>
    </r>
    <r>
      <rPr>
        <sz val="11"/>
        <rFont val="游ゴシック Medium"/>
        <family val="3"/>
        <charset val="128"/>
      </rPr>
      <t>時代順</t>
    </r>
    <r>
      <rPr>
        <sz val="11"/>
        <rFont val="Consolas"/>
        <family val="3"/>
      </rPr>
      <t>44/</t>
    </r>
    <r>
      <rPr>
        <sz val="11"/>
        <rFont val="游ゴシック Medium"/>
        <family val="3"/>
        <charset val="128"/>
      </rPr>
      <t>小学館ウイークリーブック</t>
    </r>
    <r>
      <rPr>
        <sz val="11"/>
        <rFont val="Consolas"/>
        <family val="3"/>
      </rPr>
      <t>/</t>
    </r>
    <r>
      <rPr>
        <sz val="11"/>
        <rFont val="游ゴシック Medium"/>
        <family val="3"/>
        <charset val="128"/>
      </rPr>
      <t>ダダっ子たちの芸術遊び</t>
    </r>
    <rPh sb="0" eb="2">
      <t>シュウカン</t>
    </rPh>
    <rPh sb="2" eb="5">
      <t>ビジュツカン</t>
    </rPh>
    <rPh sb="9" eb="11">
      <t>ジダイ</t>
    </rPh>
    <rPh sb="11" eb="12">
      <t>ジュン</t>
    </rPh>
    <rPh sb="15" eb="18">
      <t>ショウガクカン</t>
    </rPh>
    <rPh sb="31" eb="32">
      <t>コ</t>
    </rPh>
    <rPh sb="35" eb="37">
      <t>ゲイジュツ</t>
    </rPh>
    <rPh sb="37" eb="38">
      <t>アソ</t>
    </rPh>
    <phoneticPr fontId="1"/>
  </si>
  <si>
    <r>
      <t>BT/</t>
    </r>
    <r>
      <rPr>
        <sz val="11"/>
        <rFont val="游ゴシック Medium"/>
        <family val="3"/>
        <charset val="128"/>
      </rPr>
      <t>美術手帖</t>
    </r>
    <rPh sb="3" eb="5">
      <t>ビジュツ</t>
    </rPh>
    <rPh sb="5" eb="7">
      <t>テチョウ</t>
    </rPh>
    <phoneticPr fontId="1"/>
  </si>
  <si>
    <r>
      <t xml:space="preserve">Joseph Beuys </t>
    </r>
    <r>
      <rPr>
        <sz val="11"/>
        <rFont val="游ゴシック Medium"/>
        <family val="3"/>
        <charset val="128"/>
      </rPr>
      <t>カオスと創造</t>
    </r>
    <rPh sb="0" eb="12">
      <t>ヨーゼフ･ボイス</t>
    </rPh>
    <rPh sb="17" eb="19">
      <t>ソウゾウ</t>
    </rPh>
    <phoneticPr fontId="1"/>
  </si>
  <si>
    <r>
      <rPr>
        <sz val="11"/>
        <rFont val="游ゴシック Medium"/>
        <family val="3"/>
        <charset val="128"/>
      </rPr>
      <t>週刊</t>
    </r>
    <r>
      <rPr>
        <sz val="11"/>
        <rFont val="Consolas"/>
        <family val="3"/>
      </rPr>
      <t xml:space="preserve"> Murder Casebook</t>
    </r>
    <rPh sb="0" eb="2">
      <t>シュウカン</t>
    </rPh>
    <rPh sb="3" eb="9">
      <t>マーダー</t>
    </rPh>
    <rPh sb="10" eb="14">
      <t>ケース</t>
    </rPh>
    <rPh sb="14" eb="18">
      <t>ブック</t>
    </rPh>
    <phoneticPr fontId="1"/>
  </si>
  <si>
    <r>
      <rPr>
        <sz val="11"/>
        <rFont val="游ゴシック Medium"/>
        <family val="3"/>
        <charset val="128"/>
      </rPr>
      <t>省心書房</t>
    </r>
    <rPh sb="0" eb="2">
      <t>ショウシン</t>
    </rPh>
    <rPh sb="2" eb="4">
      <t>ショボウ</t>
    </rPh>
    <phoneticPr fontId="1"/>
  </si>
  <si>
    <r>
      <rPr>
        <sz val="11"/>
        <rFont val="游ゴシック Medium"/>
        <family val="3"/>
        <charset val="128"/>
      </rPr>
      <t>詩</t>
    </r>
    <rPh sb="0" eb="1">
      <t>シ</t>
    </rPh>
    <phoneticPr fontId="1"/>
  </si>
  <si>
    <r>
      <rPr>
        <sz val="11"/>
        <rFont val="游ゴシック Medium"/>
        <family val="3"/>
        <charset val="128"/>
      </rPr>
      <t>小海永二</t>
    </r>
    <r>
      <rPr>
        <sz val="11"/>
        <rFont val="Consolas"/>
        <family val="3"/>
      </rPr>
      <t>+</t>
    </r>
    <r>
      <rPr>
        <sz val="11"/>
        <rFont val="游ゴシック Medium"/>
        <family val="3"/>
        <charset val="128"/>
      </rPr>
      <t>佐久間隆史</t>
    </r>
    <rPh sb="0" eb="2">
      <t>オウミ</t>
    </rPh>
    <rPh sb="2" eb="4">
      <t>エイジ</t>
    </rPh>
    <rPh sb="5" eb="8">
      <t>サクマ</t>
    </rPh>
    <rPh sb="8" eb="10">
      <t>タカシ</t>
    </rPh>
    <phoneticPr fontId="1"/>
  </si>
  <si>
    <r>
      <rPr>
        <sz val="11"/>
        <rFont val="游ゴシック Medium"/>
        <family val="3"/>
        <charset val="128"/>
      </rPr>
      <t>共同編集</t>
    </r>
    <rPh sb="0" eb="2">
      <t>キョウドウ</t>
    </rPh>
    <rPh sb="2" eb="4">
      <t>ヘンシュウ</t>
    </rPh>
    <phoneticPr fontId="1"/>
  </si>
  <si>
    <r>
      <rPr>
        <u/>
        <sz val="11"/>
        <color indexed="12"/>
        <rFont val="游ゴシック Medium"/>
        <family val="3"/>
        <charset val="128"/>
      </rPr>
      <t>詩と思想</t>
    </r>
    <rPh sb="0" eb="1">
      <t>シ</t>
    </rPh>
    <rPh sb="2" eb="4">
      <t>シソウ</t>
    </rPh>
    <phoneticPr fontId="1"/>
  </si>
  <si>
    <r>
      <rPr>
        <sz val="11"/>
        <rFont val="游ゴシック Medium"/>
        <family val="3"/>
        <charset val="128"/>
      </rPr>
      <t>土曜美術社</t>
    </r>
    <rPh sb="0" eb="5">
      <t>ドヨウビジュツシャ</t>
    </rPh>
    <phoneticPr fontId="1"/>
  </si>
  <si>
    <r>
      <rPr>
        <sz val="11"/>
        <rFont val="游ゴシック Medium"/>
        <family val="3"/>
        <charset val="128"/>
      </rPr>
      <t>伊藤洋子の詩、掲載</t>
    </r>
    <rPh sb="0" eb="4">
      <t>イトウヨウコ</t>
    </rPh>
    <rPh sb="5" eb="6">
      <t>シ</t>
    </rPh>
    <rPh sb="7" eb="9">
      <t>ケイサイ</t>
    </rPh>
    <phoneticPr fontId="1"/>
  </si>
  <si>
    <r>
      <rPr>
        <b/>
        <sz val="11"/>
        <color indexed="33"/>
        <rFont val="游ゴシック Medium"/>
        <family val="3"/>
        <charset val="128"/>
      </rPr>
      <t>トランスパーソナル心理学</t>
    </r>
    <rPh sb="9" eb="12">
      <t>シンリガク</t>
    </rPh>
    <phoneticPr fontId="1"/>
  </si>
  <si>
    <r>
      <rPr>
        <sz val="11"/>
        <rFont val="游ゴシック Medium"/>
        <family val="3"/>
        <charset val="128"/>
      </rPr>
      <t>異常性愛</t>
    </r>
    <rPh sb="0" eb="2">
      <t>イジョウ</t>
    </rPh>
    <rPh sb="2" eb="4">
      <t>セイアイ</t>
    </rPh>
    <phoneticPr fontId="1"/>
  </si>
  <si>
    <r>
      <t>Imago/</t>
    </r>
    <r>
      <rPr>
        <sz val="11"/>
        <rFont val="游ゴシック Medium"/>
        <family val="3"/>
        <charset val="128"/>
      </rPr>
      <t>創刊第</t>
    </r>
    <r>
      <rPr>
        <sz val="11"/>
        <rFont val="Consolas"/>
        <family val="3"/>
      </rPr>
      <t>2</t>
    </r>
    <r>
      <rPr>
        <sz val="11"/>
        <rFont val="游ゴシック Medium"/>
        <family val="3"/>
        <charset val="128"/>
      </rPr>
      <t>号</t>
    </r>
    <r>
      <rPr>
        <sz val="11"/>
        <rFont val="Consolas"/>
        <family val="3"/>
      </rPr>
      <t>/Vol.1-2</t>
    </r>
    <rPh sb="0" eb="5">
      <t>イマーゴ</t>
    </rPh>
    <rPh sb="6" eb="8">
      <t>ソウカン</t>
    </rPh>
    <rPh sb="8" eb="9">
      <t>ダイ</t>
    </rPh>
    <rPh sb="10" eb="11">
      <t>ゴウ</t>
    </rPh>
    <phoneticPr fontId="1"/>
  </si>
  <si>
    <r>
      <rPr>
        <sz val="11"/>
        <rFont val="游ゴシック Medium"/>
        <family val="3"/>
        <charset val="128"/>
      </rPr>
      <t>夜想</t>
    </r>
    <rPh sb="0" eb="2">
      <t>ヤソウ</t>
    </rPh>
    <phoneticPr fontId="1"/>
  </si>
  <si>
    <r>
      <rPr>
        <sz val="11"/>
        <rFont val="游ゴシック Medium"/>
        <family val="3"/>
        <charset val="128"/>
      </rPr>
      <t>少女</t>
    </r>
    <rPh sb="0" eb="2">
      <t>ショウジョ</t>
    </rPh>
    <phoneticPr fontId="1"/>
  </si>
  <si>
    <r>
      <rPr>
        <sz val="11"/>
        <rFont val="游ゴシック Medium"/>
        <family val="3"/>
        <charset val="128"/>
      </rPr>
      <t>怪物･畸型</t>
    </r>
    <rPh sb="0" eb="2">
      <t>カイブツ</t>
    </rPh>
    <rPh sb="3" eb="5">
      <t>キケイ</t>
    </rPh>
    <phoneticPr fontId="1"/>
  </si>
  <si>
    <r>
      <t>Pink &amp; Porno/</t>
    </r>
    <r>
      <rPr>
        <sz val="11"/>
        <rFont val="游ゴシック Medium"/>
        <family val="3"/>
        <charset val="128"/>
      </rPr>
      <t>銀幕の</t>
    </r>
    <r>
      <rPr>
        <sz val="11"/>
        <rFont val="Consolas"/>
        <family val="3"/>
      </rPr>
      <t>Eroticism</t>
    </r>
    <rPh sb="0" eb="4">
      <t>ピンク</t>
    </rPh>
    <rPh sb="7" eb="12">
      <t>ポルノ</t>
    </rPh>
    <rPh sb="13" eb="15">
      <t>ギンマク</t>
    </rPh>
    <rPh sb="16" eb="25">
      <t>エロティシズム</t>
    </rPh>
    <phoneticPr fontId="1"/>
  </si>
  <si>
    <r>
      <rPr>
        <sz val="11"/>
        <rFont val="游ゴシック Medium"/>
        <family val="3"/>
        <charset val="128"/>
      </rPr>
      <t>チカゲさんから</t>
    </r>
    <phoneticPr fontId="1"/>
  </si>
  <si>
    <r>
      <t>Art Guild</t>
    </r>
    <r>
      <rPr>
        <sz val="11"/>
        <rFont val="游ゴシック Medium"/>
        <family val="3"/>
        <charset val="128"/>
      </rPr>
      <t>のプレゼント交換</t>
    </r>
    <rPh sb="0" eb="9">
      <t>アートギルド</t>
    </rPh>
    <rPh sb="15" eb="17">
      <t>コウカン</t>
    </rPh>
    <phoneticPr fontId="1"/>
  </si>
  <si>
    <r>
      <rPr>
        <sz val="11"/>
        <rFont val="游ゴシック Medium"/>
        <family val="3"/>
        <charset val="128"/>
      </rPr>
      <t>ユリイカ臨時増刊</t>
    </r>
    <rPh sb="4" eb="8">
      <t>リンジゾウカン</t>
    </rPh>
    <phoneticPr fontId="1"/>
  </si>
  <si>
    <r>
      <rPr>
        <b/>
        <sz val="11"/>
        <color indexed="33"/>
        <rFont val="游ゴシック Medium"/>
        <family val="3"/>
        <charset val="128"/>
      </rPr>
      <t>総特集・悪趣味大全</t>
    </r>
    <rPh sb="0" eb="1">
      <t>ソウ</t>
    </rPh>
    <rPh sb="1" eb="3">
      <t>トクシュウ</t>
    </rPh>
    <rPh sb="4" eb="7">
      <t>アクシュミ</t>
    </rPh>
    <rPh sb="7" eb="9">
      <t>タイゼン</t>
    </rPh>
    <phoneticPr fontId="1"/>
  </si>
  <si>
    <r>
      <t>Eureka</t>
    </r>
    <r>
      <rPr>
        <sz val="11"/>
        <rFont val="游ゴシック Medium"/>
        <family val="3"/>
        <charset val="128"/>
      </rPr>
      <t>臨時増刊</t>
    </r>
    <rPh sb="0" eb="6">
      <t>ユリイカ</t>
    </rPh>
    <rPh sb="6" eb="10">
      <t>リンジゾウカン</t>
    </rPh>
    <phoneticPr fontId="1"/>
  </si>
  <si>
    <r>
      <rPr>
        <sz val="11"/>
        <rFont val="游ゴシック Medium"/>
        <family val="3"/>
        <charset val="128"/>
      </rPr>
      <t>危ない</t>
    </r>
    <r>
      <rPr>
        <sz val="11"/>
        <rFont val="Consolas"/>
        <family val="3"/>
      </rPr>
      <t>1</t>
    </r>
    <r>
      <rPr>
        <sz val="11"/>
        <rFont val="游ゴシック Medium"/>
        <family val="3"/>
        <charset val="128"/>
      </rPr>
      <t>号</t>
    </r>
    <rPh sb="0" eb="1">
      <t>アブ</t>
    </rPh>
    <rPh sb="4" eb="5">
      <t>ゴウ</t>
    </rPh>
    <phoneticPr fontId="1"/>
  </si>
  <si>
    <r>
      <rPr>
        <sz val="11"/>
        <rFont val="游ゴシック Medium"/>
        <family val="3"/>
        <charset val="128"/>
      </rPr>
      <t>ドラッグ</t>
    </r>
    <phoneticPr fontId="1"/>
  </si>
  <si>
    <r>
      <rPr>
        <sz val="11"/>
        <rFont val="游ゴシック Medium"/>
        <family val="3"/>
        <charset val="128"/>
      </rPr>
      <t>危印商品</t>
    </r>
    <rPh sb="0" eb="2">
      <t>キ～ン</t>
    </rPh>
    <rPh sb="2" eb="4">
      <t>ショウヒン</t>
    </rPh>
    <phoneticPr fontId="1"/>
  </si>
  <si>
    <r>
      <rPr>
        <sz val="11"/>
        <rFont val="游ゴシック Medium"/>
        <family val="3"/>
        <charset val="128"/>
      </rPr>
      <t>快感</t>
    </r>
    <rPh sb="0" eb="2">
      <t>カイカン</t>
    </rPh>
    <phoneticPr fontId="1"/>
  </si>
  <si>
    <r>
      <rPr>
        <sz val="11"/>
        <rFont val="游ゴシック Medium"/>
        <family val="3"/>
        <charset val="128"/>
      </rPr>
      <t>青山正明全仕事</t>
    </r>
    <rPh sb="0" eb="2">
      <t>アオヤマ</t>
    </rPh>
    <rPh sb="2" eb="4">
      <t>マサアキ</t>
    </rPh>
    <rPh sb="4" eb="5">
      <t>ゼン</t>
    </rPh>
    <rPh sb="5" eb="7">
      <t>シゴト</t>
    </rPh>
    <phoneticPr fontId="1"/>
  </si>
  <si>
    <r>
      <rPr>
        <sz val="11"/>
        <rFont val="游ゴシック Medium"/>
        <family val="3"/>
        <charset val="128"/>
      </rPr>
      <t>危ない</t>
    </r>
    <r>
      <rPr>
        <sz val="11"/>
        <rFont val="Consolas"/>
        <family val="3"/>
      </rPr>
      <t>28</t>
    </r>
    <r>
      <rPr>
        <sz val="11"/>
        <rFont val="游ゴシック Medium"/>
        <family val="3"/>
        <charset val="128"/>
      </rPr>
      <t>号</t>
    </r>
    <rPh sb="0" eb="1">
      <t>アブ</t>
    </rPh>
    <rPh sb="5" eb="6">
      <t>ゴウ</t>
    </rPh>
    <phoneticPr fontId="1"/>
  </si>
  <si>
    <r>
      <rPr>
        <sz val="11"/>
        <rFont val="游ゴシック Medium"/>
        <family val="3"/>
        <charset val="128"/>
      </rPr>
      <t>ハッキング</t>
    </r>
    <phoneticPr fontId="1"/>
  </si>
  <si>
    <r>
      <rPr>
        <sz val="11"/>
        <rFont val="游ゴシック Medium"/>
        <family val="3"/>
        <charset val="128"/>
      </rPr>
      <t>兵器</t>
    </r>
    <rPh sb="0" eb="2">
      <t>ヘイキ</t>
    </rPh>
    <phoneticPr fontId="1"/>
  </si>
  <si>
    <r>
      <rPr>
        <sz val="11"/>
        <rFont val="游ゴシック Medium"/>
        <family val="3"/>
        <charset val="128"/>
      </rPr>
      <t>危険物</t>
    </r>
    <r>
      <rPr>
        <sz val="11"/>
        <rFont val="Consolas"/>
        <family val="3"/>
      </rPr>
      <t>/</t>
    </r>
    <r>
      <rPr>
        <sz val="11"/>
        <rFont val="游ゴシック Medium"/>
        <family val="3"/>
        <charset val="128"/>
      </rPr>
      <t>ドロボー</t>
    </r>
    <rPh sb="0" eb="3">
      <t>キケンブツ</t>
    </rPh>
    <phoneticPr fontId="1"/>
  </si>
  <si>
    <r>
      <rPr>
        <sz val="11"/>
        <rFont val="游ゴシック Medium"/>
        <family val="3"/>
        <charset val="128"/>
      </rPr>
      <t>報復の科学</t>
    </r>
    <rPh sb="0" eb="2">
      <t>ホウフク</t>
    </rPh>
    <rPh sb="3" eb="5">
      <t>カガク</t>
    </rPh>
    <phoneticPr fontId="1"/>
  </si>
  <si>
    <r>
      <rPr>
        <sz val="11"/>
        <rFont val="游ゴシック Medium"/>
        <family val="3"/>
        <charset val="128"/>
      </rPr>
      <t>安楽死</t>
    </r>
    <rPh sb="0" eb="3">
      <t>アンラクシ</t>
    </rPh>
    <phoneticPr fontId="1"/>
  </si>
  <si>
    <r>
      <rPr>
        <strike/>
        <sz val="11"/>
        <rFont val="游ゴシック Medium"/>
        <family val="3"/>
        <charset val="128"/>
      </rPr>
      <t>雑誌</t>
    </r>
    <rPh sb="0" eb="2">
      <t>ザッシ</t>
    </rPh>
    <phoneticPr fontId="1"/>
  </si>
  <si>
    <r>
      <rPr>
        <strike/>
        <sz val="11"/>
        <rFont val="游ゴシック Medium"/>
        <family val="3"/>
        <charset val="128"/>
      </rPr>
      <t>別冊宝島</t>
    </r>
    <rPh sb="0" eb="2">
      <t>ベッサツ</t>
    </rPh>
    <rPh sb="2" eb="4">
      <t>タカラジマ</t>
    </rPh>
    <phoneticPr fontId="1"/>
  </si>
  <si>
    <r>
      <rPr>
        <b/>
        <strike/>
        <sz val="11"/>
        <color indexed="33"/>
        <rFont val="游ゴシック Medium"/>
        <family val="3"/>
        <charset val="128"/>
      </rPr>
      <t>気持ちいいクスリ</t>
    </r>
    <rPh sb="0" eb="2">
      <t>キモ</t>
    </rPh>
    <phoneticPr fontId="1"/>
  </si>
  <si>
    <r>
      <rPr>
        <strike/>
        <sz val="11"/>
        <rFont val="游ゴシック Medium"/>
        <family val="3"/>
        <charset val="128"/>
      </rPr>
      <t>別冊宝島</t>
    </r>
    <r>
      <rPr>
        <strike/>
        <sz val="11"/>
        <rFont val="Consolas"/>
        <family val="3"/>
      </rPr>
      <t>173</t>
    </r>
    <rPh sb="0" eb="2">
      <t>ベッサツ</t>
    </rPh>
    <rPh sb="2" eb="4">
      <t>タカラジマ</t>
    </rPh>
    <phoneticPr fontId="1"/>
  </si>
  <si>
    <r>
      <t>JICC</t>
    </r>
    <r>
      <rPr>
        <strike/>
        <sz val="11"/>
        <rFont val="游ゴシック Medium"/>
        <family val="3"/>
        <charset val="128"/>
      </rPr>
      <t>出版局</t>
    </r>
    <rPh sb="4" eb="7">
      <t>シュッパンキョク</t>
    </rPh>
    <phoneticPr fontId="1"/>
  </si>
  <si>
    <r>
      <rPr>
        <strike/>
        <sz val="11"/>
        <rFont val="游ゴシック Medium"/>
        <family val="3"/>
        <charset val="128"/>
      </rPr>
      <t>工藤雪香に貸出中</t>
    </r>
    <rPh sb="0" eb="2">
      <t>クドウ</t>
    </rPh>
    <rPh sb="2" eb="3">
      <t>ユキ</t>
    </rPh>
    <rPh sb="3" eb="4">
      <t>カ</t>
    </rPh>
    <rPh sb="5" eb="8">
      <t>カシダシチュウ</t>
    </rPh>
    <phoneticPr fontId="1"/>
  </si>
  <si>
    <r>
      <rPr>
        <sz val="11"/>
        <rFont val="游ゴシック Medium"/>
        <family val="3"/>
        <charset val="128"/>
      </rPr>
      <t>コアムックシリーズ</t>
    </r>
    <r>
      <rPr>
        <sz val="11"/>
        <rFont val="Consolas"/>
        <family val="3"/>
      </rPr>
      <t xml:space="preserve"> No.361</t>
    </r>
    <phoneticPr fontId="1"/>
  </si>
  <si>
    <r>
      <rPr>
        <sz val="11"/>
        <rFont val="游ゴシック Medium"/>
        <family val="3"/>
        <charset val="128"/>
      </rPr>
      <t>画像バカ一代</t>
    </r>
    <rPh sb="0" eb="2">
      <t>ガゾウ</t>
    </rPh>
    <rPh sb="4" eb="6">
      <t>イチダイ</t>
    </rPh>
    <phoneticPr fontId="1"/>
  </si>
  <si>
    <r>
      <rPr>
        <sz val="11"/>
        <rFont val="游ゴシック Medium"/>
        <family val="3"/>
        <charset val="128"/>
      </rPr>
      <t>コアムックシリーズ</t>
    </r>
    <r>
      <rPr>
        <sz val="11"/>
        <rFont val="Consolas"/>
        <family val="3"/>
      </rPr>
      <t xml:space="preserve"> No.361/</t>
    </r>
    <r>
      <rPr>
        <sz val="11"/>
        <rFont val="游ゴシック Medium"/>
        <family val="3"/>
        <charset val="128"/>
      </rPr>
      <t>雑誌コード</t>
    </r>
    <r>
      <rPr>
        <sz val="11"/>
        <rFont val="Consolas"/>
        <family val="3"/>
      </rPr>
      <t>63454-61</t>
    </r>
    <rPh sb="17" eb="19">
      <t>ザッシ</t>
    </rPh>
    <phoneticPr fontId="1"/>
  </si>
  <si>
    <r>
      <rPr>
        <sz val="11"/>
        <rFont val="游ゴシック Medium"/>
        <family val="3"/>
        <charset val="128"/>
      </rPr>
      <t>コアマガジン</t>
    </r>
    <phoneticPr fontId="1"/>
  </si>
  <si>
    <r>
      <rPr>
        <sz val="11"/>
        <rFont val="游ゴシック Medium"/>
        <family val="3"/>
        <charset val="128"/>
      </rPr>
      <t>タイヨー</t>
    </r>
    <phoneticPr fontId="1"/>
  </si>
  <si>
    <r>
      <rPr>
        <sz val="11"/>
        <rFont val="游ゴシック Medium"/>
        <family val="3"/>
        <charset val="128"/>
      </rPr>
      <t>コアムックシリーズ</t>
    </r>
    <r>
      <rPr>
        <sz val="11"/>
        <rFont val="Consolas"/>
        <family val="3"/>
      </rPr>
      <t xml:space="preserve"> No.363</t>
    </r>
    <phoneticPr fontId="1"/>
  </si>
  <si>
    <r>
      <rPr>
        <sz val="11"/>
        <rFont val="游ゴシック Medium"/>
        <family val="3"/>
        <charset val="128"/>
      </rPr>
      <t>誰かに見せたくなる</t>
    </r>
    <r>
      <rPr>
        <sz val="11"/>
        <rFont val="Consolas"/>
        <family val="3"/>
      </rPr>
      <t xml:space="preserve"> ! </t>
    </r>
    <r>
      <rPr>
        <sz val="11"/>
        <rFont val="游ゴシック Medium"/>
        <family val="3"/>
        <charset val="128"/>
      </rPr>
      <t>恐いサイコの画像</t>
    </r>
    <rPh sb="0" eb="1">
      <t>ダレ</t>
    </rPh>
    <rPh sb="3" eb="4">
      <t>ミ</t>
    </rPh>
    <rPh sb="12" eb="13">
      <t>コワ</t>
    </rPh>
    <rPh sb="18" eb="20">
      <t>ガゾウ</t>
    </rPh>
    <phoneticPr fontId="1"/>
  </si>
  <si>
    <r>
      <rPr>
        <sz val="11"/>
        <rFont val="游ゴシック Medium"/>
        <family val="3"/>
        <charset val="128"/>
      </rPr>
      <t>コアムックシリーズ</t>
    </r>
    <r>
      <rPr>
        <sz val="11"/>
        <rFont val="Consolas"/>
        <family val="3"/>
      </rPr>
      <t xml:space="preserve"> No.363/</t>
    </r>
    <r>
      <rPr>
        <sz val="11"/>
        <rFont val="游ゴシック Medium"/>
        <family val="3"/>
        <charset val="128"/>
      </rPr>
      <t>雑誌コード</t>
    </r>
    <r>
      <rPr>
        <sz val="11"/>
        <rFont val="Consolas"/>
        <family val="3"/>
      </rPr>
      <t>63454-63</t>
    </r>
    <rPh sb="17" eb="19">
      <t>ザッシ</t>
    </rPh>
    <phoneticPr fontId="1"/>
  </si>
  <si>
    <r>
      <rPr>
        <sz val="11"/>
        <rFont val="游ゴシック Medium"/>
        <family val="3"/>
        <charset val="128"/>
      </rPr>
      <t>エロティカ</t>
    </r>
    <r>
      <rPr>
        <sz val="11"/>
        <rFont val="Consolas"/>
        <family val="3"/>
      </rPr>
      <t>/</t>
    </r>
    <r>
      <rPr>
        <sz val="11"/>
        <rFont val="游ゴシック Medium"/>
        <family val="3"/>
        <charset val="128"/>
      </rPr>
      <t>気持ちいいブックガイド</t>
    </r>
    <rPh sb="6" eb="8">
      <t>キモ</t>
    </rPh>
    <phoneticPr fontId="1"/>
  </si>
  <si>
    <r>
      <rPr>
        <sz val="11"/>
        <rFont val="游ゴシック Medium"/>
        <family val="3"/>
        <charset val="128"/>
      </rPr>
      <t>メディアワークス</t>
    </r>
    <r>
      <rPr>
        <sz val="11"/>
        <rFont val="Consolas"/>
        <family val="3"/>
      </rPr>
      <t>:</t>
    </r>
    <r>
      <rPr>
        <sz val="11"/>
        <rFont val="游ゴシック Medium"/>
        <family val="3"/>
        <charset val="128"/>
      </rPr>
      <t>発行</t>
    </r>
    <r>
      <rPr>
        <sz val="11"/>
        <rFont val="Consolas"/>
        <family val="3"/>
      </rPr>
      <t>/</t>
    </r>
    <r>
      <rPr>
        <sz val="11"/>
        <rFont val="游ゴシック Medium"/>
        <family val="3"/>
        <charset val="128"/>
      </rPr>
      <t>主婦の友社</t>
    </r>
    <r>
      <rPr>
        <sz val="11"/>
        <rFont val="Consolas"/>
        <family val="3"/>
      </rPr>
      <t>:</t>
    </r>
    <r>
      <rPr>
        <sz val="11"/>
        <rFont val="游ゴシック Medium"/>
        <family val="3"/>
        <charset val="128"/>
      </rPr>
      <t>発売</t>
    </r>
    <rPh sb="9" eb="11">
      <t>ハッコウ</t>
    </rPh>
    <rPh sb="12" eb="17">
      <t>シュフノトモシャ</t>
    </rPh>
    <rPh sb="18" eb="20">
      <t>ハツバイ</t>
    </rPh>
    <phoneticPr fontId="1"/>
  </si>
  <si>
    <r>
      <rPr>
        <sz val="11"/>
        <rFont val="游ゴシック Medium"/>
        <family val="3"/>
        <charset val="128"/>
      </rPr>
      <t>自由価格本</t>
    </r>
    <rPh sb="0" eb="4">
      <t>ジユウカカク</t>
    </rPh>
    <rPh sb="4" eb="5">
      <t>ボン</t>
    </rPh>
    <phoneticPr fontId="1"/>
  </si>
  <si>
    <r>
      <rPr>
        <sz val="11"/>
        <rFont val="游ゴシック Medium"/>
        <family val="3"/>
        <charset val="128"/>
      </rPr>
      <t>有害図書の世界</t>
    </r>
    <r>
      <rPr>
        <sz val="11"/>
        <rFont val="Consolas"/>
        <family val="3"/>
      </rPr>
      <t>/</t>
    </r>
    <r>
      <rPr>
        <sz val="11"/>
        <rFont val="游ゴシック Medium"/>
        <family val="3"/>
        <charset val="128"/>
      </rPr>
      <t>エロ雑誌からエロゲーまで</t>
    </r>
    <rPh sb="0" eb="2">
      <t>ユウガイ</t>
    </rPh>
    <rPh sb="2" eb="4">
      <t>トショ</t>
    </rPh>
    <rPh sb="5" eb="7">
      <t>セカイ</t>
    </rPh>
    <rPh sb="10" eb="12">
      <t>ザッシ</t>
    </rPh>
    <phoneticPr fontId="1"/>
  </si>
  <si>
    <r>
      <rPr>
        <sz val="11"/>
        <rFont val="游ゴシック Medium"/>
        <family val="3"/>
        <charset val="128"/>
      </rPr>
      <t>この本は怪しい</t>
    </r>
    <r>
      <rPr>
        <sz val="11"/>
        <rFont val="Consolas"/>
        <family val="3"/>
      </rPr>
      <t>!!/</t>
    </r>
    <r>
      <rPr>
        <sz val="11"/>
        <rFont val="游ゴシック Medium"/>
        <family val="3"/>
        <charset val="128"/>
      </rPr>
      <t>活字秘宝</t>
    </r>
    <r>
      <rPr>
        <sz val="11"/>
        <rFont val="Consolas"/>
        <family val="3"/>
      </rPr>
      <t>/Dead or Destroy!!!</t>
    </r>
    <rPh sb="2" eb="3">
      <t>ホン</t>
    </rPh>
    <rPh sb="4" eb="5">
      <t>アヤ</t>
    </rPh>
    <rPh sb="10" eb="12">
      <t>カツジ</t>
    </rPh>
    <rPh sb="12" eb="14">
      <t>ヒホウ</t>
    </rPh>
    <phoneticPr fontId="1"/>
  </si>
  <si>
    <r>
      <rPr>
        <sz val="11"/>
        <rFont val="游ゴシック Medium"/>
        <family val="3"/>
        <charset val="128"/>
      </rPr>
      <t>洋泉社</t>
    </r>
    <r>
      <rPr>
        <sz val="11"/>
        <rFont val="Consolas"/>
        <family val="3"/>
      </rPr>
      <t>Mook</t>
    </r>
    <rPh sb="0" eb="3">
      <t>ヨウセンシャ</t>
    </rPh>
    <phoneticPr fontId="1"/>
  </si>
  <si>
    <r>
      <rPr>
        <sz val="11"/>
        <rFont val="游ゴシック Medium"/>
        <family val="3"/>
        <charset val="128"/>
      </rPr>
      <t>洋泉社</t>
    </r>
    <rPh sb="0" eb="3">
      <t>ヨウセンシャ</t>
    </rPh>
    <phoneticPr fontId="1"/>
  </si>
  <si>
    <r>
      <rPr>
        <sz val="11"/>
        <rFont val="游ゴシック Medium"/>
        <family val="3"/>
        <charset val="128"/>
      </rPr>
      <t>ワニの穴</t>
    </r>
    <r>
      <rPr>
        <sz val="11"/>
        <rFont val="Consolas"/>
        <family val="3"/>
      </rPr>
      <t>/18</t>
    </r>
    <rPh sb="3" eb="4">
      <t>アナ</t>
    </rPh>
    <phoneticPr fontId="1"/>
  </si>
  <si>
    <r>
      <rPr>
        <sz val="11"/>
        <rFont val="游ゴシック Medium"/>
        <family val="3"/>
        <charset val="128"/>
      </rPr>
      <t>超極楽</t>
    </r>
    <r>
      <rPr>
        <sz val="11"/>
        <rFont val="Consolas"/>
        <family val="3"/>
      </rPr>
      <t xml:space="preserve"> </t>
    </r>
    <r>
      <rPr>
        <sz val="11"/>
        <rFont val="游ゴシック Medium"/>
        <family val="3"/>
        <charset val="128"/>
      </rPr>
      <t>いやし系フーゾクガイド</t>
    </r>
    <rPh sb="0" eb="1">
      <t>チョウ</t>
    </rPh>
    <rPh sb="1" eb="3">
      <t>ゴクラク</t>
    </rPh>
    <rPh sb="7" eb="8">
      <t>ケイ</t>
    </rPh>
    <phoneticPr fontId="1"/>
  </si>
  <si>
    <r>
      <rPr>
        <sz val="11"/>
        <rFont val="游ゴシック Medium"/>
        <family val="3"/>
        <charset val="128"/>
      </rPr>
      <t>ワニマガジン社</t>
    </r>
    <rPh sb="6" eb="7">
      <t>シャ</t>
    </rPh>
    <phoneticPr fontId="1"/>
  </si>
  <si>
    <r>
      <rPr>
        <sz val="11"/>
        <rFont val="游ゴシック Medium"/>
        <family val="3"/>
        <charset val="128"/>
      </rPr>
      <t>品川駅前の公衆電話</t>
    </r>
    <rPh sb="0" eb="2">
      <t>シナガワ</t>
    </rPh>
    <rPh sb="2" eb="4">
      <t>エキマエ</t>
    </rPh>
    <rPh sb="5" eb="7">
      <t>コウシュウ</t>
    </rPh>
    <rPh sb="7" eb="9">
      <t>デンワ</t>
    </rPh>
    <phoneticPr fontId="1"/>
  </si>
  <si>
    <r>
      <rPr>
        <sz val="11"/>
        <rFont val="游ゴシック Medium"/>
        <family val="3"/>
        <charset val="128"/>
      </rPr>
      <t>拾う</t>
    </r>
    <rPh sb="0" eb="1">
      <t>ヒロ</t>
    </rPh>
    <phoneticPr fontId="1"/>
  </si>
  <si>
    <r>
      <t xml:space="preserve">Newton </t>
    </r>
    <r>
      <rPr>
        <sz val="11"/>
        <rFont val="游ゴシック Medium"/>
        <family val="3"/>
        <charset val="128"/>
      </rPr>
      <t>別冊</t>
    </r>
    <rPh sb="7" eb="9">
      <t>ベッサツ</t>
    </rPh>
    <phoneticPr fontId="1"/>
  </si>
  <si>
    <r>
      <rPr>
        <sz val="11"/>
        <rFont val="游ゴシック Medium"/>
        <family val="3"/>
        <charset val="128"/>
      </rPr>
      <t>完全図解</t>
    </r>
    <r>
      <rPr>
        <sz val="11"/>
        <rFont val="Consolas"/>
        <family val="3"/>
      </rPr>
      <t xml:space="preserve"> </t>
    </r>
    <r>
      <rPr>
        <sz val="11"/>
        <rFont val="游ゴシック Medium"/>
        <family val="3"/>
        <charset val="128"/>
      </rPr>
      <t>周期表</t>
    </r>
    <r>
      <rPr>
        <sz val="11"/>
        <rFont val="Consolas"/>
        <family val="3"/>
      </rPr>
      <t xml:space="preserve"> </t>
    </r>
    <r>
      <rPr>
        <sz val="11"/>
        <rFont val="游ゴシック Medium"/>
        <family val="3"/>
        <charset val="128"/>
      </rPr>
      <t>自然界のしくみを理解する第</t>
    </r>
    <r>
      <rPr>
        <sz val="11"/>
        <rFont val="Consolas"/>
        <family val="3"/>
      </rPr>
      <t>1</t>
    </r>
    <r>
      <rPr>
        <sz val="11"/>
        <rFont val="游ゴシック Medium"/>
        <family val="3"/>
        <charset val="128"/>
      </rPr>
      <t>歩</t>
    </r>
    <rPh sb="0" eb="2">
      <t>カンゼン</t>
    </rPh>
    <rPh sb="2" eb="4">
      <t>ズカイ</t>
    </rPh>
    <rPh sb="5" eb="7">
      <t>シュウキ</t>
    </rPh>
    <rPh sb="7" eb="8">
      <t>ヒョウ</t>
    </rPh>
    <rPh sb="9" eb="12">
      <t>シゼンカイ</t>
    </rPh>
    <rPh sb="17" eb="19">
      <t>リカイ</t>
    </rPh>
    <rPh sb="21" eb="22">
      <t>ダイ</t>
    </rPh>
    <rPh sb="23" eb="24">
      <t>ポ</t>
    </rPh>
    <phoneticPr fontId="1"/>
  </si>
  <si>
    <r>
      <rPr>
        <sz val="11"/>
        <rFont val="游ゴシック Medium"/>
        <family val="3"/>
        <charset val="128"/>
      </rPr>
      <t>雑誌</t>
    </r>
    <r>
      <rPr>
        <sz val="11"/>
        <rFont val="Consolas"/>
        <family val="3"/>
      </rPr>
      <t>66882-79</t>
    </r>
    <rPh sb="0" eb="2">
      <t>ザッシ</t>
    </rPh>
    <phoneticPr fontId="1"/>
  </si>
  <si>
    <r>
      <rPr>
        <sz val="11"/>
        <rFont val="游ゴシック Medium"/>
        <family val="3"/>
        <charset val="128"/>
      </rPr>
      <t>西武池袋</t>
    </r>
    <r>
      <rPr>
        <sz val="11"/>
        <rFont val="Consolas"/>
        <family val="3"/>
      </rPr>
      <t>libro</t>
    </r>
    <rPh sb="0" eb="2">
      <t>セイブ</t>
    </rPh>
    <rPh sb="2" eb="4">
      <t>イケブクロ</t>
    </rPh>
    <phoneticPr fontId="1"/>
  </si>
  <si>
    <r>
      <rPr>
        <sz val="11"/>
        <rFont val="游ゴシック Medium"/>
        <family val="3"/>
        <charset val="128"/>
      </rPr>
      <t>サイゾー</t>
    </r>
    <phoneticPr fontId="1"/>
  </si>
  <si>
    <r>
      <rPr>
        <sz val="11"/>
        <rFont val="游ゴシック Medium"/>
        <family val="3"/>
        <charset val="128"/>
      </rPr>
      <t>日本のタブー</t>
    </r>
    <rPh sb="0" eb="2">
      <t>ニホン</t>
    </rPh>
    <phoneticPr fontId="1"/>
  </si>
  <si>
    <r>
      <rPr>
        <sz val="11"/>
        <rFont val="游ゴシック Medium"/>
        <family val="3"/>
        <charset val="128"/>
      </rPr>
      <t>実話時代</t>
    </r>
    <rPh sb="0" eb="2">
      <t>ジツワ</t>
    </rPh>
    <rPh sb="2" eb="4">
      <t>ジダイ</t>
    </rPh>
    <phoneticPr fontId="1"/>
  </si>
  <si>
    <r>
      <rPr>
        <sz val="11"/>
        <rFont val="游ゴシック Medium"/>
        <family val="3"/>
        <charset val="128"/>
      </rPr>
      <t>「指定</t>
    </r>
    <r>
      <rPr>
        <sz val="11"/>
        <rFont val="Consolas"/>
        <family val="3"/>
      </rPr>
      <t>25</t>
    </r>
    <r>
      <rPr>
        <sz val="11"/>
        <rFont val="游ゴシック Medium"/>
        <family val="3"/>
        <charset val="128"/>
      </rPr>
      <t>団体」の現状と分析</t>
    </r>
    <rPh sb="1" eb="3">
      <t>シテイ</t>
    </rPh>
    <rPh sb="5" eb="7">
      <t>ダンタイ</t>
    </rPh>
    <rPh sb="9" eb="11">
      <t>ゲンジョウ</t>
    </rPh>
    <rPh sb="12" eb="14">
      <t>ブンセキ</t>
    </rPh>
    <phoneticPr fontId="1"/>
  </si>
  <si>
    <r>
      <t>2001/09</t>
    </r>
    <r>
      <rPr>
        <sz val="11"/>
        <rFont val="游ゴシック Medium"/>
        <family val="3"/>
        <charset val="128"/>
      </rPr>
      <t>月号</t>
    </r>
    <rPh sb="7" eb="9">
      <t>ガツゴウ</t>
    </rPh>
    <phoneticPr fontId="1"/>
  </si>
  <si>
    <r>
      <rPr>
        <u/>
        <sz val="11"/>
        <color indexed="12"/>
        <rFont val="游ゴシック Medium"/>
        <family val="3"/>
        <charset val="128"/>
      </rPr>
      <t>週刊実話</t>
    </r>
    <rPh sb="0" eb="2">
      <t>シュウカン</t>
    </rPh>
    <rPh sb="2" eb="4">
      <t>ジツワ</t>
    </rPh>
    <phoneticPr fontId="1"/>
  </si>
  <si>
    <r>
      <t>GON/</t>
    </r>
    <r>
      <rPr>
        <u/>
        <sz val="11"/>
        <color indexed="12"/>
        <rFont val="游ゴシック Medium"/>
        <family val="3"/>
        <charset val="128"/>
      </rPr>
      <t>何冊かある</t>
    </r>
    <rPh sb="0" eb="3">
      <t>ゴン</t>
    </rPh>
    <rPh sb="4" eb="6">
      <t>ナンサツ</t>
    </rPh>
    <phoneticPr fontId="1"/>
  </si>
  <si>
    <r>
      <rPr>
        <sz val="11"/>
        <rFont val="游ゴシック Medium"/>
        <family val="3"/>
        <charset val="128"/>
      </rPr>
      <t>暴力を使ったらまず野蛮人類と決めつけることだ。</t>
    </r>
    <rPh sb="0" eb="2">
      <t>ボウリョク</t>
    </rPh>
    <rPh sb="3" eb="4">
      <t>ツカ</t>
    </rPh>
    <rPh sb="9" eb="13">
      <t>ヤバンジンルイ</t>
    </rPh>
    <rPh sb="14" eb="15">
      <t>キ</t>
    </rPh>
    <phoneticPr fontId="1"/>
  </si>
  <si>
    <r>
      <rPr>
        <sz val="11"/>
        <rFont val="游ゴシック Medium"/>
        <family val="3"/>
        <charset val="128"/>
      </rPr>
      <t>麻原彰晃</t>
    </r>
    <rPh sb="0" eb="2">
      <t>アサハラ</t>
    </rPh>
    <rPh sb="2" eb="4">
      <t>ショウコウ</t>
    </rPh>
    <phoneticPr fontId="1"/>
  </si>
  <si>
    <r>
      <rPr>
        <sz val="11"/>
        <rFont val="游ゴシック Medium"/>
        <family val="3"/>
        <charset val="128"/>
      </rPr>
      <t>日出づる国､災い近し</t>
    </r>
    <rPh sb="0" eb="1">
      <t>ヒ</t>
    </rPh>
    <rPh sb="1" eb="2">
      <t>イ</t>
    </rPh>
    <rPh sb="4" eb="5">
      <t>クニ</t>
    </rPh>
    <rPh sb="6" eb="7">
      <t>ワザワ</t>
    </rPh>
    <rPh sb="8" eb="9">
      <t>チカ</t>
    </rPh>
    <phoneticPr fontId="1"/>
  </si>
  <si>
    <r>
      <rPr>
        <sz val="11"/>
        <rFont val="游ゴシック Medium"/>
        <family val="3"/>
        <charset val="128"/>
      </rPr>
      <t>オウム出版</t>
    </r>
    <rPh sb="3" eb="5">
      <t>シュッパン</t>
    </rPh>
    <phoneticPr fontId="1"/>
  </si>
  <si>
    <r>
      <rPr>
        <sz val="11"/>
        <rFont val="游ゴシック Medium"/>
        <family val="3"/>
        <charset val="128"/>
      </rPr>
      <t>オウム</t>
    </r>
    <phoneticPr fontId="1"/>
  </si>
  <si>
    <r>
      <rPr>
        <sz val="11"/>
        <rFont val="游ゴシック Medium"/>
        <family val="3"/>
        <charset val="128"/>
      </rPr>
      <t>ヴァジラヤーナ･サッチャ</t>
    </r>
    <phoneticPr fontId="1"/>
  </si>
  <si>
    <r>
      <t>No.9/</t>
    </r>
    <r>
      <rPr>
        <sz val="11"/>
        <rFont val="游ゴシック Medium"/>
        <family val="3"/>
        <charset val="128"/>
      </rPr>
      <t>縮刷版</t>
    </r>
    <rPh sb="5" eb="8">
      <t>シュクサツバン</t>
    </rPh>
    <phoneticPr fontId="1"/>
  </si>
  <si>
    <r>
      <rPr>
        <sz val="11"/>
        <rFont val="游ゴシック Medium"/>
        <family val="3"/>
        <charset val="128"/>
      </rPr>
      <t>國文學</t>
    </r>
    <r>
      <rPr>
        <sz val="11"/>
        <rFont val="Consolas"/>
        <family val="3"/>
      </rPr>
      <t>/</t>
    </r>
    <r>
      <rPr>
        <sz val="11"/>
        <rFont val="游ゴシック Medium"/>
        <family val="3"/>
        <charset val="128"/>
      </rPr>
      <t>解釈と教材の研究</t>
    </r>
    <rPh sb="0" eb="3">
      <t>コクブンガク</t>
    </rPh>
    <rPh sb="4" eb="6">
      <t>カイシャク</t>
    </rPh>
    <rPh sb="7" eb="9">
      <t>キョウザイ</t>
    </rPh>
    <rPh sb="10" eb="12">
      <t>ケンキュウ</t>
    </rPh>
    <phoneticPr fontId="1"/>
  </si>
  <si>
    <r>
      <rPr>
        <sz val="11"/>
        <rFont val="游ゴシック Medium"/>
        <family val="3"/>
        <charset val="128"/>
      </rPr>
      <t>世界</t>
    </r>
    <r>
      <rPr>
        <sz val="11"/>
        <rFont val="Consolas"/>
        <family val="3"/>
      </rPr>
      <t xml:space="preserve"> </t>
    </r>
    <r>
      <rPr>
        <sz val="11"/>
        <rFont val="游ゴシック Medium"/>
        <family val="3"/>
        <charset val="128"/>
      </rPr>
      <t>そして日本の</t>
    </r>
    <r>
      <rPr>
        <sz val="11"/>
        <rFont val="Consolas"/>
        <family val="3"/>
      </rPr>
      <t xml:space="preserve"> </t>
    </r>
    <r>
      <rPr>
        <sz val="11"/>
        <rFont val="游ゴシック Medium"/>
        <family val="3"/>
        <charset val="128"/>
      </rPr>
      <t>現代幻想小説の読み方</t>
    </r>
    <r>
      <rPr>
        <sz val="11"/>
        <rFont val="Consolas"/>
        <family val="3"/>
      </rPr>
      <t>101</t>
    </r>
    <rPh sb="0" eb="2">
      <t>セカイ</t>
    </rPh>
    <rPh sb="6" eb="8">
      <t>ニホン</t>
    </rPh>
    <rPh sb="10" eb="12">
      <t>ゲンダイ</t>
    </rPh>
    <rPh sb="12" eb="14">
      <t>ゲンソウ</t>
    </rPh>
    <rPh sb="14" eb="16">
      <t>ショウセツ</t>
    </rPh>
    <rPh sb="17" eb="18">
      <t>ヨ</t>
    </rPh>
    <rPh sb="19" eb="20">
      <t>カタ</t>
    </rPh>
    <phoneticPr fontId="1"/>
  </si>
  <si>
    <r>
      <t>7</t>
    </r>
    <r>
      <rPr>
        <sz val="11"/>
        <rFont val="游ゴシック Medium"/>
        <family val="3"/>
        <charset val="128"/>
      </rPr>
      <t>月臨時増刊号</t>
    </r>
    <rPh sb="1" eb="2">
      <t>ガツ</t>
    </rPh>
    <rPh sb="2" eb="4">
      <t>リンジ</t>
    </rPh>
    <rPh sb="4" eb="7">
      <t>ゾウカンゴウ</t>
    </rPh>
    <phoneticPr fontId="1"/>
  </si>
  <si>
    <r>
      <rPr>
        <sz val="11"/>
        <rFont val="游ゴシック Medium"/>
        <family val="3"/>
        <charset val="128"/>
      </rPr>
      <t>第</t>
    </r>
    <r>
      <rPr>
        <sz val="11"/>
        <rFont val="Consolas"/>
        <family val="3"/>
      </rPr>
      <t>41</t>
    </r>
    <r>
      <rPr>
        <sz val="11"/>
        <rFont val="游ゴシック Medium"/>
        <family val="3"/>
        <charset val="128"/>
      </rPr>
      <t>巻</t>
    </r>
    <r>
      <rPr>
        <sz val="11"/>
        <rFont val="Consolas"/>
        <family val="3"/>
      </rPr>
      <t>9</t>
    </r>
    <r>
      <rPr>
        <sz val="11"/>
        <rFont val="游ゴシック Medium"/>
        <family val="3"/>
        <charset val="128"/>
      </rPr>
      <t>号</t>
    </r>
    <rPh sb="0" eb="1">
      <t>ダイ</t>
    </rPh>
    <rPh sb="3" eb="4">
      <t>カン</t>
    </rPh>
    <rPh sb="5" eb="6">
      <t>ゴウ</t>
    </rPh>
    <phoneticPr fontId="1"/>
  </si>
  <si>
    <r>
      <rPr>
        <sz val="11"/>
        <rFont val="游ゴシック Medium"/>
        <family val="3"/>
        <charset val="128"/>
      </rPr>
      <t>學燈社</t>
    </r>
    <rPh sb="0" eb="3">
      <t>ガクトウシャ</t>
    </rPh>
    <phoneticPr fontId="1"/>
  </si>
  <si>
    <r>
      <rPr>
        <sz val="11"/>
        <rFont val="游ゴシック Medium"/>
        <family val="3"/>
        <charset val="128"/>
      </rPr>
      <t>渡辺信一郎</t>
    </r>
    <rPh sb="0" eb="2">
      <t>ワタナベ</t>
    </rPh>
    <rPh sb="2" eb="5">
      <t>シンイチロウ</t>
    </rPh>
    <phoneticPr fontId="1"/>
  </si>
  <si>
    <r>
      <rPr>
        <sz val="11"/>
        <rFont val="游ゴシック Medium"/>
        <family val="3"/>
        <charset val="128"/>
      </rPr>
      <t>江戸の閨房術</t>
    </r>
    <rPh sb="0" eb="2">
      <t>エド</t>
    </rPh>
    <rPh sb="3" eb="6">
      <t>ケイボウジュツ</t>
    </rPh>
    <phoneticPr fontId="1"/>
  </si>
  <si>
    <r>
      <rPr>
        <sz val="11"/>
        <rFont val="游ゴシック Medium"/>
        <family val="3"/>
        <charset val="128"/>
      </rPr>
      <t>新潮選書</t>
    </r>
    <r>
      <rPr>
        <sz val="11"/>
        <rFont val="Consolas"/>
        <family val="3"/>
      </rPr>
      <t>/</t>
    </r>
    <r>
      <rPr>
        <sz val="11"/>
        <rFont val="游ゴシック Medium"/>
        <family val="3"/>
        <charset val="128"/>
      </rPr>
      <t>新潮社</t>
    </r>
    <rPh sb="0" eb="2">
      <t>シンチョウ</t>
    </rPh>
    <rPh sb="2" eb="4">
      <t>センショ</t>
    </rPh>
    <rPh sb="5" eb="8">
      <t>シンチョウシャ</t>
    </rPh>
    <phoneticPr fontId="1"/>
  </si>
  <si>
    <r>
      <rPr>
        <sz val="11"/>
        <rFont val="游ゴシック Medium"/>
        <family val="3"/>
        <charset val="128"/>
      </rPr>
      <t>江戸の性愛術</t>
    </r>
    <rPh sb="0" eb="2">
      <t>エド</t>
    </rPh>
    <rPh sb="3" eb="5">
      <t>セイアイ</t>
    </rPh>
    <rPh sb="5" eb="6">
      <t>ジュツ</t>
    </rPh>
    <phoneticPr fontId="1"/>
  </si>
  <si>
    <r>
      <rPr>
        <sz val="11"/>
        <rFont val="游ゴシック Medium"/>
        <family val="3"/>
        <charset val="128"/>
      </rPr>
      <t>ユリイカ</t>
    </r>
    <r>
      <rPr>
        <sz val="11"/>
        <rFont val="Consolas"/>
        <family val="3"/>
      </rPr>
      <t xml:space="preserve"> </t>
    </r>
    <r>
      <rPr>
        <sz val="11"/>
        <rFont val="游ゴシック Medium"/>
        <family val="3"/>
        <charset val="128"/>
      </rPr>
      <t>臨時増刊</t>
    </r>
    <rPh sb="5" eb="9">
      <t>リンジゾウカン</t>
    </rPh>
    <phoneticPr fontId="1"/>
  </si>
  <si>
    <r>
      <rPr>
        <sz val="11"/>
        <rFont val="游ゴシック Medium"/>
        <family val="3"/>
        <charset val="128"/>
      </rPr>
      <t>ユリイカ</t>
    </r>
    <r>
      <rPr>
        <sz val="11"/>
        <rFont val="Consolas"/>
        <family val="3"/>
      </rPr>
      <t xml:space="preserve"> </t>
    </r>
    <r>
      <rPr>
        <sz val="11"/>
        <rFont val="游ゴシック Medium"/>
        <family val="3"/>
        <charset val="128"/>
      </rPr>
      <t>詩と批評</t>
    </r>
    <r>
      <rPr>
        <sz val="11"/>
        <rFont val="Consolas"/>
        <family val="3"/>
      </rPr>
      <t xml:space="preserve"> 1971/09, vol.3-10</t>
    </r>
    <rPh sb="5" eb="6">
      <t>シ</t>
    </rPh>
    <rPh sb="7" eb="9">
      <t>ヒヒョウ</t>
    </rPh>
    <phoneticPr fontId="1"/>
  </si>
  <si>
    <r>
      <t>Lautreamont</t>
    </r>
    <r>
      <rPr>
        <sz val="11"/>
        <rFont val="游ゴシック Medium"/>
        <family val="3"/>
        <charset val="128"/>
      </rPr>
      <t>伯爵</t>
    </r>
    <r>
      <rPr>
        <sz val="11"/>
        <rFont val="Consolas"/>
        <family val="3"/>
      </rPr>
      <t>=</t>
    </r>
    <r>
      <rPr>
        <sz val="11"/>
        <rFont val="游ゴシック Medium"/>
        <family val="3"/>
        <charset val="128"/>
      </rPr>
      <t>イジドール･デュカス</t>
    </r>
    <r>
      <rPr>
        <sz val="11"/>
        <rFont val="Consolas"/>
        <family val="3"/>
      </rPr>
      <t>/Le Comte de</t>
    </r>
    <rPh sb="0" eb="11">
      <t>ロートレアモン</t>
    </rPh>
    <rPh sb="11" eb="13">
      <t>ハクシャク</t>
    </rPh>
    <phoneticPr fontId="1"/>
  </si>
  <si>
    <r>
      <t>Lautreamont/</t>
    </r>
    <r>
      <rPr>
        <sz val="11"/>
        <rFont val="游ゴシック Medium"/>
        <family val="3"/>
        <charset val="128"/>
      </rPr>
      <t>増頁特集</t>
    </r>
    <rPh sb="0" eb="11">
      <t>ロートレアモン</t>
    </rPh>
    <rPh sb="12" eb="13">
      <t>ゾウ</t>
    </rPh>
    <rPh sb="13" eb="14">
      <t>ページ</t>
    </rPh>
    <rPh sb="14" eb="16">
      <t>トクシュウ</t>
    </rPh>
    <phoneticPr fontId="1"/>
  </si>
  <si>
    <r>
      <rPr>
        <sz val="11"/>
        <rFont val="游ゴシック Medium"/>
        <family val="3"/>
        <charset val="128"/>
      </rPr>
      <t>ユリイカ</t>
    </r>
    <r>
      <rPr>
        <sz val="11"/>
        <rFont val="Consolas"/>
        <family val="3"/>
      </rPr>
      <t xml:space="preserve"> </t>
    </r>
    <r>
      <rPr>
        <sz val="11"/>
        <rFont val="游ゴシック Medium"/>
        <family val="3"/>
        <charset val="128"/>
      </rPr>
      <t>詩と批評</t>
    </r>
    <r>
      <rPr>
        <sz val="11"/>
        <rFont val="Consolas"/>
        <family val="3"/>
      </rPr>
      <t xml:space="preserve"> 1976/02</t>
    </r>
    <rPh sb="5" eb="6">
      <t>シ</t>
    </rPh>
    <rPh sb="7" eb="9">
      <t>ヒヒョウ</t>
    </rPh>
    <phoneticPr fontId="1"/>
  </si>
  <si>
    <r>
      <t>Jean Genet/</t>
    </r>
    <r>
      <rPr>
        <sz val="11"/>
        <rFont val="游ゴシック Medium"/>
        <family val="3"/>
        <charset val="128"/>
      </rPr>
      <t>神なき薔薇の神学</t>
    </r>
    <rPh sb="0" eb="4">
      <t>ジャン</t>
    </rPh>
    <rPh sb="5" eb="10">
      <t>ジュネ</t>
    </rPh>
    <rPh sb="11" eb="12">
      <t>カミ</t>
    </rPh>
    <rPh sb="14" eb="16">
      <t>バラ</t>
    </rPh>
    <rPh sb="17" eb="19">
      <t>シンガク</t>
    </rPh>
    <phoneticPr fontId="1"/>
  </si>
  <si>
    <r>
      <rPr>
        <sz val="11"/>
        <rFont val="游ゴシック Medium"/>
        <family val="3"/>
        <charset val="128"/>
      </rPr>
      <t>ユリイカ</t>
    </r>
    <r>
      <rPr>
        <sz val="11"/>
        <rFont val="Consolas"/>
        <family val="3"/>
      </rPr>
      <t xml:space="preserve"> </t>
    </r>
    <r>
      <rPr>
        <sz val="11"/>
        <rFont val="游ゴシック Medium"/>
        <family val="3"/>
        <charset val="128"/>
      </rPr>
      <t>詩と批評</t>
    </r>
    <r>
      <rPr>
        <sz val="11"/>
        <rFont val="Consolas"/>
        <family val="3"/>
      </rPr>
      <t xml:space="preserve"> 9</t>
    </r>
    <rPh sb="5" eb="6">
      <t>シ</t>
    </rPh>
    <rPh sb="7" eb="9">
      <t>ヒヒョウ</t>
    </rPh>
    <phoneticPr fontId="1"/>
  </si>
  <si>
    <r>
      <rPr>
        <sz val="11"/>
        <rFont val="游ゴシック Medium"/>
        <family val="3"/>
        <charset val="128"/>
      </rPr>
      <t>ユリイカ</t>
    </r>
    <r>
      <rPr>
        <sz val="11"/>
        <rFont val="Consolas"/>
        <family val="3"/>
      </rPr>
      <t xml:space="preserve"> </t>
    </r>
    <r>
      <rPr>
        <sz val="11"/>
        <rFont val="游ゴシック Medium"/>
        <family val="3"/>
        <charset val="128"/>
      </rPr>
      <t>詩と批評</t>
    </r>
    <r>
      <rPr>
        <sz val="11"/>
        <rFont val="Consolas"/>
        <family val="3"/>
      </rPr>
      <t xml:space="preserve"> 2</t>
    </r>
    <rPh sb="5" eb="6">
      <t>シ</t>
    </rPh>
    <rPh sb="7" eb="9">
      <t>ヒヒョウ</t>
    </rPh>
    <phoneticPr fontId="1"/>
  </si>
  <si>
    <r>
      <rPr>
        <sz val="11"/>
        <rFont val="游ゴシック Medium"/>
        <family val="3"/>
        <charset val="128"/>
      </rPr>
      <t>ユリイカ</t>
    </r>
    <r>
      <rPr>
        <sz val="11"/>
        <rFont val="Consolas"/>
        <family val="3"/>
      </rPr>
      <t xml:space="preserve"> </t>
    </r>
    <r>
      <rPr>
        <sz val="11"/>
        <rFont val="游ゴシック Medium"/>
        <family val="3"/>
        <charset val="128"/>
      </rPr>
      <t>詩と批評</t>
    </r>
    <r>
      <rPr>
        <sz val="11"/>
        <rFont val="Consolas"/>
        <family val="3"/>
      </rPr>
      <t xml:space="preserve"> 1985/10</t>
    </r>
    <rPh sb="5" eb="6">
      <t>シ</t>
    </rPh>
    <rPh sb="7" eb="9">
      <t>ヒヒョウ</t>
    </rPh>
    <phoneticPr fontId="1"/>
  </si>
  <si>
    <r>
      <rPr>
        <sz val="11"/>
        <rFont val="游ゴシック Medium"/>
        <family val="3"/>
        <charset val="128"/>
      </rPr>
      <t>特集</t>
    </r>
    <r>
      <rPr>
        <sz val="11"/>
        <rFont val="Consolas"/>
        <family val="3"/>
      </rPr>
      <t xml:space="preserve"> 25</t>
    </r>
    <r>
      <rPr>
        <sz val="11"/>
        <rFont val="游ゴシック Medium"/>
        <family val="3"/>
        <charset val="128"/>
      </rPr>
      <t>人の恋人たち</t>
    </r>
    <rPh sb="0" eb="2">
      <t>トクシュウ</t>
    </rPh>
    <rPh sb="5" eb="6">
      <t>ニン</t>
    </rPh>
    <rPh sb="7" eb="9">
      <t>コイビト</t>
    </rPh>
    <phoneticPr fontId="1"/>
  </si>
  <si>
    <r>
      <rPr>
        <sz val="11"/>
        <rFont val="游ゴシック Medium"/>
        <family val="3"/>
        <charset val="128"/>
      </rPr>
      <t>ユリイカ</t>
    </r>
    <r>
      <rPr>
        <sz val="11"/>
        <rFont val="Consolas"/>
        <family val="3"/>
      </rPr>
      <t xml:space="preserve"> </t>
    </r>
    <r>
      <rPr>
        <sz val="11"/>
        <rFont val="游ゴシック Medium"/>
        <family val="3"/>
        <charset val="128"/>
      </rPr>
      <t>詩と批評</t>
    </r>
    <r>
      <rPr>
        <sz val="11"/>
        <rFont val="Consolas"/>
        <family val="3"/>
      </rPr>
      <t xml:space="preserve"> 1988/7</t>
    </r>
    <rPh sb="5" eb="6">
      <t>シ</t>
    </rPh>
    <rPh sb="7" eb="9">
      <t>ヒヒョウ</t>
    </rPh>
    <phoneticPr fontId="1"/>
  </si>
  <si>
    <r>
      <rPr>
        <sz val="11"/>
        <rFont val="游ゴシック Medium"/>
        <family val="3"/>
        <charset val="128"/>
      </rPr>
      <t>石川</t>
    </r>
    <r>
      <rPr>
        <sz val="11"/>
        <rFont val="Consolas"/>
        <family val="3"/>
      </rPr>
      <t xml:space="preserve"> </t>
    </r>
    <r>
      <rPr>
        <sz val="11"/>
        <rFont val="游ゴシック Medium"/>
        <family val="3"/>
        <charset val="128"/>
      </rPr>
      <t>淳</t>
    </r>
    <rPh sb="0" eb="2">
      <t>イシカワ</t>
    </rPh>
    <rPh sb="3" eb="4">
      <t>ジュン</t>
    </rPh>
    <phoneticPr fontId="1"/>
  </si>
  <si>
    <r>
      <rPr>
        <sz val="11"/>
        <rFont val="游ゴシック Medium"/>
        <family val="3"/>
        <charset val="128"/>
      </rPr>
      <t>特集</t>
    </r>
    <r>
      <rPr>
        <sz val="11"/>
        <rFont val="Consolas"/>
        <family val="3"/>
      </rPr>
      <t xml:space="preserve"> </t>
    </r>
    <r>
      <rPr>
        <sz val="11"/>
        <rFont val="游ゴシック Medium"/>
        <family val="3"/>
        <charset val="128"/>
      </rPr>
      <t>石川</t>
    </r>
    <r>
      <rPr>
        <sz val="11"/>
        <rFont val="Consolas"/>
        <family val="3"/>
      </rPr>
      <t xml:space="preserve"> </t>
    </r>
    <r>
      <rPr>
        <sz val="11"/>
        <rFont val="游ゴシック Medium"/>
        <family val="3"/>
        <charset val="128"/>
      </rPr>
      <t>淳</t>
    </r>
    <r>
      <rPr>
        <sz val="11"/>
        <rFont val="Consolas"/>
        <family val="3"/>
      </rPr>
      <t xml:space="preserve"> </t>
    </r>
    <r>
      <rPr>
        <sz val="11"/>
        <rFont val="游ゴシック Medium"/>
        <family val="3"/>
        <charset val="128"/>
      </rPr>
      <t>あるいは文体の魔術</t>
    </r>
    <rPh sb="0" eb="2">
      <t>トクシュウ</t>
    </rPh>
    <rPh sb="3" eb="5">
      <t>イシカワ</t>
    </rPh>
    <rPh sb="6" eb="7">
      <t>ジュン</t>
    </rPh>
    <rPh sb="12" eb="14">
      <t>ブンタイ</t>
    </rPh>
    <rPh sb="15" eb="17">
      <t>マジュツ</t>
    </rPh>
    <phoneticPr fontId="1"/>
  </si>
  <si>
    <r>
      <rPr>
        <sz val="11"/>
        <rFont val="游ゴシック Medium"/>
        <family val="3"/>
        <charset val="128"/>
      </rPr>
      <t>ユリイカ</t>
    </r>
    <r>
      <rPr>
        <sz val="11"/>
        <rFont val="Consolas"/>
        <family val="3"/>
      </rPr>
      <t xml:space="preserve"> </t>
    </r>
    <r>
      <rPr>
        <sz val="11"/>
        <rFont val="游ゴシック Medium"/>
        <family val="3"/>
        <charset val="128"/>
      </rPr>
      <t>詩と批評</t>
    </r>
    <r>
      <rPr>
        <sz val="11"/>
        <rFont val="Consolas"/>
        <family val="3"/>
      </rPr>
      <t xml:space="preserve"> 2000/10</t>
    </r>
    <rPh sb="5" eb="6">
      <t>シ</t>
    </rPh>
    <rPh sb="7" eb="9">
      <t>ヒヒョウ</t>
    </rPh>
    <phoneticPr fontId="1"/>
  </si>
  <si>
    <r>
      <rPr>
        <sz val="11"/>
        <rFont val="游ゴシック Medium"/>
        <family val="3"/>
        <charset val="128"/>
      </rPr>
      <t>ユリイカ</t>
    </r>
    <r>
      <rPr>
        <sz val="11"/>
        <rFont val="Consolas"/>
        <family val="3"/>
      </rPr>
      <t xml:space="preserve"> </t>
    </r>
    <r>
      <rPr>
        <sz val="11"/>
        <rFont val="游ゴシック Medium"/>
        <family val="3"/>
        <charset val="128"/>
      </rPr>
      <t>詩と批評</t>
    </r>
    <r>
      <rPr>
        <sz val="11"/>
        <rFont val="Consolas"/>
        <family val="3"/>
      </rPr>
      <t xml:space="preserve"> 2005/6</t>
    </r>
    <rPh sb="5" eb="6">
      <t>シ</t>
    </rPh>
    <rPh sb="7" eb="9">
      <t>ヒヒョウ</t>
    </rPh>
    <phoneticPr fontId="1"/>
  </si>
  <si>
    <r>
      <rPr>
        <sz val="11"/>
        <rFont val="游ゴシック Medium"/>
        <family val="3"/>
        <charset val="128"/>
      </rPr>
      <t>ムーンライダーズ</t>
    </r>
    <phoneticPr fontId="1"/>
  </si>
  <si>
    <r>
      <rPr>
        <sz val="11"/>
        <rFont val="游ゴシック Medium"/>
        <family val="3"/>
        <charset val="128"/>
      </rPr>
      <t>特集</t>
    </r>
    <r>
      <rPr>
        <sz val="11"/>
        <rFont val="Consolas"/>
        <family val="3"/>
      </rPr>
      <t>*</t>
    </r>
    <r>
      <rPr>
        <sz val="11"/>
        <rFont val="游ゴシック Medium"/>
        <family val="3"/>
        <charset val="128"/>
      </rPr>
      <t>ムーンライダーズ</t>
    </r>
    <r>
      <rPr>
        <sz val="11"/>
        <rFont val="Consolas"/>
        <family val="3"/>
      </rPr>
      <t xml:space="preserve"> </t>
    </r>
    <r>
      <rPr>
        <sz val="11"/>
        <rFont val="游ゴシック Medium"/>
        <family val="3"/>
        <charset val="128"/>
      </rPr>
      <t>薔薇がなくちゃ生きてゆけないんだってば</t>
    </r>
    <r>
      <rPr>
        <sz val="11"/>
        <rFont val="Consolas"/>
        <family val="3"/>
      </rPr>
      <t>!</t>
    </r>
    <rPh sb="0" eb="2">
      <t>トクシュウ</t>
    </rPh>
    <rPh sb="12" eb="14">
      <t>バラ</t>
    </rPh>
    <rPh sb="19" eb="20">
      <t>イ</t>
    </rPh>
    <phoneticPr fontId="1"/>
  </si>
  <si>
    <r>
      <rPr>
        <sz val="11"/>
        <rFont val="游ゴシック Medium"/>
        <family val="3"/>
        <charset val="128"/>
      </rPr>
      <t>澁澤龍彦</t>
    </r>
    <r>
      <rPr>
        <sz val="11"/>
        <rFont val="Consolas"/>
        <family val="3"/>
      </rPr>
      <t>Special</t>
    </r>
    <rPh sb="0" eb="4">
      <t>シブサワタツヒコ</t>
    </rPh>
    <rPh sb="4" eb="11">
      <t>スペシャル</t>
    </rPh>
    <phoneticPr fontId="1"/>
  </si>
  <si>
    <r>
      <rPr>
        <sz val="11"/>
        <rFont val="游ゴシック Medium"/>
        <family val="3"/>
        <charset val="128"/>
      </rPr>
      <t>Ⅰシブサワ</t>
    </r>
    <r>
      <rPr>
        <sz val="11"/>
        <rFont val="Consolas"/>
        <family val="3"/>
      </rPr>
      <t xml:space="preserve"> Chronicle</t>
    </r>
    <rPh sb="6" eb="15">
      <t>クロニクル</t>
    </rPh>
    <phoneticPr fontId="1"/>
  </si>
  <si>
    <r>
      <rPr>
        <sz val="11"/>
        <rFont val="游ゴシック Medium"/>
        <family val="3"/>
        <charset val="128"/>
      </rPr>
      <t>別冊幻想文学</t>
    </r>
    <rPh sb="0" eb="2">
      <t>ベッサツ</t>
    </rPh>
    <rPh sb="2" eb="4">
      <t>ゲンソウ</t>
    </rPh>
    <rPh sb="4" eb="6">
      <t>ブンガク</t>
    </rPh>
    <phoneticPr fontId="1"/>
  </si>
  <si>
    <r>
      <rPr>
        <sz val="11"/>
        <rFont val="游ゴシック Medium"/>
        <family val="3"/>
        <charset val="128"/>
      </rPr>
      <t>幻想文学出版局</t>
    </r>
    <rPh sb="0" eb="2">
      <t>ゲンソウ</t>
    </rPh>
    <rPh sb="2" eb="4">
      <t>ブンガク</t>
    </rPh>
    <rPh sb="4" eb="7">
      <t>シュッパンキョク</t>
    </rPh>
    <phoneticPr fontId="1"/>
  </si>
  <si>
    <r>
      <rPr>
        <sz val="11"/>
        <rFont val="游ゴシック Medium"/>
        <family val="3"/>
        <charset val="128"/>
      </rPr>
      <t>Ⅱドラコニア</t>
    </r>
    <r>
      <rPr>
        <sz val="11"/>
        <rFont val="Consolas"/>
        <family val="3"/>
      </rPr>
      <t xml:space="preserve"> Guide Map</t>
    </r>
    <rPh sb="7" eb="16">
      <t>ガイド　マップ</t>
    </rPh>
    <phoneticPr fontId="1"/>
  </si>
  <si>
    <r>
      <rPr>
        <sz val="11"/>
        <rFont val="游ゴシック Medium"/>
        <family val="3"/>
        <charset val="128"/>
      </rPr>
      <t>小林恭二</t>
    </r>
    <r>
      <rPr>
        <sz val="11"/>
        <rFont val="Consolas"/>
        <family val="3"/>
      </rPr>
      <t>/[</t>
    </r>
    <r>
      <rPr>
        <sz val="11"/>
        <rFont val="游ゴシック Medium"/>
        <family val="3"/>
        <charset val="128"/>
      </rPr>
      <t>新･一書一会</t>
    </r>
    <r>
      <rPr>
        <sz val="11"/>
        <rFont val="Consolas"/>
        <family val="3"/>
      </rPr>
      <t>]</t>
    </r>
    <rPh sb="0" eb="2">
      <t>コバヤシ</t>
    </rPh>
    <rPh sb="2" eb="4">
      <t>キョウジ</t>
    </rPh>
    <rPh sb="6" eb="7">
      <t>シン</t>
    </rPh>
    <rPh sb="8" eb="10">
      <t>イッショ</t>
    </rPh>
    <rPh sb="10" eb="12">
      <t>イチエ</t>
    </rPh>
    <phoneticPr fontId="1"/>
  </si>
  <si>
    <r>
      <rPr>
        <sz val="11"/>
        <rFont val="游ゴシック Medium"/>
        <family val="3"/>
        <charset val="128"/>
      </rPr>
      <t>特集</t>
    </r>
    <r>
      <rPr>
        <sz val="11"/>
        <rFont val="Consolas"/>
        <family val="3"/>
      </rPr>
      <t xml:space="preserve"> </t>
    </r>
    <r>
      <rPr>
        <sz val="11"/>
        <rFont val="游ゴシック Medium"/>
        <family val="3"/>
        <charset val="128"/>
      </rPr>
      <t>音楽</t>
    </r>
    <r>
      <rPr>
        <sz val="11"/>
        <rFont val="Consolas"/>
        <family val="3"/>
      </rPr>
      <t>+</t>
    </r>
    <r>
      <rPr>
        <sz val="11"/>
        <rFont val="游ゴシック Medium"/>
        <family val="3"/>
        <charset val="128"/>
      </rPr>
      <t>幻想</t>
    </r>
    <r>
      <rPr>
        <sz val="11"/>
        <rFont val="Consolas"/>
        <family val="3"/>
      </rPr>
      <t>+</t>
    </r>
    <r>
      <rPr>
        <sz val="11"/>
        <rFont val="游ゴシック Medium"/>
        <family val="3"/>
        <charset val="128"/>
      </rPr>
      <t>文学</t>
    </r>
    <rPh sb="0" eb="2">
      <t>トクシュウ</t>
    </rPh>
    <rPh sb="3" eb="5">
      <t>オンガク</t>
    </rPh>
    <rPh sb="6" eb="8">
      <t>ゲンソウ</t>
    </rPh>
    <rPh sb="9" eb="11">
      <t>ブンガク</t>
    </rPh>
    <phoneticPr fontId="1"/>
  </si>
  <si>
    <r>
      <rPr>
        <sz val="11"/>
        <rFont val="游ゴシック Medium"/>
        <family val="3"/>
        <charset val="128"/>
      </rPr>
      <t>幻想文学</t>
    </r>
    <r>
      <rPr>
        <sz val="11"/>
        <rFont val="Consolas"/>
        <family val="3"/>
      </rPr>
      <t>/53</t>
    </r>
    <rPh sb="0" eb="2">
      <t>ゲンソウ</t>
    </rPh>
    <rPh sb="2" eb="4">
      <t>ブンガク</t>
    </rPh>
    <phoneticPr fontId="1"/>
  </si>
  <si>
    <r>
      <rPr>
        <sz val="11"/>
        <rFont val="游ゴシック Medium"/>
        <family val="3"/>
        <charset val="128"/>
      </rPr>
      <t>文芸読本</t>
    </r>
    <rPh sb="0" eb="2">
      <t>ブンゲイ</t>
    </rPh>
    <rPh sb="2" eb="4">
      <t>トクホン</t>
    </rPh>
    <phoneticPr fontId="1"/>
  </si>
  <si>
    <r>
      <rPr>
        <sz val="11"/>
        <rFont val="游ゴシック Medium"/>
        <family val="3"/>
        <charset val="128"/>
      </rPr>
      <t>横光利一</t>
    </r>
    <rPh sb="0" eb="4">
      <t>ヨコミツリイチ</t>
    </rPh>
    <phoneticPr fontId="1"/>
  </si>
  <si>
    <r>
      <rPr>
        <sz val="11"/>
        <rFont val="游ゴシック Medium"/>
        <family val="3"/>
        <charset val="128"/>
      </rPr>
      <t>文芸読本</t>
    </r>
    <r>
      <rPr>
        <sz val="11"/>
        <rFont val="Consolas"/>
        <family val="3"/>
      </rPr>
      <t xml:space="preserve"> </t>
    </r>
    <r>
      <rPr>
        <sz val="11"/>
        <rFont val="游ゴシック Medium"/>
        <family val="3"/>
        <charset val="128"/>
      </rPr>
      <t>横光利一</t>
    </r>
    <rPh sb="0" eb="2">
      <t>ブンゲイ</t>
    </rPh>
    <rPh sb="2" eb="4">
      <t>トクホン</t>
    </rPh>
    <rPh sb="5" eb="9">
      <t>ヨコミツリイチ</t>
    </rPh>
    <phoneticPr fontId="1"/>
  </si>
  <si>
    <r>
      <rPr>
        <sz val="11"/>
        <rFont val="游ゴシック Medium"/>
        <family val="3"/>
        <charset val="128"/>
      </rPr>
      <t>文芸読本</t>
    </r>
    <r>
      <rPr>
        <sz val="11"/>
        <rFont val="Consolas"/>
        <family val="3"/>
      </rPr>
      <t xml:space="preserve"> </t>
    </r>
    <r>
      <rPr>
        <sz val="11"/>
        <rFont val="游ゴシック Medium"/>
        <family val="3"/>
        <charset val="128"/>
      </rPr>
      <t>泉</t>
    </r>
    <r>
      <rPr>
        <sz val="11"/>
        <rFont val="Consolas"/>
        <family val="3"/>
      </rPr>
      <t xml:space="preserve"> </t>
    </r>
    <r>
      <rPr>
        <sz val="11"/>
        <rFont val="游ゴシック Medium"/>
        <family val="3"/>
        <charset val="128"/>
      </rPr>
      <t>鏡花</t>
    </r>
    <rPh sb="0" eb="2">
      <t>ブンゲイ</t>
    </rPh>
    <rPh sb="2" eb="4">
      <t>トクホン</t>
    </rPh>
    <rPh sb="5" eb="9">
      <t>イズミキョウカ</t>
    </rPh>
    <phoneticPr fontId="1"/>
  </si>
  <si>
    <r>
      <rPr>
        <sz val="11"/>
        <rFont val="游ゴシック Medium"/>
        <family val="3"/>
        <charset val="128"/>
      </rPr>
      <t>文芸読本</t>
    </r>
    <r>
      <rPr>
        <sz val="11"/>
        <rFont val="Consolas"/>
        <family val="3"/>
      </rPr>
      <t xml:space="preserve"> </t>
    </r>
    <r>
      <rPr>
        <sz val="11"/>
        <rFont val="游ゴシック Medium"/>
        <family val="3"/>
        <charset val="128"/>
      </rPr>
      <t>澁澤龍彦</t>
    </r>
    <rPh sb="0" eb="2">
      <t>ブンゲイ</t>
    </rPh>
    <rPh sb="2" eb="4">
      <t>トクホン</t>
    </rPh>
    <rPh sb="5" eb="9">
      <t>シブサワタツヒコ</t>
    </rPh>
    <phoneticPr fontId="1"/>
  </si>
  <si>
    <r>
      <rPr>
        <sz val="11"/>
        <rFont val="游ゴシック Medium"/>
        <family val="3"/>
        <charset val="128"/>
      </rPr>
      <t>高橋</t>
    </r>
    <r>
      <rPr>
        <sz val="11"/>
        <rFont val="Consolas"/>
        <family val="3"/>
      </rPr>
      <t xml:space="preserve"> </t>
    </r>
    <r>
      <rPr>
        <sz val="11"/>
        <rFont val="游ゴシック Medium"/>
        <family val="3"/>
        <charset val="128"/>
      </rPr>
      <t>鐵</t>
    </r>
    <rPh sb="0" eb="4">
      <t>タカハシテツ</t>
    </rPh>
    <phoneticPr fontId="1"/>
  </si>
  <si>
    <r>
      <rPr>
        <sz val="11"/>
        <rFont val="游ゴシック Medium"/>
        <family val="3"/>
        <charset val="128"/>
      </rPr>
      <t>文芸読本</t>
    </r>
    <r>
      <rPr>
        <sz val="11"/>
        <rFont val="Consolas"/>
        <family val="3"/>
      </rPr>
      <t xml:space="preserve"> </t>
    </r>
    <r>
      <rPr>
        <sz val="11"/>
        <rFont val="游ゴシック Medium"/>
        <family val="3"/>
        <charset val="128"/>
      </rPr>
      <t>高橋</t>
    </r>
    <r>
      <rPr>
        <sz val="11"/>
        <rFont val="Consolas"/>
        <family val="3"/>
      </rPr>
      <t xml:space="preserve"> </t>
    </r>
    <r>
      <rPr>
        <sz val="11"/>
        <rFont val="游ゴシック Medium"/>
        <family val="3"/>
        <charset val="128"/>
      </rPr>
      <t>鐵</t>
    </r>
    <rPh sb="0" eb="2">
      <t>ブンゲイ</t>
    </rPh>
    <rPh sb="2" eb="4">
      <t>トクホン</t>
    </rPh>
    <rPh sb="5" eb="9">
      <t>タカハシテツ</t>
    </rPh>
    <phoneticPr fontId="1"/>
  </si>
  <si>
    <r>
      <rPr>
        <u/>
        <sz val="11"/>
        <color indexed="12"/>
        <rFont val="游ゴシック Medium"/>
        <family val="3"/>
        <charset val="128"/>
      </rPr>
      <t>大泉実成</t>
    </r>
    <r>
      <rPr>
        <u/>
        <sz val="11"/>
        <color indexed="12"/>
        <rFont val="Consolas"/>
        <family val="3"/>
      </rPr>
      <t>/</t>
    </r>
    <r>
      <rPr>
        <u/>
        <sz val="11"/>
        <color indexed="12"/>
        <rFont val="游ゴシック Medium"/>
        <family val="3"/>
        <charset val="128"/>
      </rPr>
      <t>他</t>
    </r>
    <rPh sb="0" eb="2">
      <t>オオイズミ</t>
    </rPh>
    <rPh sb="2" eb="4">
      <t>ミツナリ</t>
    </rPh>
    <rPh sb="5" eb="6">
      <t>ホカ</t>
    </rPh>
    <phoneticPr fontId="1"/>
  </si>
  <si>
    <r>
      <rPr>
        <u/>
        <sz val="11"/>
        <color indexed="12"/>
        <rFont val="游ゴシック Medium"/>
        <family val="3"/>
        <charset val="128"/>
      </rPr>
      <t>裸の自衛隊</t>
    </r>
    <r>
      <rPr>
        <u/>
        <sz val="11"/>
        <color indexed="12"/>
        <rFont val="Consolas"/>
        <family val="3"/>
      </rPr>
      <t>!</t>
    </r>
    <rPh sb="0" eb="1">
      <t>ハダカ</t>
    </rPh>
    <rPh sb="2" eb="5">
      <t>ジエイタイ</t>
    </rPh>
    <phoneticPr fontId="1"/>
  </si>
  <si>
    <r>
      <rPr>
        <sz val="11"/>
        <rFont val="游ゴシック Medium"/>
        <family val="3"/>
        <charset val="128"/>
      </rPr>
      <t>別冊宝島</t>
    </r>
    <r>
      <rPr>
        <sz val="11"/>
        <rFont val="Consolas"/>
        <family val="3"/>
      </rPr>
      <t>133</t>
    </r>
    <rPh sb="0" eb="2">
      <t>ベッサツ</t>
    </rPh>
    <rPh sb="2" eb="4">
      <t>タカラジマ</t>
    </rPh>
    <phoneticPr fontId="1"/>
  </si>
  <si>
    <r>
      <rPr>
        <u/>
        <sz val="11"/>
        <color indexed="12"/>
        <rFont val="游ゴシック Medium"/>
        <family val="3"/>
        <charset val="128"/>
      </rPr>
      <t>現代</t>
    </r>
    <rPh sb="0" eb="2">
      <t>ゲンダイ</t>
    </rPh>
    <phoneticPr fontId="1"/>
  </si>
  <si>
    <r>
      <rPr>
        <sz val="11"/>
        <rFont val="游ゴシック Medium"/>
        <family val="3"/>
        <charset val="128"/>
      </rPr>
      <t>別冊</t>
    </r>
    <r>
      <rPr>
        <sz val="11"/>
        <rFont val="Consolas"/>
        <family val="3"/>
      </rPr>
      <t>&lt;N-F&gt;</t>
    </r>
    <r>
      <rPr>
        <sz val="11"/>
        <rFont val="游ゴシック Medium"/>
        <family val="3"/>
        <charset val="128"/>
      </rPr>
      <t>宝島</t>
    </r>
    <rPh sb="0" eb="2">
      <t>ベッサツ</t>
    </rPh>
    <rPh sb="7" eb="9">
      <t>タカラジマ</t>
    </rPh>
    <phoneticPr fontId="1"/>
  </si>
  <si>
    <r>
      <rPr>
        <sz val="11"/>
        <rFont val="游ゴシック Medium"/>
        <family val="3"/>
        <charset val="128"/>
      </rPr>
      <t>推進か？廃炉か？</t>
    </r>
    <r>
      <rPr>
        <sz val="11"/>
        <rFont val="Consolas"/>
        <family val="3"/>
      </rPr>
      <t>&lt;</t>
    </r>
    <r>
      <rPr>
        <sz val="11"/>
        <rFont val="游ゴシック Medium"/>
        <family val="3"/>
        <charset val="128"/>
      </rPr>
      <t>決定版</t>
    </r>
    <r>
      <rPr>
        <sz val="11"/>
        <rFont val="Consolas"/>
        <family val="3"/>
      </rPr>
      <t>&gt;</t>
    </r>
    <r>
      <rPr>
        <sz val="11"/>
        <rFont val="游ゴシック Medium"/>
        <family val="3"/>
        <charset val="128"/>
      </rPr>
      <t>原発大論争！</t>
    </r>
    <r>
      <rPr>
        <sz val="11"/>
        <rFont val="Consolas"/>
        <family val="3"/>
      </rPr>
      <t xml:space="preserve"> &lt;</t>
    </r>
    <r>
      <rPr>
        <sz val="11"/>
        <rFont val="游ゴシック Medium"/>
        <family val="3"/>
        <charset val="128"/>
      </rPr>
      <t>半原発派</t>
    </r>
    <r>
      <rPr>
        <sz val="11"/>
        <rFont val="Consolas"/>
        <family val="3"/>
      </rPr>
      <t>Vs</t>
    </r>
    <r>
      <rPr>
        <sz val="11"/>
        <rFont val="游ゴシック Medium"/>
        <family val="3"/>
        <charset val="128"/>
      </rPr>
      <t>推進派</t>
    </r>
    <r>
      <rPr>
        <sz val="11"/>
        <rFont val="Consolas"/>
        <family val="3"/>
      </rPr>
      <t>&gt;</t>
    </r>
    <rPh sb="0" eb="2">
      <t>スイシン</t>
    </rPh>
    <rPh sb="4" eb="6">
      <t>ハイロ</t>
    </rPh>
    <rPh sb="9" eb="12">
      <t>ケッテイバン</t>
    </rPh>
    <rPh sb="13" eb="15">
      <t>ゲンパツ</t>
    </rPh>
    <rPh sb="15" eb="18">
      <t>ダイロンソウ</t>
    </rPh>
    <rPh sb="21" eb="22">
      <t>ハン</t>
    </rPh>
    <rPh sb="22" eb="24">
      <t>ゲンパツ</t>
    </rPh>
    <rPh sb="24" eb="25">
      <t>ハ</t>
    </rPh>
    <rPh sb="27" eb="29">
      <t>スイシン</t>
    </rPh>
    <rPh sb="29" eb="30">
      <t>ハ</t>
    </rPh>
    <phoneticPr fontId="1"/>
  </si>
  <si>
    <r>
      <rPr>
        <sz val="11"/>
        <rFont val="游ゴシック Medium"/>
        <family val="3"/>
        <charset val="128"/>
      </rPr>
      <t>別冊</t>
    </r>
    <r>
      <rPr>
        <sz val="11"/>
        <rFont val="Consolas"/>
        <family val="3"/>
      </rPr>
      <t>&lt;N-F&gt;</t>
    </r>
    <r>
      <rPr>
        <sz val="11"/>
        <rFont val="游ゴシック Medium"/>
        <family val="3"/>
        <charset val="128"/>
      </rPr>
      <t>宝島</t>
    </r>
    <r>
      <rPr>
        <sz val="11"/>
        <rFont val="Consolas"/>
        <family val="3"/>
      </rPr>
      <t>81</t>
    </r>
    <rPh sb="0" eb="2">
      <t>ベッサツ</t>
    </rPh>
    <rPh sb="7" eb="9">
      <t>タカラジマ</t>
    </rPh>
    <phoneticPr fontId="1"/>
  </si>
  <si>
    <r>
      <rPr>
        <sz val="11"/>
        <rFont val="游ゴシック Medium"/>
        <family val="3"/>
        <charset val="128"/>
      </rPr>
      <t>徳田耕一</t>
    </r>
    <rPh sb="0" eb="2">
      <t>トクダ</t>
    </rPh>
    <rPh sb="2" eb="4">
      <t>コウイチ</t>
    </rPh>
    <phoneticPr fontId="1"/>
  </si>
  <si>
    <r>
      <rPr>
        <sz val="11"/>
        <rFont val="游ゴシック Medium"/>
        <family val="3"/>
        <charset val="128"/>
      </rPr>
      <t>近藤峰生</t>
    </r>
    <rPh sb="0" eb="2">
      <t>コンドウ</t>
    </rPh>
    <rPh sb="2" eb="4">
      <t>ミネオ</t>
    </rPh>
    <phoneticPr fontId="1"/>
  </si>
  <si>
    <r>
      <rPr>
        <sz val="11"/>
        <rFont val="游ゴシック Medium"/>
        <family val="3"/>
        <charset val="128"/>
      </rPr>
      <t>絡む</t>
    </r>
    <rPh sb="0" eb="1">
      <t>カラ</t>
    </rPh>
    <phoneticPr fontId="1"/>
  </si>
  <si>
    <r>
      <rPr>
        <sz val="11"/>
        <rFont val="游ゴシック Medium"/>
        <family val="3"/>
        <charset val="128"/>
      </rPr>
      <t>面白のりもの探検</t>
    </r>
    <r>
      <rPr>
        <sz val="11"/>
        <rFont val="Consolas"/>
        <family val="3"/>
      </rPr>
      <t>Guide/</t>
    </r>
    <r>
      <rPr>
        <sz val="11"/>
        <rFont val="游ゴシック Medium"/>
        <family val="3"/>
        <charset val="128"/>
      </rPr>
      <t>中部広域版</t>
    </r>
    <rPh sb="0" eb="2">
      <t>オモシロ</t>
    </rPh>
    <rPh sb="6" eb="8">
      <t>タンケン</t>
    </rPh>
    <rPh sb="8" eb="13">
      <t>ガイド</t>
    </rPh>
    <rPh sb="14" eb="16">
      <t>チュウブ</t>
    </rPh>
    <rPh sb="16" eb="18">
      <t>コウイキ</t>
    </rPh>
    <rPh sb="18" eb="19">
      <t>バン</t>
    </rPh>
    <phoneticPr fontId="1"/>
  </si>
  <si>
    <r>
      <rPr>
        <sz val="11"/>
        <rFont val="游ゴシック Medium"/>
        <family val="3"/>
        <charset val="128"/>
      </rPr>
      <t>風媒社</t>
    </r>
    <rPh sb="0" eb="1">
      <t>フウ</t>
    </rPh>
    <rPh sb="1" eb="2">
      <t>バイ</t>
    </rPh>
    <rPh sb="2" eb="3">
      <t>シャ</t>
    </rPh>
    <phoneticPr fontId="1"/>
  </si>
  <si>
    <r>
      <rPr>
        <sz val="11"/>
        <rFont val="游ゴシック Medium"/>
        <family val="3"/>
        <charset val="128"/>
      </rPr>
      <t>歴史と現代</t>
    </r>
    <rPh sb="0" eb="2">
      <t>レキシ</t>
    </rPh>
    <rPh sb="3" eb="5">
      <t>ゲンダイ</t>
    </rPh>
    <phoneticPr fontId="1"/>
  </si>
  <si>
    <r>
      <rPr>
        <sz val="11"/>
        <rFont val="游ゴシック Medium"/>
        <family val="3"/>
        <charset val="128"/>
      </rPr>
      <t>卑弥呼</t>
    </r>
    <r>
      <rPr>
        <sz val="11"/>
        <rFont val="Consolas"/>
        <family val="3"/>
      </rPr>
      <t>-</t>
    </r>
    <r>
      <rPr>
        <sz val="11"/>
        <rFont val="游ゴシック Medium"/>
        <family val="3"/>
        <charset val="128"/>
      </rPr>
      <t>任那</t>
    </r>
    <r>
      <rPr>
        <sz val="11"/>
        <rFont val="Consolas"/>
        <family val="3"/>
      </rPr>
      <t>-</t>
    </r>
    <r>
      <rPr>
        <sz val="11"/>
        <rFont val="游ゴシック Medium"/>
        <family val="3"/>
        <charset val="128"/>
      </rPr>
      <t>馬子の系譜</t>
    </r>
    <rPh sb="0" eb="3">
      <t>ヒミコ</t>
    </rPh>
    <rPh sb="4" eb="6">
      <t>ニマナ</t>
    </rPh>
    <rPh sb="7" eb="8">
      <t>ウマ</t>
    </rPh>
    <rPh sb="8" eb="9">
      <t>コ</t>
    </rPh>
    <rPh sb="10" eb="12">
      <t>ケイフ</t>
    </rPh>
    <phoneticPr fontId="1"/>
  </si>
  <si>
    <r>
      <rPr>
        <sz val="11"/>
        <rFont val="游ゴシック Medium"/>
        <family val="3"/>
        <charset val="128"/>
      </rPr>
      <t>新國民社</t>
    </r>
    <rPh sb="0" eb="1">
      <t>シン</t>
    </rPh>
    <rPh sb="1" eb="3">
      <t>コクミン</t>
    </rPh>
    <rPh sb="3" eb="4">
      <t>シャ</t>
    </rPh>
    <phoneticPr fontId="1"/>
  </si>
  <si>
    <r>
      <rPr>
        <sz val="11"/>
        <rFont val="游ゴシック Medium"/>
        <family val="3"/>
        <charset val="128"/>
      </rPr>
      <t>天皇怨霊秘史</t>
    </r>
    <rPh sb="0" eb="2">
      <t>テンノウ</t>
    </rPh>
    <rPh sb="2" eb="4">
      <t>オンリョウ</t>
    </rPh>
    <rPh sb="4" eb="6">
      <t>ヒシ</t>
    </rPh>
    <phoneticPr fontId="1"/>
  </si>
  <si>
    <r>
      <rPr>
        <sz val="11"/>
        <rFont val="游ゴシック Medium"/>
        <family val="3"/>
        <charset val="128"/>
      </rPr>
      <t>新人物往来社</t>
    </r>
    <rPh sb="0" eb="1">
      <t>シン</t>
    </rPh>
    <rPh sb="1" eb="3">
      <t>ジンブツ</t>
    </rPh>
    <rPh sb="3" eb="6">
      <t>オウライシャ</t>
    </rPh>
    <phoneticPr fontId="1"/>
  </si>
  <si>
    <r>
      <rPr>
        <sz val="11"/>
        <rFont val="游ゴシック Medium"/>
        <family val="3"/>
        <charset val="128"/>
      </rPr>
      <t>歴史読本特別増刊・事典</t>
    </r>
    <r>
      <rPr>
        <sz val="11"/>
        <rFont val="Consolas"/>
        <family val="3"/>
      </rPr>
      <t>Series</t>
    </r>
    <rPh sb="0" eb="2">
      <t>レキシ</t>
    </rPh>
    <rPh sb="2" eb="4">
      <t>トクホン</t>
    </rPh>
    <rPh sb="4" eb="6">
      <t>トクベツ</t>
    </rPh>
    <rPh sb="6" eb="8">
      <t>ゾウカン</t>
    </rPh>
    <rPh sb="9" eb="11">
      <t>ジテン</t>
    </rPh>
    <rPh sb="11" eb="17">
      <t>シリーズ</t>
    </rPh>
    <phoneticPr fontId="1"/>
  </si>
  <si>
    <r>
      <rPr>
        <sz val="11"/>
        <rFont val="游ゴシック Medium"/>
        <family val="3"/>
        <charset val="128"/>
      </rPr>
      <t>天皇陵</t>
    </r>
    <r>
      <rPr>
        <sz val="11"/>
        <rFont val="Consolas"/>
        <family val="3"/>
      </rPr>
      <t xml:space="preserve"> </t>
    </r>
    <r>
      <rPr>
        <sz val="11"/>
        <rFont val="游ゴシック Medium"/>
        <family val="3"/>
        <charset val="128"/>
      </rPr>
      <t>総覧</t>
    </r>
    <rPh sb="0" eb="3">
      <t>テンノウリョウ</t>
    </rPh>
    <rPh sb="4" eb="6">
      <t>ソウラン</t>
    </rPh>
    <phoneticPr fontId="1"/>
  </si>
  <si>
    <r>
      <rPr>
        <sz val="11"/>
        <rFont val="游ゴシック Medium"/>
        <family val="3"/>
        <charset val="128"/>
      </rPr>
      <t>歴史読本特別増刊・事典</t>
    </r>
    <r>
      <rPr>
        <sz val="11"/>
        <rFont val="Consolas"/>
        <family val="3"/>
      </rPr>
      <t>Series 19</t>
    </r>
    <rPh sb="0" eb="2">
      <t>レキシ</t>
    </rPh>
    <rPh sb="2" eb="4">
      <t>トクホン</t>
    </rPh>
    <rPh sb="4" eb="6">
      <t>トクベツ</t>
    </rPh>
    <rPh sb="6" eb="8">
      <t>ゾウカン</t>
    </rPh>
    <rPh sb="9" eb="11">
      <t>ジテン</t>
    </rPh>
    <rPh sb="11" eb="17">
      <t>シリーズ</t>
    </rPh>
    <phoneticPr fontId="1"/>
  </si>
  <si>
    <r>
      <rPr>
        <sz val="11"/>
        <rFont val="游ゴシック Medium"/>
        <family val="3"/>
        <charset val="128"/>
      </rPr>
      <t>日本女性史「人物」総覧</t>
    </r>
    <rPh sb="0" eb="2">
      <t>ニホン</t>
    </rPh>
    <rPh sb="2" eb="5">
      <t>ジョセイシ</t>
    </rPh>
    <rPh sb="6" eb="8">
      <t>ジンブツ</t>
    </rPh>
    <rPh sb="9" eb="11">
      <t>ソウラン</t>
    </rPh>
    <phoneticPr fontId="1"/>
  </si>
  <si>
    <r>
      <rPr>
        <sz val="11"/>
        <rFont val="游ゴシック Medium"/>
        <family val="3"/>
        <charset val="128"/>
      </rPr>
      <t>歴史読本特別増刊・事典</t>
    </r>
    <r>
      <rPr>
        <sz val="11"/>
        <rFont val="Consolas"/>
        <family val="3"/>
      </rPr>
      <t>Series 30</t>
    </r>
    <rPh sb="0" eb="2">
      <t>レキシ</t>
    </rPh>
    <rPh sb="2" eb="4">
      <t>トクホン</t>
    </rPh>
    <rPh sb="4" eb="6">
      <t>トクベツ</t>
    </rPh>
    <rPh sb="6" eb="8">
      <t>ゾウカン</t>
    </rPh>
    <rPh sb="9" eb="11">
      <t>ジテン</t>
    </rPh>
    <rPh sb="11" eb="17">
      <t>シリーズ</t>
    </rPh>
    <phoneticPr fontId="1"/>
  </si>
  <si>
    <r>
      <rPr>
        <sz val="11"/>
        <rFont val="游ゴシック Medium"/>
        <family val="3"/>
        <charset val="128"/>
      </rPr>
      <t>歴史読本特別増刊・歴史ロマン</t>
    </r>
    <r>
      <rPr>
        <sz val="11"/>
        <rFont val="Consolas"/>
        <family val="3"/>
      </rPr>
      <t>Series</t>
    </r>
    <rPh sb="0" eb="2">
      <t>レキシ</t>
    </rPh>
    <rPh sb="2" eb="4">
      <t>トクホン</t>
    </rPh>
    <rPh sb="4" eb="6">
      <t>トクベツ</t>
    </rPh>
    <rPh sb="6" eb="8">
      <t>ゾウカン</t>
    </rPh>
    <rPh sb="9" eb="11">
      <t>レキシ</t>
    </rPh>
    <rPh sb="14" eb="20">
      <t>シリーズ</t>
    </rPh>
    <phoneticPr fontId="1"/>
  </si>
  <si>
    <r>
      <rPr>
        <sz val="11"/>
        <rFont val="游ゴシック Medium"/>
        <family val="3"/>
        <charset val="128"/>
      </rPr>
      <t>決定版</t>
    </r>
    <r>
      <rPr>
        <sz val="11"/>
        <rFont val="Consolas"/>
        <family val="3"/>
      </rPr>
      <t xml:space="preserve"> </t>
    </r>
    <r>
      <rPr>
        <sz val="11"/>
        <rFont val="游ゴシック Medium"/>
        <family val="3"/>
        <charset val="128"/>
      </rPr>
      <t>「忍者」のすべて</t>
    </r>
    <rPh sb="0" eb="3">
      <t>ケッテイバン</t>
    </rPh>
    <rPh sb="5" eb="7">
      <t>ニンジャ</t>
    </rPh>
    <phoneticPr fontId="1"/>
  </si>
  <si>
    <r>
      <rPr>
        <sz val="11"/>
        <rFont val="游ゴシック Medium"/>
        <family val="3"/>
        <charset val="128"/>
      </rPr>
      <t>歴史研究</t>
    </r>
    <rPh sb="0" eb="2">
      <t>レキシ</t>
    </rPh>
    <rPh sb="2" eb="4">
      <t>ケンキュウ</t>
    </rPh>
    <phoneticPr fontId="1"/>
  </si>
  <si>
    <r>
      <rPr>
        <sz val="11"/>
        <rFont val="游ゴシック Medium"/>
        <family val="3"/>
        <charset val="128"/>
      </rPr>
      <t>特集・森蘭丸とその一族</t>
    </r>
    <rPh sb="0" eb="2">
      <t>トクシュウ</t>
    </rPh>
    <rPh sb="3" eb="4">
      <t>モリ</t>
    </rPh>
    <rPh sb="4" eb="5">
      <t>ラン</t>
    </rPh>
    <rPh sb="5" eb="6">
      <t>マル</t>
    </rPh>
    <rPh sb="9" eb="11">
      <t>イチゾク</t>
    </rPh>
    <phoneticPr fontId="1"/>
  </si>
  <si>
    <r>
      <rPr>
        <sz val="11"/>
        <rFont val="游ゴシック Medium"/>
        <family val="3"/>
        <charset val="128"/>
      </rPr>
      <t>歴史研究</t>
    </r>
    <r>
      <rPr>
        <sz val="11"/>
        <rFont val="Consolas"/>
        <family val="3"/>
      </rPr>
      <t>/No387</t>
    </r>
    <rPh sb="0" eb="2">
      <t>レキシ</t>
    </rPh>
    <rPh sb="2" eb="4">
      <t>ケンキュウ</t>
    </rPh>
    <phoneticPr fontId="1"/>
  </si>
  <si>
    <r>
      <rPr>
        <sz val="11"/>
        <rFont val="游ゴシック Medium"/>
        <family val="3"/>
        <charset val="128"/>
      </rPr>
      <t>歴史人</t>
    </r>
    <rPh sb="0" eb="2">
      <t>レキシ</t>
    </rPh>
    <rPh sb="2" eb="3">
      <t>ジン</t>
    </rPh>
    <phoneticPr fontId="1"/>
  </si>
  <si>
    <r>
      <rPr>
        <sz val="11"/>
        <rFont val="游ゴシック Medium"/>
        <family val="3"/>
        <charset val="128"/>
      </rPr>
      <t>【保存版特集】『古事記』と『日本書紀』の真実</t>
    </r>
    <rPh sb="1" eb="4">
      <t>ホゾンバン</t>
    </rPh>
    <rPh sb="4" eb="6">
      <t>トクシュウ</t>
    </rPh>
    <rPh sb="8" eb="11">
      <t>コジキ</t>
    </rPh>
    <rPh sb="14" eb="18">
      <t>ニホンショキ</t>
    </rPh>
    <rPh sb="20" eb="22">
      <t>シンジツ</t>
    </rPh>
    <phoneticPr fontId="1"/>
  </si>
  <si>
    <r>
      <t>KK</t>
    </r>
    <r>
      <rPr>
        <sz val="11"/>
        <rFont val="游ゴシック Medium"/>
        <family val="3"/>
        <charset val="128"/>
      </rPr>
      <t>ベストセラーズ</t>
    </r>
    <phoneticPr fontId="1"/>
  </si>
  <si>
    <r>
      <rPr>
        <sz val="11"/>
        <rFont val="游ゴシック Medium"/>
        <family val="3"/>
        <charset val="128"/>
      </rPr>
      <t>よーこ購入</t>
    </r>
    <rPh sb="3" eb="5">
      <t>コウニュウ</t>
    </rPh>
    <phoneticPr fontId="1"/>
  </si>
  <si>
    <r>
      <rPr>
        <sz val="11"/>
        <rFont val="游ゴシック Medium"/>
        <family val="3"/>
        <charset val="128"/>
      </rPr>
      <t>林</t>
    </r>
    <r>
      <rPr>
        <sz val="11"/>
        <rFont val="Consolas"/>
        <family val="3"/>
      </rPr>
      <t xml:space="preserve"> </t>
    </r>
    <r>
      <rPr>
        <sz val="11"/>
        <rFont val="游ゴシック Medium"/>
        <family val="3"/>
        <charset val="128"/>
      </rPr>
      <t>建良</t>
    </r>
    <r>
      <rPr>
        <sz val="11"/>
        <rFont val="Consolas"/>
        <family val="3"/>
      </rPr>
      <t xml:space="preserve"> × </t>
    </r>
    <r>
      <rPr>
        <sz val="11"/>
        <rFont val="游ゴシック Medium"/>
        <family val="3"/>
        <charset val="128"/>
      </rPr>
      <t>藤井</t>
    </r>
    <r>
      <rPr>
        <sz val="11"/>
        <rFont val="Consolas"/>
        <family val="3"/>
      </rPr>
      <t xml:space="preserve"> </t>
    </r>
    <r>
      <rPr>
        <sz val="11"/>
        <rFont val="游ゴシック Medium"/>
        <family val="3"/>
        <charset val="128"/>
      </rPr>
      <t>厳喜</t>
    </r>
    <rPh sb="0" eb="1">
      <t>リン</t>
    </rPh>
    <rPh sb="2" eb="4">
      <t>ケンリョウ</t>
    </rPh>
    <rPh sb="7" eb="9">
      <t>フジイ</t>
    </rPh>
    <rPh sb="10" eb="12">
      <t>ゲンキ</t>
    </rPh>
    <phoneticPr fontId="1"/>
  </si>
  <si>
    <r>
      <rPr>
        <sz val="11"/>
        <rFont val="游ゴシック Medium"/>
        <family val="3"/>
        <charset val="128"/>
      </rPr>
      <t>台湾人から見る中国人文化</t>
    </r>
    <rPh sb="0" eb="3">
      <t>タイワンジン</t>
    </rPh>
    <rPh sb="5" eb="6">
      <t>ミ</t>
    </rPh>
    <rPh sb="7" eb="10">
      <t>チュウゴクジン</t>
    </rPh>
    <rPh sb="10" eb="12">
      <t>ブンカ</t>
    </rPh>
    <phoneticPr fontId="1"/>
  </si>
  <si>
    <r>
      <t>TAIWAN VOICE+ REPORT|</t>
    </r>
    <r>
      <rPr>
        <sz val="11"/>
        <rFont val="游ゴシック Medium"/>
        <family val="3"/>
        <charset val="128"/>
      </rPr>
      <t>台湾ボイス</t>
    </r>
    <r>
      <rPr>
        <sz val="11"/>
        <rFont val="Consolas"/>
        <family val="3"/>
      </rPr>
      <t xml:space="preserve"> </t>
    </r>
    <r>
      <rPr>
        <sz val="11"/>
        <rFont val="游ゴシック Medium"/>
        <family val="3"/>
        <charset val="128"/>
      </rPr>
      <t>レポート</t>
    </r>
    <r>
      <rPr>
        <sz val="11"/>
        <rFont val="Consolas"/>
        <family val="3"/>
      </rPr>
      <t xml:space="preserve"> Vol.14 2022/05</t>
    </r>
    <r>
      <rPr>
        <sz val="11"/>
        <rFont val="游ゴシック Medium"/>
        <family val="3"/>
        <charset val="128"/>
      </rPr>
      <t>月号</t>
    </r>
    <rPh sb="21" eb="23">
      <t>タイワン</t>
    </rPh>
    <phoneticPr fontId="1"/>
  </si>
  <si>
    <r>
      <rPr>
        <sz val="11"/>
        <rFont val="游ゴシック Medium"/>
        <family val="3"/>
        <charset val="128"/>
      </rPr>
      <t>ダイレクト出版</t>
    </r>
    <rPh sb="5" eb="7">
      <t>シュッパン</t>
    </rPh>
    <phoneticPr fontId="1"/>
  </si>
  <si>
    <r>
      <rPr>
        <sz val="11"/>
        <rFont val="游ゴシック Medium"/>
        <family val="3"/>
        <charset val="128"/>
      </rPr>
      <t>サブスク付録</t>
    </r>
    <rPh sb="4" eb="6">
      <t>フロク</t>
    </rPh>
    <phoneticPr fontId="1"/>
  </si>
  <si>
    <r>
      <rPr>
        <sz val="11"/>
        <rFont val="游ゴシック Medium"/>
        <family val="3"/>
        <charset val="128"/>
      </rPr>
      <t>きたやま</t>
    </r>
    <r>
      <rPr>
        <sz val="11"/>
        <rFont val="Consolas"/>
        <family val="3"/>
      </rPr>
      <t xml:space="preserve"> </t>
    </r>
    <r>
      <rPr>
        <sz val="11"/>
        <rFont val="游ゴシック Medium"/>
        <family val="3"/>
        <charset val="128"/>
      </rPr>
      <t>おさむ</t>
    </r>
    <phoneticPr fontId="1"/>
  </si>
  <si>
    <r>
      <t>NHK</t>
    </r>
    <r>
      <rPr>
        <sz val="11"/>
        <rFont val="游ゴシック Medium"/>
        <family val="3"/>
        <charset val="128"/>
      </rPr>
      <t>文化</t>
    </r>
    <r>
      <rPr>
        <sz val="11"/>
        <rFont val="Consolas"/>
        <family val="3"/>
      </rPr>
      <t>Seminar/</t>
    </r>
    <r>
      <rPr>
        <sz val="11"/>
        <rFont val="游ゴシック Medium"/>
        <family val="3"/>
        <charset val="128"/>
      </rPr>
      <t>文化の深層心理学</t>
    </r>
    <r>
      <rPr>
        <sz val="11"/>
        <rFont val="Consolas"/>
        <family val="3"/>
      </rPr>
      <t>/</t>
    </r>
    <r>
      <rPr>
        <sz val="11"/>
        <rFont val="游ゴシック Medium"/>
        <family val="3"/>
        <charset val="128"/>
      </rPr>
      <t>上</t>
    </r>
    <r>
      <rPr>
        <sz val="11"/>
        <rFont val="Consolas"/>
        <family val="3"/>
      </rPr>
      <t>/</t>
    </r>
    <r>
      <rPr>
        <sz val="11"/>
        <rFont val="游ゴシック Medium"/>
        <family val="3"/>
        <charset val="128"/>
      </rPr>
      <t>人間を探る</t>
    </r>
    <r>
      <rPr>
        <sz val="11"/>
        <rFont val="Consolas"/>
        <family val="3"/>
      </rPr>
      <t>/Radio</t>
    </r>
    <r>
      <rPr>
        <sz val="11"/>
        <rFont val="游ゴシック Medium"/>
        <family val="3"/>
        <charset val="128"/>
      </rPr>
      <t>第</t>
    </r>
    <r>
      <rPr>
        <sz val="11"/>
        <rFont val="Consolas"/>
        <family val="3"/>
      </rPr>
      <t>2</t>
    </r>
    <r>
      <rPr>
        <sz val="11"/>
        <rFont val="游ゴシック Medium"/>
        <family val="3"/>
        <charset val="128"/>
      </rPr>
      <t>放送</t>
    </r>
    <rPh sb="3" eb="5">
      <t>ブンカ</t>
    </rPh>
    <rPh sb="5" eb="12">
      <t>セミナー</t>
    </rPh>
    <rPh sb="13" eb="15">
      <t>ブンカ</t>
    </rPh>
    <rPh sb="16" eb="18">
      <t>シンソウ</t>
    </rPh>
    <rPh sb="18" eb="21">
      <t>シンリガク</t>
    </rPh>
    <rPh sb="22" eb="23">
      <t>ジョウ</t>
    </rPh>
    <rPh sb="24" eb="26">
      <t>ニンゲン</t>
    </rPh>
    <rPh sb="27" eb="28">
      <t>サグ</t>
    </rPh>
    <rPh sb="30" eb="35">
      <t>ラジオ</t>
    </rPh>
    <rPh sb="35" eb="36">
      <t>ダイ</t>
    </rPh>
    <rPh sb="37" eb="39">
      <t>ホウソウ</t>
    </rPh>
    <phoneticPr fontId="1"/>
  </si>
  <si>
    <r>
      <rPr>
        <sz val="11"/>
        <rFont val="游ゴシック Medium"/>
        <family val="3"/>
        <charset val="128"/>
      </rPr>
      <t>嵐山光三郎</t>
    </r>
    <rPh sb="0" eb="2">
      <t>アラシヤマ</t>
    </rPh>
    <rPh sb="2" eb="5">
      <t>ミツサブロウ</t>
    </rPh>
    <phoneticPr fontId="1"/>
  </si>
  <si>
    <r>
      <t>NHK</t>
    </r>
    <r>
      <rPr>
        <sz val="11"/>
        <rFont val="游ゴシック Medium"/>
        <family val="3"/>
        <charset val="128"/>
      </rPr>
      <t>人間講座</t>
    </r>
    <r>
      <rPr>
        <sz val="11"/>
        <rFont val="Consolas"/>
        <family val="3"/>
      </rPr>
      <t>/</t>
    </r>
    <r>
      <rPr>
        <sz val="11"/>
        <rFont val="游ゴシック Medium"/>
        <family val="3"/>
        <charset val="128"/>
      </rPr>
      <t>追悼もまた文学なり</t>
    </r>
    <rPh sb="3" eb="5">
      <t>ニンゲン</t>
    </rPh>
    <rPh sb="5" eb="7">
      <t>コウザ</t>
    </rPh>
    <rPh sb="8" eb="10">
      <t>ツイトウ</t>
    </rPh>
    <rPh sb="13" eb="15">
      <t>ブンガク</t>
    </rPh>
    <phoneticPr fontId="1"/>
  </si>
  <si>
    <r>
      <rPr>
        <sz val="11"/>
        <rFont val="游ゴシック Medium"/>
        <family val="3"/>
        <charset val="128"/>
      </rPr>
      <t>小西聖子</t>
    </r>
    <rPh sb="0" eb="2">
      <t>コニシ</t>
    </rPh>
    <rPh sb="2" eb="4">
      <t>タカコ</t>
    </rPh>
    <phoneticPr fontId="1"/>
  </si>
  <si>
    <r>
      <t>NHK</t>
    </r>
    <r>
      <rPr>
        <sz val="11"/>
        <rFont val="游ゴシック Medium"/>
        <family val="3"/>
        <charset val="128"/>
      </rPr>
      <t>人間講座</t>
    </r>
    <r>
      <rPr>
        <sz val="11"/>
        <rFont val="Consolas"/>
        <family val="3"/>
      </rPr>
      <t>/Trauma</t>
    </r>
    <r>
      <rPr>
        <sz val="11"/>
        <rFont val="游ゴシック Medium"/>
        <family val="3"/>
        <charset val="128"/>
      </rPr>
      <t>の心理学</t>
    </r>
    <rPh sb="3" eb="5">
      <t>ニンゲン</t>
    </rPh>
    <rPh sb="5" eb="7">
      <t>コウザ</t>
    </rPh>
    <rPh sb="8" eb="14">
      <t>トラウマ</t>
    </rPh>
    <rPh sb="15" eb="18">
      <t>シンリガク</t>
    </rPh>
    <phoneticPr fontId="1"/>
  </si>
  <si>
    <r>
      <t>NHK</t>
    </r>
    <r>
      <rPr>
        <sz val="11"/>
        <rFont val="游ゴシック Medium"/>
        <family val="3"/>
        <charset val="128"/>
      </rPr>
      <t>日本の伝統芸能</t>
    </r>
    <r>
      <rPr>
        <sz val="11"/>
        <rFont val="Consolas"/>
        <family val="3"/>
      </rPr>
      <t>/</t>
    </r>
    <r>
      <rPr>
        <sz val="11"/>
        <rFont val="游ゴシック Medium"/>
        <family val="3"/>
        <charset val="128"/>
      </rPr>
      <t>鑑賞入門</t>
    </r>
    <r>
      <rPr>
        <sz val="11"/>
        <rFont val="Consolas"/>
        <family val="3"/>
      </rPr>
      <t>/</t>
    </r>
    <r>
      <rPr>
        <sz val="11"/>
        <rFont val="游ゴシック Medium"/>
        <family val="3"/>
        <charset val="128"/>
      </rPr>
      <t>歌舞伎</t>
    </r>
    <r>
      <rPr>
        <sz val="11"/>
        <rFont val="Consolas"/>
        <family val="3"/>
      </rPr>
      <t>/</t>
    </r>
    <r>
      <rPr>
        <sz val="11"/>
        <rFont val="游ゴシック Medium"/>
        <family val="3"/>
        <charset val="128"/>
      </rPr>
      <t>能･狂言</t>
    </r>
    <r>
      <rPr>
        <sz val="11"/>
        <rFont val="Consolas"/>
        <family val="3"/>
      </rPr>
      <t>/</t>
    </r>
    <r>
      <rPr>
        <sz val="11"/>
        <rFont val="游ゴシック Medium"/>
        <family val="3"/>
        <charset val="128"/>
      </rPr>
      <t>文楽</t>
    </r>
    <r>
      <rPr>
        <sz val="11"/>
        <rFont val="Consolas"/>
        <family val="3"/>
      </rPr>
      <t>/</t>
    </r>
    <r>
      <rPr>
        <sz val="11"/>
        <rFont val="游ゴシック Medium"/>
        <family val="3"/>
        <charset val="128"/>
      </rPr>
      <t>日本舞踊</t>
    </r>
    <rPh sb="3" eb="5">
      <t>ニホン</t>
    </rPh>
    <rPh sb="6" eb="10">
      <t>デントウゲイノウ</t>
    </rPh>
    <rPh sb="11" eb="13">
      <t>カンショウ</t>
    </rPh>
    <rPh sb="13" eb="15">
      <t>ニュウモン</t>
    </rPh>
    <rPh sb="16" eb="19">
      <t>カブキ</t>
    </rPh>
    <rPh sb="20" eb="21">
      <t>ノウ</t>
    </rPh>
    <rPh sb="22" eb="24">
      <t>キョウゲン</t>
    </rPh>
    <rPh sb="25" eb="27">
      <t>ブンラク</t>
    </rPh>
    <rPh sb="28" eb="32">
      <t>ニホンブヨウ</t>
    </rPh>
    <phoneticPr fontId="1"/>
  </si>
  <si>
    <r>
      <rPr>
        <sz val="11"/>
        <rFont val="游ゴシック Medium"/>
        <family val="3"/>
        <charset val="128"/>
      </rPr>
      <t>矢島</t>
    </r>
    <r>
      <rPr>
        <sz val="11"/>
        <rFont val="Consolas"/>
        <family val="3"/>
      </rPr>
      <t xml:space="preserve"> </t>
    </r>
    <r>
      <rPr>
        <sz val="11"/>
        <rFont val="游ゴシック Medium"/>
        <family val="3"/>
        <charset val="128"/>
      </rPr>
      <t>稔</t>
    </r>
    <rPh sb="0" eb="2">
      <t>ヤジマ</t>
    </rPh>
    <rPh sb="3" eb="4">
      <t>ミノル</t>
    </rPh>
    <phoneticPr fontId="1"/>
  </si>
  <si>
    <r>
      <t>NHK</t>
    </r>
    <r>
      <rPr>
        <sz val="11"/>
        <rFont val="游ゴシック Medium"/>
        <family val="3"/>
        <charset val="128"/>
      </rPr>
      <t>人間大学</t>
    </r>
    <r>
      <rPr>
        <sz val="11"/>
        <rFont val="Consolas"/>
        <family val="3"/>
      </rPr>
      <t>/</t>
    </r>
    <r>
      <rPr>
        <sz val="11"/>
        <rFont val="游ゴシック Medium"/>
        <family val="3"/>
        <charset val="128"/>
      </rPr>
      <t>謎とき昆虫記</t>
    </r>
    <rPh sb="3" eb="5">
      <t>ニンゲン</t>
    </rPh>
    <rPh sb="5" eb="7">
      <t>ダイガク</t>
    </rPh>
    <rPh sb="8" eb="9">
      <t>ナゾ</t>
    </rPh>
    <rPh sb="11" eb="13">
      <t>コンチュウ</t>
    </rPh>
    <rPh sb="13" eb="14">
      <t>キ</t>
    </rPh>
    <phoneticPr fontId="1"/>
  </si>
  <si>
    <r>
      <rPr>
        <sz val="11"/>
        <rFont val="游ゴシック Medium"/>
        <family val="3"/>
        <charset val="128"/>
      </rPr>
      <t>鶴岡真弓</t>
    </r>
    <rPh sb="0" eb="2">
      <t>ツルオカ</t>
    </rPh>
    <rPh sb="2" eb="4">
      <t>マユミ</t>
    </rPh>
    <phoneticPr fontId="1"/>
  </si>
  <si>
    <r>
      <t>NHK</t>
    </r>
    <r>
      <rPr>
        <sz val="11"/>
        <rFont val="游ゴシック Medium"/>
        <family val="3"/>
        <charset val="128"/>
      </rPr>
      <t>人間大学</t>
    </r>
    <r>
      <rPr>
        <sz val="11"/>
        <rFont val="Consolas"/>
        <family val="3"/>
      </rPr>
      <t>/</t>
    </r>
    <r>
      <rPr>
        <sz val="11"/>
        <rFont val="游ゴシック Medium"/>
        <family val="3"/>
        <charset val="128"/>
      </rPr>
      <t>装飾美術･奇想の</t>
    </r>
    <r>
      <rPr>
        <sz val="11"/>
        <rFont val="Consolas"/>
        <family val="3"/>
      </rPr>
      <t>Europa</t>
    </r>
    <r>
      <rPr>
        <sz val="11"/>
        <rFont val="游ゴシック Medium"/>
        <family val="3"/>
        <charset val="128"/>
      </rPr>
      <t>をゆく</t>
    </r>
    <r>
      <rPr>
        <sz val="11"/>
        <rFont val="Consolas"/>
        <family val="3"/>
      </rPr>
      <t>/Celte</t>
    </r>
    <r>
      <rPr>
        <sz val="11"/>
        <rFont val="游ゴシック Medium"/>
        <family val="3"/>
        <charset val="128"/>
      </rPr>
      <t>から日本へ</t>
    </r>
    <rPh sb="3" eb="5">
      <t>ニンゲン</t>
    </rPh>
    <rPh sb="5" eb="7">
      <t>ダイガク</t>
    </rPh>
    <rPh sb="8" eb="12">
      <t>ソウショクビジュツ</t>
    </rPh>
    <rPh sb="13" eb="15">
      <t>キソウ</t>
    </rPh>
    <rPh sb="16" eb="22">
      <t>ヨーロッパ</t>
    </rPh>
    <rPh sb="26" eb="31">
      <t>ケルト</t>
    </rPh>
    <rPh sb="33" eb="35">
      <t>ニホン</t>
    </rPh>
    <phoneticPr fontId="1"/>
  </si>
  <si>
    <r>
      <rPr>
        <sz val="11"/>
        <rFont val="游ゴシック Medium"/>
        <family val="3"/>
        <charset val="128"/>
      </rPr>
      <t>吉田昌志</t>
    </r>
    <rPh sb="0" eb="2">
      <t>ヨシダ</t>
    </rPh>
    <rPh sb="2" eb="4">
      <t>マサシ</t>
    </rPh>
    <phoneticPr fontId="1"/>
  </si>
  <si>
    <r>
      <t>NHK</t>
    </r>
    <r>
      <rPr>
        <sz val="11"/>
        <rFont val="游ゴシック Medium"/>
        <family val="3"/>
        <charset val="128"/>
      </rPr>
      <t>文化</t>
    </r>
    <r>
      <rPr>
        <sz val="11"/>
        <rFont val="Consolas"/>
        <family val="3"/>
      </rPr>
      <t>Seminar/</t>
    </r>
    <r>
      <rPr>
        <sz val="11"/>
        <rFont val="游ゴシック Medium"/>
        <family val="3"/>
        <charset val="128"/>
      </rPr>
      <t>明治文学をよむ</t>
    </r>
    <r>
      <rPr>
        <sz val="11"/>
        <rFont val="Consolas"/>
        <family val="3"/>
      </rPr>
      <t>/Radio</t>
    </r>
    <r>
      <rPr>
        <sz val="11"/>
        <rFont val="游ゴシック Medium"/>
        <family val="3"/>
        <charset val="128"/>
      </rPr>
      <t>第</t>
    </r>
    <r>
      <rPr>
        <sz val="11"/>
        <rFont val="Consolas"/>
        <family val="3"/>
      </rPr>
      <t>2</t>
    </r>
    <r>
      <rPr>
        <sz val="11"/>
        <rFont val="游ゴシック Medium"/>
        <family val="3"/>
        <charset val="128"/>
      </rPr>
      <t>放送</t>
    </r>
    <rPh sb="3" eb="5">
      <t>ブンカ</t>
    </rPh>
    <rPh sb="5" eb="12">
      <t>セミナー</t>
    </rPh>
    <rPh sb="13" eb="15">
      <t>メイジ</t>
    </rPh>
    <rPh sb="15" eb="17">
      <t>ブンガク</t>
    </rPh>
    <rPh sb="21" eb="26">
      <t>ラジオ</t>
    </rPh>
    <rPh sb="26" eb="27">
      <t>ダイ</t>
    </rPh>
    <rPh sb="28" eb="30">
      <t>ホウソウ</t>
    </rPh>
    <phoneticPr fontId="1"/>
  </si>
  <si>
    <r>
      <rPr>
        <sz val="11"/>
        <rFont val="游ゴシック Medium"/>
        <family val="3"/>
        <charset val="128"/>
      </rPr>
      <t>斎藤</t>
    </r>
    <r>
      <rPr>
        <sz val="11"/>
        <rFont val="Consolas"/>
        <family val="3"/>
      </rPr>
      <t xml:space="preserve"> </t>
    </r>
    <r>
      <rPr>
        <sz val="11"/>
        <rFont val="游ゴシック Medium"/>
        <family val="3"/>
        <charset val="128"/>
      </rPr>
      <t>幸平</t>
    </r>
    <rPh sb="0" eb="2">
      <t>サイトウ</t>
    </rPh>
    <rPh sb="3" eb="5">
      <t>コウヘイ</t>
    </rPh>
    <phoneticPr fontId="1"/>
  </si>
  <si>
    <r>
      <rPr>
        <sz val="11"/>
        <rFont val="游ゴシック Medium"/>
        <family val="3"/>
        <charset val="128"/>
      </rPr>
      <t>経済思想家、大阪市立大学准教授</t>
    </r>
    <rPh sb="0" eb="2">
      <t>ケイザイ</t>
    </rPh>
    <rPh sb="2" eb="5">
      <t>シソウカ</t>
    </rPh>
    <rPh sb="6" eb="12">
      <t>オオサカシリツダイガク</t>
    </rPh>
    <rPh sb="12" eb="15">
      <t>ジュンキョウジュ</t>
    </rPh>
    <phoneticPr fontId="1"/>
  </si>
  <si>
    <r>
      <rPr>
        <sz val="11"/>
        <rFont val="游ゴシック Medium"/>
        <family val="3"/>
        <charset val="128"/>
      </rPr>
      <t>カール・マルクス</t>
    </r>
    <r>
      <rPr>
        <sz val="11"/>
        <rFont val="Consolas"/>
        <family val="3"/>
      </rPr>
      <t xml:space="preserve"> </t>
    </r>
    <r>
      <rPr>
        <sz val="11"/>
        <rFont val="游ゴシック Medium"/>
        <family val="3"/>
        <charset val="128"/>
      </rPr>
      <t>資本論</t>
    </r>
    <r>
      <rPr>
        <sz val="11"/>
        <rFont val="Consolas"/>
        <family val="3"/>
      </rPr>
      <t xml:space="preserve"> </t>
    </r>
    <r>
      <rPr>
        <sz val="11"/>
        <rFont val="游ゴシック Medium"/>
        <family val="3"/>
        <charset val="128"/>
      </rPr>
      <t>甦る、実践の書</t>
    </r>
    <rPh sb="9" eb="12">
      <t>シホンロン</t>
    </rPh>
    <rPh sb="13" eb="14">
      <t>ヨミガエ</t>
    </rPh>
    <rPh sb="16" eb="18">
      <t>ジッセン</t>
    </rPh>
    <rPh sb="19" eb="20">
      <t>ショ</t>
    </rPh>
    <phoneticPr fontId="1"/>
  </si>
  <si>
    <r>
      <t>100</t>
    </r>
    <r>
      <rPr>
        <sz val="11"/>
        <rFont val="游ゴシック Medium"/>
        <family val="3"/>
        <charset val="128"/>
      </rPr>
      <t>分</t>
    </r>
    <r>
      <rPr>
        <sz val="11"/>
        <rFont val="Consolas"/>
        <family val="3"/>
      </rPr>
      <t>de</t>
    </r>
    <r>
      <rPr>
        <sz val="11"/>
        <rFont val="游ゴシック Medium"/>
        <family val="3"/>
        <charset val="128"/>
      </rPr>
      <t>名著</t>
    </r>
    <r>
      <rPr>
        <sz val="11"/>
        <rFont val="Consolas"/>
        <family val="3"/>
      </rPr>
      <t>|E</t>
    </r>
    <r>
      <rPr>
        <sz val="11"/>
        <rFont val="游ゴシック Medium"/>
        <family val="3"/>
        <charset val="128"/>
      </rPr>
      <t>テレ</t>
    </r>
    <rPh sb="3" eb="4">
      <t>フン</t>
    </rPh>
    <rPh sb="6" eb="8">
      <t>メイチョ</t>
    </rPh>
    <phoneticPr fontId="1"/>
  </si>
  <si>
    <r>
      <rPr>
        <sz val="11"/>
        <rFont val="游ゴシック Medium"/>
        <family val="3"/>
        <charset val="128"/>
      </rPr>
      <t>よーこが購入</t>
    </r>
  </si>
  <si>
    <r>
      <t xml:space="preserve">Les dossiers du </t>
    </r>
    <r>
      <rPr>
        <sz val="11"/>
        <rFont val="游ゴシック Medium"/>
        <family val="3"/>
        <charset val="128"/>
      </rPr>
      <t>《</t>
    </r>
    <r>
      <rPr>
        <sz val="11"/>
        <rFont val="Consolas"/>
        <family val="3"/>
      </rPr>
      <t>Canard</t>
    </r>
    <r>
      <rPr>
        <sz val="11"/>
        <rFont val="游ゴシック Medium"/>
        <family val="3"/>
        <charset val="128"/>
      </rPr>
      <t>》</t>
    </r>
    <r>
      <rPr>
        <sz val="11"/>
        <rFont val="Consolas"/>
        <family val="3"/>
      </rPr>
      <t>enchai^ne'</t>
    </r>
    <phoneticPr fontId="1"/>
  </si>
  <si>
    <r>
      <t>N</t>
    </r>
    <r>
      <rPr>
        <sz val="11"/>
        <rFont val="游ゴシック Medium"/>
        <family val="3"/>
        <charset val="128"/>
      </rPr>
      <t>ﾟ</t>
    </r>
    <r>
      <rPr>
        <sz val="11"/>
        <rFont val="Consolas"/>
        <family val="3"/>
      </rPr>
      <t xml:space="preserve"> 84</t>
    </r>
    <phoneticPr fontId="1"/>
  </si>
  <si>
    <r>
      <t>N</t>
    </r>
    <r>
      <rPr>
        <sz val="11"/>
        <rFont val="游ゴシック Medium"/>
        <family val="3"/>
        <charset val="128"/>
      </rPr>
      <t>ﾟ</t>
    </r>
    <r>
      <rPr>
        <sz val="11"/>
        <rFont val="Consolas"/>
        <family val="3"/>
      </rPr>
      <t xml:space="preserve"> 20</t>
    </r>
    <phoneticPr fontId="1"/>
  </si>
  <si>
    <r>
      <t>N</t>
    </r>
    <r>
      <rPr>
        <sz val="11"/>
        <rFont val="游ゴシック Medium"/>
        <family val="3"/>
        <charset val="128"/>
      </rPr>
      <t>ﾟ</t>
    </r>
    <r>
      <rPr>
        <sz val="11"/>
        <rFont val="Consolas"/>
        <family val="3"/>
      </rPr>
      <t xml:space="preserve"> 17860-58e anne'e/28 pages</t>
    </r>
    <phoneticPr fontId="1"/>
  </si>
  <si>
    <r>
      <t>N</t>
    </r>
    <r>
      <rPr>
        <sz val="11"/>
        <rFont val="游ゴシック Medium"/>
        <family val="3"/>
        <charset val="128"/>
      </rPr>
      <t>ﾟ</t>
    </r>
    <r>
      <rPr>
        <sz val="11"/>
        <rFont val="Consolas"/>
        <family val="3"/>
      </rPr>
      <t xml:space="preserve"> 580-49e anne'e/28 pages</t>
    </r>
    <phoneticPr fontId="1"/>
  </si>
  <si>
    <r>
      <t>subculture/</t>
    </r>
    <r>
      <rPr>
        <sz val="11"/>
        <rFont val="游ゴシック Medium"/>
        <family val="3"/>
        <charset val="128"/>
      </rPr>
      <t>実用書</t>
    </r>
    <rPh sb="11" eb="14">
      <t>ジツヨウショ</t>
    </rPh>
    <phoneticPr fontId="1"/>
  </si>
  <si>
    <r>
      <t>N</t>
    </r>
    <r>
      <rPr>
        <sz val="11"/>
        <rFont val="游ゴシック Medium"/>
        <family val="3"/>
        <charset val="128"/>
      </rPr>
      <t>ﾟ</t>
    </r>
    <r>
      <rPr>
        <sz val="11"/>
        <rFont val="Consolas"/>
        <family val="3"/>
      </rPr>
      <t xml:space="preserve"> 2660</t>
    </r>
    <phoneticPr fontId="1"/>
  </si>
  <si>
    <r>
      <t>subculture/</t>
    </r>
    <r>
      <rPr>
        <sz val="11"/>
        <rFont val="游ゴシック Medium"/>
        <family val="3"/>
        <charset val="128"/>
      </rPr>
      <t>新聞</t>
    </r>
    <rPh sb="11" eb="13">
      <t>シンブン</t>
    </rPh>
    <phoneticPr fontId="1"/>
  </si>
  <si>
    <r>
      <rPr>
        <sz val="11"/>
        <rFont val="游ゴシック Medium"/>
        <family val="3"/>
        <charset val="128"/>
      </rPr>
      <t>￡</t>
    </r>
    <r>
      <rPr>
        <sz val="11"/>
        <rFont val="Consolas"/>
        <family val="3"/>
      </rPr>
      <t>01.95/e03.25</t>
    </r>
    <phoneticPr fontId="1"/>
  </si>
  <si>
    <r>
      <t>N</t>
    </r>
    <r>
      <rPr>
        <sz val="11"/>
        <rFont val="游ゴシック Medium"/>
        <family val="3"/>
        <charset val="128"/>
      </rPr>
      <t>ﾟ</t>
    </r>
    <r>
      <rPr>
        <sz val="11"/>
        <rFont val="Consolas"/>
        <family val="3"/>
      </rPr>
      <t xml:space="preserve"> 1664</t>
    </r>
    <phoneticPr fontId="1"/>
  </si>
  <si>
    <r>
      <rPr>
        <sz val="11"/>
        <rFont val="游ゴシック Medium"/>
        <family val="3"/>
        <charset val="128"/>
      </rPr>
      <t>￡</t>
    </r>
    <r>
      <rPr>
        <sz val="11"/>
        <rFont val="Consolas"/>
        <family val="3"/>
      </rPr>
      <t>02.20</t>
    </r>
    <phoneticPr fontId="1"/>
  </si>
  <si>
    <r>
      <t>Russel's Square</t>
    </r>
    <r>
      <rPr>
        <sz val="11"/>
        <rFont val="游ゴシック Medium"/>
        <family val="3"/>
        <charset val="128"/>
      </rPr>
      <t>の</t>
    </r>
    <r>
      <rPr>
        <sz val="11"/>
        <rFont val="Consolas"/>
        <family val="3"/>
      </rPr>
      <t>Kiosk,London</t>
    </r>
    <rPh sb="16" eb="21">
      <t>キヨスク</t>
    </rPh>
    <rPh sb="22" eb="28">
      <t>ロンドン</t>
    </rPh>
    <phoneticPr fontId="1"/>
  </si>
  <si>
    <r>
      <rPr>
        <sz val="11"/>
        <rFont val="游ゴシック Medium"/>
        <family val="3"/>
        <charset val="128"/>
      </rPr>
      <t>語学</t>
    </r>
    <rPh sb="0" eb="2">
      <t>ゴガク</t>
    </rPh>
    <phoneticPr fontId="1"/>
  </si>
  <si>
    <r>
      <rPr>
        <sz val="11"/>
        <rFont val="游ゴシック Medium"/>
        <family val="3"/>
        <charset val="128"/>
      </rPr>
      <t>フランス語教養講座</t>
    </r>
    <rPh sb="4" eb="5">
      <t>ゴ</t>
    </rPh>
    <rPh sb="5" eb="7">
      <t>キョウヨウ</t>
    </rPh>
    <rPh sb="7" eb="9">
      <t>コウザ</t>
    </rPh>
    <phoneticPr fontId="1"/>
  </si>
  <si>
    <r>
      <rPr>
        <sz val="11"/>
        <rFont val="游ゴシック Medium"/>
        <family val="3"/>
        <charset val="128"/>
      </rPr>
      <t>文法中心学習</t>
    </r>
    <r>
      <rPr>
        <sz val="11"/>
        <rFont val="Consolas"/>
        <family val="3"/>
      </rPr>
      <t>/1/35</t>
    </r>
    <r>
      <rPr>
        <sz val="11"/>
        <rFont val="游ゴシック Medium"/>
        <family val="3"/>
        <charset val="128"/>
      </rPr>
      <t>日間完成</t>
    </r>
    <rPh sb="0" eb="2">
      <t>ブンポウ</t>
    </rPh>
    <rPh sb="2" eb="4">
      <t>チュウシン</t>
    </rPh>
    <rPh sb="4" eb="6">
      <t>ガクシュウ</t>
    </rPh>
    <rPh sb="11" eb="13">
      <t>ニチカン</t>
    </rPh>
    <rPh sb="13" eb="15">
      <t>カンセイ</t>
    </rPh>
    <phoneticPr fontId="1"/>
  </si>
  <si>
    <r>
      <rPr>
        <sz val="11"/>
        <rFont val="游ゴシック Medium"/>
        <family val="3"/>
        <charset val="128"/>
      </rPr>
      <t>文法中心学習</t>
    </r>
    <r>
      <rPr>
        <sz val="11"/>
        <rFont val="Consolas"/>
        <family val="3"/>
      </rPr>
      <t>/2/28</t>
    </r>
    <r>
      <rPr>
        <sz val="11"/>
        <rFont val="游ゴシック Medium"/>
        <family val="3"/>
        <charset val="128"/>
      </rPr>
      <t>日間完成</t>
    </r>
    <rPh sb="0" eb="2">
      <t>ブンポウ</t>
    </rPh>
    <rPh sb="2" eb="4">
      <t>チュウシン</t>
    </rPh>
    <rPh sb="4" eb="6">
      <t>ガクシュウ</t>
    </rPh>
    <rPh sb="11" eb="13">
      <t>ニチカン</t>
    </rPh>
    <rPh sb="13" eb="15">
      <t>カンセイ</t>
    </rPh>
    <phoneticPr fontId="1"/>
  </si>
  <si>
    <r>
      <rPr>
        <sz val="11"/>
        <rFont val="游ゴシック Medium"/>
        <family val="3"/>
        <charset val="128"/>
      </rPr>
      <t>望月芳郎</t>
    </r>
    <rPh sb="0" eb="2">
      <t>モチヅキ</t>
    </rPh>
    <rPh sb="2" eb="4">
      <t>ヨシロウ</t>
    </rPh>
    <phoneticPr fontId="1"/>
  </si>
  <si>
    <r>
      <rPr>
        <sz val="11"/>
        <rFont val="游ゴシック Medium"/>
        <family val="3"/>
        <charset val="128"/>
      </rPr>
      <t>訳注</t>
    </r>
    <rPh sb="0" eb="2">
      <t>ヤクチュウ</t>
    </rPh>
    <phoneticPr fontId="1"/>
  </si>
  <si>
    <r>
      <rPr>
        <sz val="11"/>
        <rFont val="游ゴシック Medium"/>
        <family val="3"/>
        <charset val="128"/>
      </rPr>
      <t>詩と短編小説集</t>
    </r>
    <r>
      <rPr>
        <sz val="11"/>
        <rFont val="Consolas"/>
        <family val="3"/>
      </rPr>
      <t>/Poe'sies et Contes Choisis</t>
    </r>
    <rPh sb="0" eb="1">
      <t>シ</t>
    </rPh>
    <rPh sb="2" eb="4">
      <t>タンペン</t>
    </rPh>
    <rPh sb="4" eb="6">
      <t>ショウセツ</t>
    </rPh>
    <rPh sb="6" eb="7">
      <t>シュウ</t>
    </rPh>
    <phoneticPr fontId="1"/>
  </si>
  <si>
    <r>
      <rPr>
        <sz val="11"/>
        <rFont val="游ゴシック Medium"/>
        <family val="3"/>
        <charset val="128"/>
      </rPr>
      <t>大学書林語学文庫</t>
    </r>
    <r>
      <rPr>
        <sz val="11"/>
        <rFont val="Consolas"/>
        <family val="3"/>
      </rPr>
      <t>/1260</t>
    </r>
    <rPh sb="0" eb="2">
      <t>ダイガク</t>
    </rPh>
    <rPh sb="2" eb="3">
      <t>ショ</t>
    </rPh>
    <rPh sb="3" eb="4">
      <t>リン</t>
    </rPh>
    <rPh sb="4" eb="6">
      <t>ゴガク</t>
    </rPh>
    <rPh sb="6" eb="8">
      <t>ブンコ</t>
    </rPh>
    <phoneticPr fontId="1"/>
  </si>
  <si>
    <r>
      <rPr>
        <sz val="11"/>
        <rFont val="游ゴシック Medium"/>
        <family val="3"/>
        <charset val="128"/>
      </rPr>
      <t>大学書林</t>
    </r>
    <rPh sb="0" eb="2">
      <t>ダイガク</t>
    </rPh>
    <rPh sb="2" eb="3">
      <t>ショ</t>
    </rPh>
    <rPh sb="3" eb="4">
      <t>リン</t>
    </rPh>
    <phoneticPr fontId="1"/>
  </si>
  <si>
    <r>
      <rPr>
        <sz val="11"/>
        <rFont val="游ゴシック Medium"/>
        <family val="3"/>
        <charset val="128"/>
      </rPr>
      <t>英語教育</t>
    </r>
    <r>
      <rPr>
        <sz val="11"/>
        <rFont val="Consolas"/>
        <family val="3"/>
      </rPr>
      <t>/The english Teachers' Magazine</t>
    </r>
    <rPh sb="0" eb="2">
      <t>エイゴ</t>
    </rPh>
    <rPh sb="2" eb="4">
      <t>キョウイク</t>
    </rPh>
    <phoneticPr fontId="1"/>
  </si>
  <si>
    <r>
      <rPr>
        <sz val="11"/>
        <rFont val="游ゴシック Medium"/>
        <family val="3"/>
        <charset val="128"/>
      </rPr>
      <t>創造的なライティング指導</t>
    </r>
    <r>
      <rPr>
        <sz val="11"/>
        <rFont val="Consolas"/>
        <family val="3"/>
      </rPr>
      <t>/</t>
    </r>
    <r>
      <rPr>
        <sz val="11"/>
        <rFont val="游ゴシック Medium"/>
        <family val="3"/>
        <charset val="128"/>
      </rPr>
      <t>特集</t>
    </r>
    <rPh sb="0" eb="3">
      <t>ソウゾウテキ</t>
    </rPh>
    <rPh sb="10" eb="12">
      <t>シドウ</t>
    </rPh>
    <rPh sb="13" eb="15">
      <t>トクシュウ</t>
    </rPh>
    <phoneticPr fontId="1"/>
  </si>
  <si>
    <r>
      <rPr>
        <sz val="11"/>
        <rFont val="游ゴシック Medium"/>
        <family val="3"/>
        <charset val="128"/>
      </rPr>
      <t>大修館書店</t>
    </r>
    <rPh sb="0" eb="3">
      <t>タイシュウカン</t>
    </rPh>
    <rPh sb="3" eb="5">
      <t>ショテン</t>
    </rPh>
    <phoneticPr fontId="1"/>
  </si>
  <si>
    <r>
      <rPr>
        <sz val="11"/>
        <rFont val="游ゴシック Medium"/>
        <family val="3"/>
        <charset val="128"/>
      </rPr>
      <t>こんな英語表現を使ってみませんか</t>
    </r>
    <r>
      <rPr>
        <sz val="11"/>
        <rFont val="Consolas"/>
        <family val="3"/>
      </rPr>
      <t>?/</t>
    </r>
    <r>
      <rPr>
        <sz val="11"/>
        <rFont val="游ゴシック Medium"/>
        <family val="3"/>
        <charset val="128"/>
      </rPr>
      <t>特集</t>
    </r>
    <rPh sb="3" eb="5">
      <t>エイゴ</t>
    </rPh>
    <rPh sb="5" eb="7">
      <t>ヒョウゲン</t>
    </rPh>
    <rPh sb="8" eb="9">
      <t>ツカ</t>
    </rPh>
    <rPh sb="18" eb="20">
      <t>トクシュウ</t>
    </rPh>
    <phoneticPr fontId="1"/>
  </si>
  <si>
    <r>
      <t>Radio/France</t>
    </r>
    <r>
      <rPr>
        <sz val="11"/>
        <rFont val="游ゴシック Medium"/>
        <family val="3"/>
        <charset val="128"/>
      </rPr>
      <t>語講座</t>
    </r>
    <r>
      <rPr>
        <sz val="11"/>
        <rFont val="Consolas"/>
        <family val="3"/>
      </rPr>
      <t>/</t>
    </r>
    <r>
      <rPr>
        <sz val="11"/>
        <rFont val="游ゴシック Medium"/>
        <family val="3"/>
        <charset val="128"/>
      </rPr>
      <t>何冊かある</t>
    </r>
    <rPh sb="0" eb="5">
      <t>ラジオ</t>
    </rPh>
    <rPh sb="6" eb="13">
      <t>フランスゴ</t>
    </rPh>
    <rPh sb="13" eb="15">
      <t>コウザ</t>
    </rPh>
    <rPh sb="16" eb="18">
      <t>ナンサツ</t>
    </rPh>
    <phoneticPr fontId="1"/>
  </si>
  <si>
    <r>
      <rPr>
        <sz val="11"/>
        <rFont val="游ゴシック Medium"/>
        <family val="3"/>
        <charset val="128"/>
      </rPr>
      <t>テレビ</t>
    </r>
    <r>
      <rPr>
        <sz val="11"/>
        <rFont val="Consolas"/>
        <family val="3"/>
      </rPr>
      <t>/France</t>
    </r>
    <r>
      <rPr>
        <sz val="11"/>
        <rFont val="游ゴシック Medium"/>
        <family val="3"/>
        <charset val="128"/>
      </rPr>
      <t>語講座</t>
    </r>
    <r>
      <rPr>
        <sz val="11"/>
        <rFont val="Consolas"/>
        <family val="3"/>
      </rPr>
      <t>/</t>
    </r>
    <r>
      <rPr>
        <sz val="11"/>
        <rFont val="游ゴシック Medium"/>
        <family val="3"/>
        <charset val="128"/>
      </rPr>
      <t>何冊かある</t>
    </r>
    <rPh sb="4" eb="11">
      <t>フランスゴ</t>
    </rPh>
    <rPh sb="11" eb="13">
      <t>コウザ</t>
    </rPh>
    <rPh sb="14" eb="16">
      <t>ナンサツ</t>
    </rPh>
    <phoneticPr fontId="1"/>
  </si>
  <si>
    <r>
      <rPr>
        <sz val="11"/>
        <rFont val="游ゴシック Medium"/>
        <family val="3"/>
        <charset val="128"/>
      </rPr>
      <t>テレビ</t>
    </r>
    <r>
      <rPr>
        <sz val="11"/>
        <rFont val="Consolas"/>
        <family val="3"/>
      </rPr>
      <t>/Russie</t>
    </r>
    <r>
      <rPr>
        <sz val="11"/>
        <rFont val="游ゴシック Medium"/>
        <family val="3"/>
        <charset val="128"/>
      </rPr>
      <t>語講座</t>
    </r>
    <rPh sb="4" eb="11">
      <t>ロシアゴ</t>
    </rPh>
    <rPh sb="11" eb="13">
      <t>コウザ</t>
    </rPh>
    <phoneticPr fontId="1"/>
  </si>
  <si>
    <r>
      <rPr>
        <sz val="11"/>
        <rFont val="游ゴシック Medium"/>
        <family val="3"/>
        <charset val="128"/>
      </rPr>
      <t>ドミートリィ･プリーゴフ</t>
    </r>
    <phoneticPr fontId="1"/>
  </si>
  <si>
    <r>
      <rPr>
        <sz val="11"/>
        <rFont val="游ゴシック Medium"/>
        <family val="3"/>
        <charset val="128"/>
      </rPr>
      <t>テレビ</t>
    </r>
    <r>
      <rPr>
        <sz val="11"/>
        <rFont val="Consolas"/>
        <family val="3"/>
      </rPr>
      <t>/Russie</t>
    </r>
    <r>
      <rPr>
        <sz val="11"/>
        <rFont val="游ゴシック Medium"/>
        <family val="3"/>
        <charset val="128"/>
      </rPr>
      <t>語講座</t>
    </r>
    <r>
      <rPr>
        <sz val="11"/>
        <rFont val="Consolas"/>
        <family val="3"/>
      </rPr>
      <t>/</t>
    </r>
    <r>
      <rPr>
        <sz val="11"/>
        <rFont val="游ゴシック Medium"/>
        <family val="3"/>
        <charset val="128"/>
      </rPr>
      <t>ドミートリィ･プリーゴフ</t>
    </r>
    <rPh sb="4" eb="11">
      <t>ロシアゴ</t>
    </rPh>
    <rPh sb="11" eb="13">
      <t>コウザ</t>
    </rPh>
    <phoneticPr fontId="1"/>
  </si>
  <si>
    <r>
      <t>Radio/Russie</t>
    </r>
    <r>
      <rPr>
        <sz val="11"/>
        <rFont val="游ゴシック Medium"/>
        <family val="3"/>
        <charset val="128"/>
      </rPr>
      <t>語講座</t>
    </r>
    <rPh sb="0" eb="5">
      <t>ラジオ</t>
    </rPh>
    <rPh sb="6" eb="12">
      <t>ロシア</t>
    </rPh>
    <rPh sb="12" eb="13">
      <t>ゴ</t>
    </rPh>
    <rPh sb="13" eb="15">
      <t>コウザ</t>
    </rPh>
    <phoneticPr fontId="1"/>
  </si>
  <si>
    <r>
      <t>2003</t>
    </r>
    <r>
      <rPr>
        <sz val="11"/>
        <rFont val="游ゴシック Medium"/>
        <family val="3"/>
        <charset val="128"/>
      </rPr>
      <t>年度上半期</t>
    </r>
    <rPh sb="4" eb="6">
      <t>ネンド</t>
    </rPh>
    <rPh sb="6" eb="9">
      <t>カミハンキ</t>
    </rPh>
    <phoneticPr fontId="1"/>
  </si>
  <si>
    <r>
      <rPr>
        <sz val="11"/>
        <rFont val="游ゴシック Medium"/>
        <family val="3"/>
        <charset val="128"/>
      </rPr>
      <t>テレビ</t>
    </r>
    <r>
      <rPr>
        <sz val="11"/>
        <rFont val="Consolas"/>
        <family val="3"/>
      </rPr>
      <t>/Russie</t>
    </r>
    <r>
      <rPr>
        <sz val="11"/>
        <rFont val="游ゴシック Medium"/>
        <family val="3"/>
        <charset val="128"/>
      </rPr>
      <t>語講座</t>
    </r>
    <rPh sb="4" eb="10">
      <t>ロシア</t>
    </rPh>
    <rPh sb="10" eb="11">
      <t>ゴ</t>
    </rPh>
    <rPh sb="11" eb="13">
      <t>コウザ</t>
    </rPh>
    <phoneticPr fontId="1"/>
  </si>
  <si>
    <r>
      <t>Radio/</t>
    </r>
    <r>
      <rPr>
        <sz val="11"/>
        <rFont val="游ゴシック Medium"/>
        <family val="3"/>
        <charset val="128"/>
      </rPr>
      <t>イタリア語講座</t>
    </r>
    <rPh sb="0" eb="5">
      <t>ラジオ</t>
    </rPh>
    <rPh sb="10" eb="11">
      <t>ゴ</t>
    </rPh>
    <rPh sb="11" eb="13">
      <t>コウザ</t>
    </rPh>
    <phoneticPr fontId="1"/>
  </si>
  <si>
    <r>
      <t>2003</t>
    </r>
    <r>
      <rPr>
        <sz val="11"/>
        <rFont val="游ゴシック Medium"/>
        <family val="3"/>
        <charset val="128"/>
      </rPr>
      <t>年度下半期</t>
    </r>
    <rPh sb="4" eb="6">
      <t>ネンド</t>
    </rPh>
    <rPh sb="6" eb="9">
      <t>シモハンキ</t>
    </rPh>
    <phoneticPr fontId="1"/>
  </si>
  <si>
    <r>
      <rPr>
        <sz val="11"/>
        <rFont val="游ゴシック Medium"/>
        <family val="3"/>
        <charset val="128"/>
      </rPr>
      <t>テレビ</t>
    </r>
    <r>
      <rPr>
        <sz val="11"/>
        <rFont val="Consolas"/>
        <family val="3"/>
      </rPr>
      <t>/</t>
    </r>
    <r>
      <rPr>
        <sz val="11"/>
        <rFont val="游ゴシック Medium"/>
        <family val="3"/>
        <charset val="128"/>
      </rPr>
      <t>イタリア語講座</t>
    </r>
    <rPh sb="8" eb="9">
      <t>ゴ</t>
    </rPh>
    <rPh sb="9" eb="11">
      <t>コウザ</t>
    </rPh>
    <phoneticPr fontId="1"/>
  </si>
  <si>
    <r>
      <rPr>
        <sz val="11"/>
        <rFont val="游ゴシック Medium"/>
        <family val="3"/>
        <charset val="128"/>
      </rPr>
      <t>熱帯音楽への航海</t>
    </r>
    <rPh sb="0" eb="2">
      <t>ネッタイ</t>
    </rPh>
    <rPh sb="2" eb="4">
      <t>オンガク</t>
    </rPh>
    <rPh sb="6" eb="8">
      <t>コウカイ</t>
    </rPh>
    <phoneticPr fontId="1"/>
  </si>
  <si>
    <r>
      <t>1990/</t>
    </r>
    <r>
      <rPr>
        <sz val="11"/>
        <rFont val="游ゴシック Medium"/>
        <family val="3"/>
        <charset val="128"/>
      </rPr>
      <t>夏</t>
    </r>
    <rPh sb="5" eb="6">
      <t>ナツ</t>
    </rPh>
    <phoneticPr fontId="1"/>
  </si>
  <si>
    <r>
      <rPr>
        <sz val="11"/>
        <rFont val="游ゴシック Medium"/>
        <family val="3"/>
        <charset val="128"/>
      </rPr>
      <t>拝啓</t>
    </r>
    <r>
      <rPr>
        <sz val="11"/>
        <rFont val="Consolas"/>
        <family val="3"/>
      </rPr>
      <t xml:space="preserve"> </t>
    </r>
    <r>
      <rPr>
        <sz val="11"/>
        <rFont val="游ゴシック Medium"/>
        <family val="3"/>
        <charset val="128"/>
      </rPr>
      <t>椎名林檎様</t>
    </r>
    <r>
      <rPr>
        <sz val="11"/>
        <rFont val="Consolas"/>
        <family val="3"/>
      </rPr>
      <t>/</t>
    </r>
    <r>
      <rPr>
        <sz val="11"/>
        <rFont val="游ゴシック Medium"/>
        <family val="3"/>
        <charset val="128"/>
      </rPr>
      <t>林檎さん、あんたワケわかんねーよ</t>
    </r>
    <r>
      <rPr>
        <sz val="11"/>
        <rFont val="Consolas"/>
        <family val="3"/>
      </rPr>
      <t>!</t>
    </r>
    <rPh sb="0" eb="2">
      <t>ハイケイ</t>
    </rPh>
    <rPh sb="3" eb="5">
      <t>シイナ</t>
    </rPh>
    <rPh sb="5" eb="7">
      <t>リンゴ</t>
    </rPh>
    <rPh sb="7" eb="8">
      <t>サマ</t>
    </rPh>
    <rPh sb="9" eb="11">
      <t>リンゴ</t>
    </rPh>
    <phoneticPr fontId="1"/>
  </si>
  <si>
    <r>
      <rPr>
        <u/>
        <sz val="11"/>
        <color indexed="12"/>
        <rFont val="游ゴシック Medium"/>
        <family val="3"/>
        <charset val="128"/>
      </rPr>
      <t>大泉實成</t>
    </r>
    <rPh sb="0" eb="2">
      <t>オオイズミ</t>
    </rPh>
    <rPh sb="2" eb="4">
      <t>ミツナリ</t>
    </rPh>
    <phoneticPr fontId="1"/>
  </si>
  <si>
    <r>
      <rPr>
        <sz val="11"/>
        <rFont val="游ゴシック Medium"/>
        <family val="3"/>
        <charset val="128"/>
      </rPr>
      <t>椎名林檎が本誌に電話をかけてきた</t>
    </r>
    <r>
      <rPr>
        <sz val="11"/>
        <rFont val="Consolas"/>
        <family val="3"/>
      </rPr>
      <t>!</t>
    </r>
    <rPh sb="0" eb="2">
      <t>シイナ</t>
    </rPh>
    <rPh sb="2" eb="4">
      <t>リンゴ</t>
    </rPh>
    <rPh sb="5" eb="7">
      <t>ホンシ</t>
    </rPh>
    <rPh sb="8" eb="10">
      <t>デンワ</t>
    </rPh>
    <phoneticPr fontId="1"/>
  </si>
  <si>
    <r>
      <rPr>
        <u/>
        <sz val="11"/>
        <color indexed="12"/>
        <rFont val="游ゴシック Medium"/>
        <family val="3"/>
        <charset val="128"/>
      </rPr>
      <t>ヤン富田特集あり</t>
    </r>
    <r>
      <rPr>
        <u/>
        <sz val="11"/>
        <color indexed="12"/>
        <rFont val="Consolas"/>
        <family val="3"/>
      </rPr>
      <t>/</t>
    </r>
    <r>
      <rPr>
        <u/>
        <sz val="11"/>
        <color indexed="12"/>
        <rFont val="游ゴシック Medium"/>
        <family val="3"/>
        <charset val="128"/>
      </rPr>
      <t>大泉實成</t>
    </r>
    <rPh sb="2" eb="4">
      <t>トミタ</t>
    </rPh>
    <rPh sb="4" eb="6">
      <t>トクシュウ</t>
    </rPh>
    <rPh sb="9" eb="13">
      <t>オオイズミ</t>
    </rPh>
    <phoneticPr fontId="1"/>
  </si>
  <si>
    <r>
      <t>10cc</t>
    </r>
    <r>
      <rPr>
        <sz val="11"/>
        <rFont val="游ゴシック Medium"/>
        <family val="3"/>
        <charset val="128"/>
      </rPr>
      <t>とゴドリー</t>
    </r>
    <r>
      <rPr>
        <sz val="11"/>
        <rFont val="Consolas"/>
        <family val="3"/>
      </rPr>
      <t>&amp;</t>
    </r>
    <r>
      <rPr>
        <sz val="11"/>
        <rFont val="游ゴシック Medium"/>
        <family val="3"/>
        <charset val="128"/>
      </rPr>
      <t>クリーム</t>
    </r>
    <r>
      <rPr>
        <sz val="11"/>
        <rFont val="Consolas"/>
        <family val="3"/>
      </rPr>
      <t>/</t>
    </r>
    <r>
      <rPr>
        <sz val="11"/>
        <rFont val="游ゴシック Medium"/>
        <family val="3"/>
        <charset val="128"/>
      </rPr>
      <t>追悼</t>
    </r>
    <r>
      <rPr>
        <sz val="11"/>
        <rFont val="Consolas"/>
        <family val="3"/>
      </rPr>
      <t xml:space="preserve"> </t>
    </r>
    <r>
      <rPr>
        <sz val="11"/>
        <rFont val="游ゴシック Medium"/>
        <family val="3"/>
        <charset val="128"/>
      </rPr>
      <t>ディック･ミネ</t>
    </r>
    <r>
      <rPr>
        <sz val="11"/>
        <rFont val="Consolas"/>
        <family val="3"/>
      </rPr>
      <t>/</t>
    </r>
    <r>
      <rPr>
        <sz val="11"/>
        <rFont val="游ゴシック Medium"/>
        <family val="3"/>
        <charset val="128"/>
      </rPr>
      <t>ほか</t>
    </r>
    <rPh sb="15" eb="17">
      <t>ツイトウ</t>
    </rPh>
    <phoneticPr fontId="1"/>
  </si>
  <si>
    <r>
      <t>XTC/</t>
    </r>
    <r>
      <rPr>
        <sz val="11"/>
        <rFont val="游ゴシック Medium"/>
        <family val="3"/>
        <charset val="128"/>
      </rPr>
      <t>ほか</t>
    </r>
    <phoneticPr fontId="1"/>
  </si>
  <si>
    <r>
      <t xml:space="preserve">Music Magazine </t>
    </r>
    <r>
      <rPr>
        <sz val="11"/>
        <rFont val="游ゴシック Medium"/>
        <family val="3"/>
        <charset val="128"/>
      </rPr>
      <t>増刊</t>
    </r>
    <r>
      <rPr>
        <sz val="11"/>
        <rFont val="Consolas"/>
        <family val="3"/>
      </rPr>
      <t xml:space="preserve"> </t>
    </r>
    <r>
      <rPr>
        <sz val="11"/>
        <rFont val="游ゴシック Medium"/>
        <family val="3"/>
        <charset val="128"/>
      </rPr>
      <t>ムーンライダーズの</t>
    </r>
    <r>
      <rPr>
        <sz val="11"/>
        <rFont val="Consolas"/>
        <family val="3"/>
      </rPr>
      <t>30</t>
    </r>
    <r>
      <rPr>
        <sz val="11"/>
        <rFont val="游ゴシック Medium"/>
        <family val="3"/>
        <charset val="128"/>
      </rPr>
      <t>年</t>
    </r>
    <r>
      <rPr>
        <sz val="11"/>
        <rFont val="Consolas"/>
        <family val="3"/>
      </rPr>
      <t>/30 YEARS of Moonriders</t>
    </r>
    <rPh sb="0" eb="14">
      <t>ミュージック　マガジン</t>
    </rPh>
    <rPh sb="15" eb="17">
      <t>ゾウカン</t>
    </rPh>
    <rPh sb="29" eb="30">
      <t>ネン</t>
    </rPh>
    <rPh sb="43" eb="53">
      <t>ムーンライダーズ</t>
    </rPh>
    <phoneticPr fontId="1"/>
  </si>
  <si>
    <r>
      <rPr>
        <sz val="11"/>
        <rFont val="游ゴシック Medium"/>
        <family val="3"/>
        <charset val="128"/>
      </rPr>
      <t>第</t>
    </r>
    <r>
      <rPr>
        <sz val="11"/>
        <rFont val="Consolas"/>
        <family val="3"/>
      </rPr>
      <t>38</t>
    </r>
    <r>
      <rPr>
        <sz val="11"/>
        <rFont val="游ゴシック Medium"/>
        <family val="3"/>
        <charset val="128"/>
      </rPr>
      <t>巻第</t>
    </r>
    <r>
      <rPr>
        <sz val="11"/>
        <rFont val="Consolas"/>
        <family val="3"/>
      </rPr>
      <t>13</t>
    </r>
    <r>
      <rPr>
        <sz val="11"/>
        <rFont val="游ゴシック Medium"/>
        <family val="3"/>
        <charset val="128"/>
      </rPr>
      <t>号通巻</t>
    </r>
    <r>
      <rPr>
        <sz val="11"/>
        <rFont val="Consolas"/>
        <family val="3"/>
      </rPr>
      <t>521</t>
    </r>
    <r>
      <rPr>
        <sz val="11"/>
        <rFont val="游ゴシック Medium"/>
        <family val="3"/>
        <charset val="128"/>
      </rPr>
      <t>号</t>
    </r>
    <rPh sb="0" eb="1">
      <t>ダイ</t>
    </rPh>
    <rPh sb="3" eb="4">
      <t>カン</t>
    </rPh>
    <rPh sb="4" eb="5">
      <t>ダイ</t>
    </rPh>
    <rPh sb="7" eb="8">
      <t>ゴウ</t>
    </rPh>
    <rPh sb="8" eb="10">
      <t>ツウカン</t>
    </rPh>
    <rPh sb="13" eb="14">
      <t>ゴウ</t>
    </rPh>
    <phoneticPr fontId="1"/>
  </si>
  <si>
    <r>
      <rPr>
        <sz val="11"/>
        <rFont val="游ゴシック Medium"/>
        <family val="3"/>
        <charset val="128"/>
      </rPr>
      <t>もう本なんか読まない</t>
    </r>
    <r>
      <rPr>
        <sz val="11"/>
        <rFont val="Consolas"/>
        <family val="3"/>
      </rPr>
      <t>!?</t>
    </r>
    <rPh sb="2" eb="3">
      <t>ホン</t>
    </rPh>
    <rPh sb="6" eb="7">
      <t>ヨ</t>
    </rPh>
    <phoneticPr fontId="1"/>
  </si>
  <si>
    <r>
      <rPr>
        <sz val="11"/>
        <rFont val="游ゴシック Medium"/>
        <family val="3"/>
        <charset val="128"/>
      </rPr>
      <t>コンビニ</t>
    </r>
    <phoneticPr fontId="1"/>
  </si>
  <si>
    <r>
      <rPr>
        <sz val="11"/>
        <rFont val="游ゴシック Medium"/>
        <family val="3"/>
        <charset val="128"/>
      </rPr>
      <t>若冲を見たか</t>
    </r>
    <r>
      <rPr>
        <sz val="11"/>
        <rFont val="Consolas"/>
        <family val="3"/>
      </rPr>
      <t>?</t>
    </r>
    <rPh sb="0" eb="2">
      <t>ジャクチュウ　</t>
    </rPh>
    <rPh sb="3" eb="4">
      <t>ミ</t>
    </rPh>
    <phoneticPr fontId="1"/>
  </si>
  <si>
    <r>
      <rPr>
        <sz val="11"/>
        <rFont val="游ゴシック Medium"/>
        <family val="3"/>
        <charset val="128"/>
      </rPr>
      <t>浮世絵に聞け</t>
    </r>
    <r>
      <rPr>
        <sz val="11"/>
        <rFont val="Consolas"/>
        <family val="3"/>
      </rPr>
      <t xml:space="preserve"> !</t>
    </r>
    <rPh sb="0" eb="3">
      <t>ウキヨエ</t>
    </rPh>
    <rPh sb="4" eb="5">
      <t>キ</t>
    </rPh>
    <phoneticPr fontId="1"/>
  </si>
  <si>
    <r>
      <t>ZubiZuva/</t>
    </r>
    <r>
      <rPr>
        <u/>
        <sz val="11"/>
        <color indexed="12"/>
        <rFont val="游ゴシック Medium"/>
        <family val="3"/>
        <charset val="128"/>
      </rPr>
      <t>写真付</t>
    </r>
    <rPh sb="0" eb="8">
      <t>ズビズバ</t>
    </rPh>
    <rPh sb="9" eb="11">
      <t>シャシン</t>
    </rPh>
    <rPh sb="11" eb="12">
      <t>ツキ</t>
    </rPh>
    <phoneticPr fontId="1"/>
  </si>
  <si>
    <r>
      <rPr>
        <sz val="11"/>
        <rFont val="游ゴシック Medium"/>
        <family val="3"/>
        <charset val="128"/>
      </rPr>
      <t>キーボード</t>
    </r>
    <r>
      <rPr>
        <sz val="11"/>
        <rFont val="Consolas"/>
        <family val="3"/>
      </rPr>
      <t xml:space="preserve"> Special</t>
    </r>
    <rPh sb="6" eb="13">
      <t>スペシャル</t>
    </rPh>
    <phoneticPr fontId="1"/>
  </si>
  <si>
    <r>
      <rPr>
        <sz val="11"/>
        <rFont val="游ゴシック Medium"/>
        <family val="3"/>
        <charset val="128"/>
      </rPr>
      <t>グラスファイバー</t>
    </r>
    <phoneticPr fontId="1"/>
  </si>
  <si>
    <r>
      <rPr>
        <sz val="11"/>
        <rFont val="游ゴシック Medium"/>
        <family val="3"/>
        <charset val="128"/>
      </rPr>
      <t>日経パソコン</t>
    </r>
    <rPh sb="0" eb="2">
      <t>ニッケイ</t>
    </rPh>
    <phoneticPr fontId="1"/>
  </si>
  <si>
    <r>
      <t>2002/05</t>
    </r>
    <r>
      <rPr>
        <sz val="11"/>
        <rFont val="游ゴシック Medium"/>
        <family val="3"/>
        <charset val="128"/>
      </rPr>
      <t>から定期購読</t>
    </r>
    <rPh sb="9" eb="11">
      <t>テイキ</t>
    </rPh>
    <rPh sb="11" eb="13">
      <t>コウドク</t>
    </rPh>
    <phoneticPr fontId="1"/>
  </si>
  <si>
    <r>
      <rPr>
        <sz val="11"/>
        <rFont val="游ゴシック Medium"/>
        <family val="3"/>
        <charset val="128"/>
      </rPr>
      <t>元祖</t>
    </r>
    <r>
      <rPr>
        <sz val="11"/>
        <rFont val="Consolas"/>
        <family val="3"/>
      </rPr>
      <t xml:space="preserve"> </t>
    </r>
    <r>
      <rPr>
        <sz val="11"/>
        <rFont val="游ゴシック Medium"/>
        <family val="3"/>
        <charset val="128"/>
      </rPr>
      <t>大疑問</t>
    </r>
    <r>
      <rPr>
        <sz val="11"/>
        <rFont val="Consolas"/>
        <family val="3"/>
      </rPr>
      <t xml:space="preserve"> 8 </t>
    </r>
    <r>
      <rPr>
        <sz val="11"/>
        <rFont val="游ゴシック Medium"/>
        <family val="3"/>
        <charset val="128"/>
      </rPr>
      <t>究極の大雑学書</t>
    </r>
    <rPh sb="0" eb="2">
      <t>ガンソ</t>
    </rPh>
    <rPh sb="3" eb="4">
      <t>ダイ</t>
    </rPh>
    <rPh sb="4" eb="6">
      <t>ギモン</t>
    </rPh>
    <rPh sb="9" eb="11">
      <t>キュウキョク</t>
    </rPh>
    <rPh sb="12" eb="13">
      <t>ダイ</t>
    </rPh>
    <rPh sb="13" eb="15">
      <t>ザツガク</t>
    </rPh>
    <rPh sb="15" eb="16">
      <t>ショ</t>
    </rPh>
    <phoneticPr fontId="1"/>
  </si>
  <si>
    <r>
      <rPr>
        <sz val="11"/>
        <rFont val="游ゴシック Medium"/>
        <family val="3"/>
        <charset val="128"/>
      </rPr>
      <t>地球紀行</t>
    </r>
    <rPh sb="0" eb="2">
      <t>チキュウ</t>
    </rPh>
    <rPh sb="2" eb="4">
      <t>キコウ</t>
    </rPh>
    <phoneticPr fontId="1"/>
  </si>
  <si>
    <r>
      <rPr>
        <sz val="11"/>
        <rFont val="游ゴシック Medium"/>
        <family val="3"/>
        <charset val="128"/>
      </rPr>
      <t>神々の島</t>
    </r>
    <r>
      <rPr>
        <sz val="11"/>
        <rFont val="Consolas"/>
        <family val="3"/>
      </rPr>
      <t>Bali/Indone'sie</t>
    </r>
    <rPh sb="0" eb="2">
      <t>カミガミ</t>
    </rPh>
    <rPh sb="3" eb="4">
      <t>シマ</t>
    </rPh>
    <rPh sb="4" eb="8">
      <t>バリ</t>
    </rPh>
    <rPh sb="9" eb="19">
      <t>インドネシア</t>
    </rPh>
    <phoneticPr fontId="1"/>
  </si>
  <si>
    <r>
      <rPr>
        <sz val="11"/>
        <rFont val="游ゴシック Medium"/>
        <family val="3"/>
        <charset val="128"/>
      </rPr>
      <t>マップル</t>
    </r>
    <r>
      <rPr>
        <sz val="11"/>
        <rFont val="Consolas"/>
        <family val="3"/>
      </rPr>
      <t>Magazine</t>
    </r>
    <rPh sb="4" eb="12">
      <t>マガジン</t>
    </rPh>
    <phoneticPr fontId="1"/>
  </si>
  <si>
    <r>
      <t>Bali</t>
    </r>
    <r>
      <rPr>
        <sz val="11"/>
        <rFont val="游ゴシック Medium"/>
        <family val="3"/>
        <charset val="128"/>
      </rPr>
      <t>島</t>
    </r>
    <rPh sb="0" eb="5">
      <t>バリトウ</t>
    </rPh>
    <phoneticPr fontId="1"/>
  </si>
  <si>
    <r>
      <rPr>
        <sz val="11"/>
        <rFont val="游ゴシック Medium"/>
        <family val="3"/>
        <charset val="128"/>
      </rPr>
      <t>エアリアマップ</t>
    </r>
    <phoneticPr fontId="1"/>
  </si>
  <si>
    <r>
      <rPr>
        <sz val="11"/>
        <rFont val="游ゴシック Medium"/>
        <family val="3"/>
        <charset val="128"/>
      </rPr>
      <t>昭文社</t>
    </r>
    <rPh sb="0" eb="3">
      <t>ショウブンシャ</t>
    </rPh>
    <phoneticPr fontId="1"/>
  </si>
  <si>
    <r>
      <rPr>
        <u/>
        <sz val="11"/>
        <color indexed="12"/>
        <rFont val="游ゴシック Medium"/>
        <family val="3"/>
        <charset val="128"/>
      </rPr>
      <t>ぴあ</t>
    </r>
    <phoneticPr fontId="1"/>
  </si>
  <si>
    <r>
      <rPr>
        <u/>
        <sz val="11"/>
        <color indexed="12"/>
        <rFont val="游ゴシック Medium"/>
        <family val="3"/>
        <charset val="128"/>
      </rPr>
      <t>特集で</t>
    </r>
    <r>
      <rPr>
        <u/>
        <sz val="11"/>
        <color indexed="12"/>
        <rFont val="Consolas"/>
        <family val="3"/>
      </rPr>
      <t>[</t>
    </r>
    <r>
      <rPr>
        <u/>
        <sz val="11"/>
        <color indexed="12"/>
        <rFont val="游ゴシック Medium"/>
        <family val="3"/>
        <charset val="128"/>
      </rPr>
      <t>シナプス画廊</t>
    </r>
    <r>
      <rPr>
        <u/>
        <sz val="11"/>
        <color indexed="12"/>
        <rFont val="Consolas"/>
        <family val="3"/>
      </rPr>
      <t>]</t>
    </r>
    <r>
      <rPr>
        <u/>
        <sz val="11"/>
        <color indexed="12"/>
        <rFont val="游ゴシック Medium"/>
        <family val="3"/>
        <charset val="128"/>
      </rPr>
      <t>が紹介されたときに、</t>
    </r>
    <r>
      <rPr>
        <u/>
        <sz val="11"/>
        <color indexed="12"/>
        <rFont val="Consolas"/>
        <family val="3"/>
      </rPr>
      <t>[</t>
    </r>
    <r>
      <rPr>
        <u/>
        <sz val="11"/>
        <color indexed="12"/>
        <rFont val="游ゴシック Medium"/>
        <family val="3"/>
        <charset val="128"/>
      </rPr>
      <t>葉月</t>
    </r>
    <r>
      <rPr>
        <u/>
        <sz val="11"/>
        <color indexed="12"/>
        <rFont val="Consolas"/>
        <family val="3"/>
      </rPr>
      <t>](</t>
    </r>
    <r>
      <rPr>
        <u/>
        <sz val="11"/>
        <color indexed="12"/>
        <rFont val="游ゴシック Medium"/>
        <family val="3"/>
        <charset val="128"/>
      </rPr>
      <t>伊藤洋子＆高橋秀樹</t>
    </r>
    <r>
      <rPr>
        <u/>
        <sz val="11"/>
        <color indexed="12"/>
        <rFont val="Consolas"/>
        <family val="3"/>
      </rPr>
      <t>)</t>
    </r>
    <r>
      <rPr>
        <u/>
        <sz val="11"/>
        <color indexed="12"/>
        <rFont val="游ゴシック Medium"/>
        <family val="3"/>
        <charset val="128"/>
      </rPr>
      <t>の写真（マイク前の伊藤洋子）の写真が使用されています。</t>
    </r>
    <rPh sb="0" eb="2">
      <t>トクシュウ</t>
    </rPh>
    <rPh sb="8" eb="10">
      <t>ガロウ</t>
    </rPh>
    <rPh sb="12" eb="14">
      <t>ショウカイ</t>
    </rPh>
    <rPh sb="22" eb="24">
      <t>ハヅキ</t>
    </rPh>
    <rPh sb="26" eb="28">
      <t>イトウ</t>
    </rPh>
    <rPh sb="28" eb="30">
      <t>ヨウコ</t>
    </rPh>
    <rPh sb="31" eb="35">
      <t>タカハシヒデキ</t>
    </rPh>
    <rPh sb="37" eb="39">
      <t>シャシン</t>
    </rPh>
    <rPh sb="43" eb="44">
      <t>マエ</t>
    </rPh>
    <rPh sb="45" eb="47">
      <t>イトウ</t>
    </rPh>
    <rPh sb="47" eb="49">
      <t>ヨウコ</t>
    </rPh>
    <rPh sb="51" eb="53">
      <t>シャシン</t>
    </rPh>
    <rPh sb="54" eb="56">
      <t>シヨウ</t>
    </rPh>
    <phoneticPr fontId="1"/>
  </si>
  <si>
    <r>
      <t>SHOW-OFF Vol.091|</t>
    </r>
    <r>
      <rPr>
        <sz val="11"/>
        <rFont val="游ゴシック Medium"/>
        <family val="3"/>
        <charset val="128"/>
      </rPr>
      <t>舵</t>
    </r>
    <r>
      <rPr>
        <sz val="11"/>
        <rFont val="Consolas"/>
        <family val="3"/>
      </rPr>
      <t xml:space="preserve"> </t>
    </r>
    <r>
      <rPr>
        <sz val="11"/>
        <rFont val="游ゴシック Medium"/>
        <family val="3"/>
        <charset val="128"/>
      </rPr>
      <t>芽衣子</t>
    </r>
    <r>
      <rPr>
        <sz val="11"/>
        <rFont val="Consolas"/>
        <family val="3"/>
      </rPr>
      <t>(</t>
    </r>
    <r>
      <rPr>
        <sz val="11"/>
        <rFont val="游ゴシック Medium"/>
        <family val="3"/>
        <charset val="128"/>
      </rPr>
      <t>さそり監督</t>
    </r>
    <r>
      <rPr>
        <sz val="11"/>
        <rFont val="Consolas"/>
        <family val="3"/>
      </rPr>
      <t>)</t>
    </r>
    <r>
      <rPr>
        <sz val="11"/>
        <rFont val="游ゴシック Medium"/>
        <family val="3"/>
        <charset val="128"/>
      </rPr>
      <t>の「芽衣子の異常な愛情」で</t>
    </r>
    <r>
      <rPr>
        <sz val="11"/>
        <rFont val="Consolas"/>
        <family val="3"/>
      </rPr>
      <t>MC</t>
    </r>
    <r>
      <rPr>
        <sz val="11"/>
        <rFont val="游ゴシック Medium"/>
        <family val="3"/>
        <charset val="128"/>
      </rPr>
      <t>あんにゅをインタビュ</t>
    </r>
    <rPh sb="17" eb="18">
      <t>カジ</t>
    </rPh>
    <rPh sb="19" eb="22">
      <t>メイコ</t>
    </rPh>
    <rPh sb="26" eb="28">
      <t>カントク</t>
    </rPh>
    <rPh sb="31" eb="34">
      <t>メイコ</t>
    </rPh>
    <rPh sb="35" eb="37">
      <t>イジョウ</t>
    </rPh>
    <rPh sb="38" eb="40">
      <t>アイジョウ</t>
    </rPh>
    <phoneticPr fontId="1"/>
  </si>
  <si>
    <r>
      <t>SHOW-OFF Vol.091|</t>
    </r>
    <r>
      <rPr>
        <sz val="11"/>
        <rFont val="游ゴシック Medium"/>
        <family val="3"/>
        <charset val="128"/>
      </rPr>
      <t>舵</t>
    </r>
    <r>
      <rPr>
        <sz val="11"/>
        <rFont val="Consolas"/>
        <family val="3"/>
      </rPr>
      <t xml:space="preserve"> </t>
    </r>
    <r>
      <rPr>
        <sz val="11"/>
        <rFont val="游ゴシック Medium"/>
        <family val="3"/>
        <charset val="128"/>
      </rPr>
      <t>芽衣子が</t>
    </r>
    <r>
      <rPr>
        <sz val="11"/>
        <rFont val="Consolas"/>
        <family val="3"/>
      </rPr>
      <t>MC</t>
    </r>
    <r>
      <rPr>
        <sz val="11"/>
        <rFont val="游ゴシック Medium"/>
        <family val="3"/>
        <charset val="128"/>
      </rPr>
      <t>あんにゅをインタビュ</t>
    </r>
    <rPh sb="17" eb="18">
      <t>カジ</t>
    </rPh>
    <rPh sb="19" eb="22">
      <t>メイコ</t>
    </rPh>
    <phoneticPr fontId="1"/>
  </si>
  <si>
    <r>
      <rPr>
        <sz val="11"/>
        <rFont val="游ゴシック Medium"/>
        <family val="3"/>
        <charset val="128"/>
      </rPr>
      <t>アサヒグラフ</t>
    </r>
    <phoneticPr fontId="1"/>
  </si>
  <si>
    <r>
      <rPr>
        <sz val="11"/>
        <rFont val="游ゴシック Medium"/>
        <family val="3"/>
        <charset val="128"/>
      </rPr>
      <t>山口小夜子</t>
    </r>
    <r>
      <rPr>
        <sz val="11"/>
        <rFont val="Consolas"/>
        <family val="3"/>
      </rPr>
      <t>/</t>
    </r>
    <r>
      <rPr>
        <sz val="11"/>
        <rFont val="游ゴシック Medium"/>
        <family val="3"/>
        <charset val="128"/>
      </rPr>
      <t>アンダーグラウンドの力</t>
    </r>
    <rPh sb="0" eb="2">
      <t>ヤマグチ</t>
    </rPh>
    <rPh sb="2" eb="5">
      <t>サヨコ</t>
    </rPh>
    <rPh sb="16" eb="17">
      <t>チカラ</t>
    </rPh>
    <phoneticPr fontId="1"/>
  </si>
  <si>
    <r>
      <rPr>
        <sz val="11"/>
        <rFont val="游ゴシック Medium"/>
        <family val="3"/>
        <charset val="128"/>
      </rPr>
      <t>日興コーディアル証券</t>
    </r>
    <rPh sb="0" eb="2">
      <t>ニッコウ</t>
    </rPh>
    <rPh sb="8" eb="10">
      <t>ショウケン</t>
    </rPh>
    <phoneticPr fontId="1"/>
  </si>
  <si>
    <r>
      <rPr>
        <sz val="11"/>
        <rFont val="游ゴシック Medium"/>
        <family val="3"/>
        <charset val="128"/>
      </rPr>
      <t>税金の知識</t>
    </r>
    <r>
      <rPr>
        <sz val="11"/>
        <rFont val="Consolas"/>
        <family val="3"/>
      </rPr>
      <t xml:space="preserve"> </t>
    </r>
    <r>
      <rPr>
        <sz val="11"/>
        <rFont val="游ゴシック Medium"/>
        <family val="3"/>
        <charset val="128"/>
      </rPr>
      <t>わかりやすい一問一答</t>
    </r>
    <r>
      <rPr>
        <sz val="11"/>
        <rFont val="Consolas"/>
        <family val="3"/>
      </rPr>
      <t>/Knowledge of Tax</t>
    </r>
    <rPh sb="0" eb="2">
      <t>ゼイキン</t>
    </rPh>
    <rPh sb="3" eb="5">
      <t>チシキ</t>
    </rPh>
    <rPh sb="12" eb="14">
      <t>イチモン</t>
    </rPh>
    <rPh sb="14" eb="16">
      <t>イットウ</t>
    </rPh>
    <phoneticPr fontId="1"/>
  </si>
  <si>
    <r>
      <rPr>
        <sz val="11"/>
        <rFont val="游ゴシック Medium"/>
        <family val="3"/>
        <charset val="128"/>
      </rPr>
      <t>平成</t>
    </r>
    <r>
      <rPr>
        <sz val="11"/>
        <rFont val="Consolas"/>
        <family val="3"/>
      </rPr>
      <t>16</t>
    </r>
    <r>
      <rPr>
        <sz val="11"/>
        <rFont val="游ゴシック Medium"/>
        <family val="3"/>
        <charset val="128"/>
      </rPr>
      <t>年度版</t>
    </r>
    <rPh sb="0" eb="2">
      <t>ヘイセイ</t>
    </rPh>
    <rPh sb="4" eb="6">
      <t>ネンド</t>
    </rPh>
    <rPh sb="6" eb="7">
      <t>バン</t>
    </rPh>
    <phoneticPr fontId="1"/>
  </si>
  <si>
    <r>
      <rPr>
        <sz val="11"/>
        <rFont val="游ゴシック Medium"/>
        <family val="3"/>
        <charset val="128"/>
      </rPr>
      <t>働く女性のための</t>
    </r>
    <r>
      <rPr>
        <sz val="11"/>
        <rFont val="Consolas"/>
        <family val="3"/>
      </rPr>
      <t>/</t>
    </r>
    <r>
      <rPr>
        <sz val="11"/>
        <rFont val="游ゴシック Medium"/>
        <family val="3"/>
        <charset val="128"/>
      </rPr>
      <t>仕事</t>
    </r>
    <r>
      <rPr>
        <sz val="11"/>
        <rFont val="Consolas"/>
        <family val="3"/>
      </rPr>
      <t>&amp;</t>
    </r>
    <r>
      <rPr>
        <sz val="11"/>
        <rFont val="游ゴシック Medium"/>
        <family val="3"/>
        <charset val="128"/>
      </rPr>
      <t>子育てを応援する本</t>
    </r>
    <rPh sb="0" eb="1">
      <t>ハタラ</t>
    </rPh>
    <rPh sb="2" eb="4">
      <t>ジョセイ</t>
    </rPh>
    <rPh sb="9" eb="11">
      <t>シゴト</t>
    </rPh>
    <rPh sb="12" eb="14">
      <t>コソダ</t>
    </rPh>
    <rPh sb="16" eb="18">
      <t>オウエン</t>
    </rPh>
    <rPh sb="20" eb="21">
      <t>ホン</t>
    </rPh>
    <phoneticPr fontId="1"/>
  </si>
  <si>
    <r>
      <rPr>
        <sz val="11"/>
        <rFont val="游ゴシック Medium"/>
        <family val="3"/>
        <charset val="128"/>
      </rPr>
      <t>とらばーゆ</t>
    </r>
    <r>
      <rPr>
        <sz val="11"/>
        <rFont val="Consolas"/>
        <family val="3"/>
      </rPr>
      <t>/</t>
    </r>
    <r>
      <rPr>
        <sz val="11"/>
        <rFont val="游ゴシック Medium"/>
        <family val="3"/>
        <charset val="128"/>
      </rPr>
      <t>総力特集</t>
    </r>
    <rPh sb="6" eb="8">
      <t>ソウリョク</t>
    </rPh>
    <rPh sb="8" eb="10">
      <t>トクシュウ</t>
    </rPh>
    <phoneticPr fontId="1"/>
  </si>
  <si>
    <r>
      <rPr>
        <sz val="11"/>
        <rFont val="游ゴシック Medium"/>
        <family val="3"/>
        <charset val="128"/>
      </rPr>
      <t>ブラてびき</t>
    </r>
    <r>
      <rPr>
        <sz val="11"/>
        <rFont val="Consolas"/>
        <family val="3"/>
      </rPr>
      <t>/Brassiere Guidebook</t>
    </r>
    <phoneticPr fontId="1"/>
  </si>
  <si>
    <r>
      <rPr>
        <sz val="11"/>
        <rFont val="游ゴシック Medium"/>
        <family val="3"/>
        <charset val="128"/>
      </rPr>
      <t>ブラのこと、きちんと勉強しませんか</t>
    </r>
    <r>
      <rPr>
        <sz val="11"/>
        <rFont val="Consolas"/>
        <family val="3"/>
      </rPr>
      <t xml:space="preserve"> ?</t>
    </r>
    <rPh sb="10" eb="12">
      <t>ベンキョウ</t>
    </rPh>
    <phoneticPr fontId="1"/>
  </si>
  <si>
    <r>
      <rPr>
        <sz val="11"/>
        <rFont val="游ゴシック Medium"/>
        <family val="3"/>
        <charset val="128"/>
      </rPr>
      <t>ブラジャー購入時に付録</t>
    </r>
    <rPh sb="5" eb="8">
      <t>コウニュウジ</t>
    </rPh>
    <rPh sb="9" eb="11">
      <t>フロク</t>
    </rPh>
    <phoneticPr fontId="1"/>
  </si>
  <si>
    <r>
      <t>an</t>
    </r>
    <r>
      <rPr>
        <sz val="11"/>
        <rFont val="游ゴシック Medium"/>
        <family val="3"/>
        <charset val="128"/>
      </rPr>
      <t>・</t>
    </r>
    <r>
      <rPr>
        <sz val="11"/>
        <rFont val="Consolas"/>
        <family val="3"/>
      </rPr>
      <t>an</t>
    </r>
    <phoneticPr fontId="1"/>
  </si>
  <si>
    <r>
      <rPr>
        <sz val="11"/>
        <rFont val="游ゴシック Medium"/>
        <family val="3"/>
        <charset val="128"/>
      </rPr>
      <t>エル・ジャポン</t>
    </r>
    <phoneticPr fontId="1"/>
  </si>
  <si>
    <r>
      <rPr>
        <sz val="11"/>
        <rFont val="游ゴシック Medium"/>
        <family val="3"/>
        <charset val="128"/>
      </rPr>
      <t>職場の教養</t>
    </r>
    <r>
      <rPr>
        <sz val="11"/>
        <rFont val="Consolas"/>
        <family val="3"/>
      </rPr>
      <t xml:space="preserve"> 7</t>
    </r>
    <r>
      <rPr>
        <sz val="11"/>
        <rFont val="游ゴシック Medium"/>
        <family val="3"/>
        <charset val="128"/>
      </rPr>
      <t>月号</t>
    </r>
    <r>
      <rPr>
        <sz val="11"/>
        <rFont val="Consolas"/>
        <family val="3"/>
      </rPr>
      <t xml:space="preserve"> 2012</t>
    </r>
    <rPh sb="0" eb="2">
      <t>ショクバ</t>
    </rPh>
    <rPh sb="3" eb="5">
      <t>キョウヨウ</t>
    </rPh>
    <rPh sb="7" eb="9">
      <t>ガツゴウ</t>
    </rPh>
    <phoneticPr fontId="1"/>
  </si>
  <si>
    <r>
      <rPr>
        <sz val="11"/>
        <rFont val="游ゴシック Medium"/>
        <family val="3"/>
        <charset val="128"/>
      </rPr>
      <t>第</t>
    </r>
    <r>
      <rPr>
        <sz val="11"/>
        <rFont val="Consolas"/>
        <family val="3"/>
      </rPr>
      <t>37</t>
    </r>
    <r>
      <rPr>
        <sz val="11"/>
        <rFont val="游ゴシック Medium"/>
        <family val="3"/>
        <charset val="128"/>
      </rPr>
      <t>巻</t>
    </r>
    <r>
      <rPr>
        <sz val="11"/>
        <rFont val="Consolas"/>
        <family val="3"/>
      </rPr>
      <t>7</t>
    </r>
    <r>
      <rPr>
        <sz val="11"/>
        <rFont val="游ゴシック Medium"/>
        <family val="3"/>
        <charset val="128"/>
      </rPr>
      <t>号</t>
    </r>
    <r>
      <rPr>
        <sz val="11"/>
        <rFont val="Consolas"/>
        <family val="3"/>
      </rPr>
      <t xml:space="preserve"> </t>
    </r>
    <r>
      <rPr>
        <sz val="11"/>
        <rFont val="游ゴシック Medium"/>
        <family val="3"/>
        <charset val="128"/>
      </rPr>
      <t>通巻</t>
    </r>
    <r>
      <rPr>
        <sz val="11"/>
        <rFont val="Consolas"/>
        <family val="3"/>
      </rPr>
      <t>439</t>
    </r>
    <r>
      <rPr>
        <sz val="11"/>
        <rFont val="游ゴシック Medium"/>
        <family val="3"/>
        <charset val="128"/>
      </rPr>
      <t>号</t>
    </r>
    <rPh sb="0" eb="1">
      <t>ダイ</t>
    </rPh>
    <rPh sb="3" eb="4">
      <t>カン</t>
    </rPh>
    <rPh sb="5" eb="6">
      <t>ゴウ</t>
    </rPh>
    <rPh sb="7" eb="9">
      <t>ツウカン</t>
    </rPh>
    <rPh sb="12" eb="13">
      <t>ゴウ</t>
    </rPh>
    <phoneticPr fontId="1"/>
  </si>
  <si>
    <r>
      <rPr>
        <sz val="11"/>
        <rFont val="游ゴシック Medium"/>
        <family val="3"/>
        <charset val="128"/>
      </rPr>
      <t>八郎治</t>
    </r>
  </si>
  <si>
    <r>
      <t>American Psychiatric Association/</t>
    </r>
    <r>
      <rPr>
        <sz val="11"/>
        <rFont val="游ゴシック Medium"/>
        <family val="3"/>
        <charset val="128"/>
      </rPr>
      <t>米国精神医学会</t>
    </r>
    <r>
      <rPr>
        <sz val="11"/>
        <rFont val="Consolas"/>
        <family val="3"/>
      </rPr>
      <t>/APA</t>
    </r>
    <rPh sb="33" eb="35">
      <t>ベイコク</t>
    </rPh>
    <rPh sb="35" eb="40">
      <t>セイシンイガクカイ</t>
    </rPh>
    <phoneticPr fontId="1"/>
  </si>
  <si>
    <r>
      <rPr>
        <sz val="11"/>
        <rFont val="游ゴシック Medium"/>
        <family val="3"/>
        <charset val="128"/>
      </rPr>
      <t>高橋三郎･大野</t>
    </r>
    <r>
      <rPr>
        <sz val="11"/>
        <rFont val="Consolas"/>
        <family val="3"/>
      </rPr>
      <t xml:space="preserve"> </t>
    </r>
    <r>
      <rPr>
        <sz val="11"/>
        <rFont val="游ゴシック Medium"/>
        <family val="3"/>
        <charset val="128"/>
      </rPr>
      <t>裕･染矢俊幸</t>
    </r>
    <rPh sb="0" eb="2">
      <t>タカハシ</t>
    </rPh>
    <rPh sb="2" eb="4">
      <t>サブロウ</t>
    </rPh>
    <rPh sb="5" eb="7">
      <t>オオノ</t>
    </rPh>
    <rPh sb="8" eb="9">
      <t>ユタカ</t>
    </rPh>
    <rPh sb="10" eb="12">
      <t>ソメヤ</t>
    </rPh>
    <rPh sb="12" eb="14">
      <t>トシユキ</t>
    </rPh>
    <phoneticPr fontId="1"/>
  </si>
  <si>
    <r>
      <t>DSM-</t>
    </r>
    <r>
      <rPr>
        <sz val="11"/>
        <rFont val="游ゴシック Medium"/>
        <family val="3"/>
        <charset val="128"/>
      </rPr>
      <t>Ⅳ</t>
    </r>
    <r>
      <rPr>
        <sz val="11"/>
        <rFont val="Consolas"/>
        <family val="3"/>
      </rPr>
      <t>/</t>
    </r>
    <r>
      <rPr>
        <sz val="11"/>
        <rFont val="游ゴシック Medium"/>
        <family val="3"/>
        <charset val="128"/>
      </rPr>
      <t>精神疾患の分類と診断の手引</t>
    </r>
    <r>
      <rPr>
        <sz val="11"/>
        <rFont val="Consolas"/>
        <family val="3"/>
      </rPr>
      <t>/Diagnostic Criteria from DSM-</t>
    </r>
    <r>
      <rPr>
        <sz val="11"/>
        <rFont val="游ゴシック Medium"/>
        <family val="3"/>
        <charset val="128"/>
      </rPr>
      <t>Ⅳ</t>
    </r>
    <rPh sb="4" eb="5">
      <t>フォー</t>
    </rPh>
    <rPh sb="6" eb="8">
      <t>セイシン</t>
    </rPh>
    <rPh sb="8" eb="10">
      <t>シッカン</t>
    </rPh>
    <rPh sb="11" eb="13">
      <t>ブンルイ</t>
    </rPh>
    <rPh sb="14" eb="16">
      <t>シンダン</t>
    </rPh>
    <rPh sb="17" eb="19">
      <t>テビキ</t>
    </rPh>
    <rPh sb="49" eb="50">
      <t>フォー</t>
    </rPh>
    <phoneticPr fontId="1"/>
  </si>
  <si>
    <r>
      <rPr>
        <sz val="11"/>
        <rFont val="游ゴシック Medium"/>
        <family val="3"/>
        <charset val="128"/>
      </rPr>
      <t>医学書院</t>
    </r>
    <rPh sb="0" eb="4">
      <t>イガクショイン</t>
    </rPh>
    <phoneticPr fontId="1"/>
  </si>
  <si>
    <r>
      <t>DSM-</t>
    </r>
    <r>
      <rPr>
        <sz val="11"/>
        <rFont val="游ゴシック Medium"/>
        <family val="3"/>
        <charset val="128"/>
      </rPr>
      <t>Ⅳ</t>
    </r>
    <r>
      <rPr>
        <sz val="11"/>
        <rFont val="Consolas"/>
        <family val="3"/>
      </rPr>
      <t>/</t>
    </r>
    <r>
      <rPr>
        <sz val="11"/>
        <rFont val="游ゴシック Medium"/>
        <family val="3"/>
        <charset val="128"/>
      </rPr>
      <t>精神疾患の分類と診断の手引</t>
    </r>
    <r>
      <rPr>
        <sz val="11"/>
        <rFont val="Consolas"/>
        <family val="3"/>
      </rPr>
      <t>/Quick Reference to The Diagnostic Criteria from DSM-</t>
    </r>
    <r>
      <rPr>
        <sz val="11"/>
        <rFont val="游ゴシック Medium"/>
        <family val="3"/>
        <charset val="128"/>
      </rPr>
      <t>Ⅳ</t>
    </r>
    <rPh sb="4" eb="5">
      <t>フォー</t>
    </rPh>
    <rPh sb="6" eb="8">
      <t>セイシン</t>
    </rPh>
    <rPh sb="8" eb="10">
      <t>シッカン</t>
    </rPh>
    <rPh sb="11" eb="13">
      <t>ブンルイ</t>
    </rPh>
    <rPh sb="14" eb="16">
      <t>シンダン</t>
    </rPh>
    <rPh sb="17" eb="19">
      <t>テビキ</t>
    </rPh>
    <rPh sb="72" eb="73">
      <t>フォー</t>
    </rPh>
    <phoneticPr fontId="1"/>
  </si>
  <si>
    <r>
      <rPr>
        <sz val="11"/>
        <rFont val="游ゴシック Medium"/>
        <family val="3"/>
        <charset val="128"/>
      </rPr>
      <t>辞典</t>
    </r>
    <r>
      <rPr>
        <sz val="11"/>
        <rFont val="Consolas"/>
        <family val="3"/>
      </rPr>
      <t>/</t>
    </r>
    <r>
      <rPr>
        <sz val="11"/>
        <rFont val="游ゴシック Medium"/>
        <family val="3"/>
        <charset val="128"/>
      </rPr>
      <t>雑誌</t>
    </r>
    <rPh sb="0" eb="2">
      <t>ジテン</t>
    </rPh>
    <rPh sb="3" eb="5">
      <t>ザッシ</t>
    </rPh>
    <phoneticPr fontId="1"/>
  </si>
  <si>
    <r>
      <rPr>
        <sz val="9"/>
        <rFont val="游ゴシック Medium"/>
        <family val="3"/>
        <charset val="128"/>
      </rPr>
      <t>週刊</t>
    </r>
    <r>
      <rPr>
        <sz val="9"/>
        <rFont val="Consolas"/>
        <family val="3"/>
      </rPr>
      <t xml:space="preserve">Inside </t>
    </r>
    <r>
      <rPr>
        <sz val="11"/>
        <rFont val="Consolas"/>
        <family val="3"/>
      </rPr>
      <t>Human Body</t>
    </r>
    <rPh sb="0" eb="2">
      <t>シュウカン</t>
    </rPh>
    <rPh sb="2" eb="8">
      <t>インサイド・</t>
    </rPh>
    <rPh sb="9" eb="19">
      <t>ヒューマンボディ</t>
    </rPh>
    <phoneticPr fontId="1"/>
  </si>
  <si>
    <r>
      <rPr>
        <sz val="11"/>
        <rFont val="游ゴシック Medium"/>
        <family val="3"/>
        <charset val="128"/>
      </rPr>
      <t>創刊号</t>
    </r>
    <rPh sb="0" eb="3">
      <t>ソウカンゴウ</t>
    </rPh>
    <phoneticPr fontId="1"/>
  </si>
  <si>
    <r>
      <rPr>
        <sz val="11"/>
        <rFont val="游ゴシック Medium"/>
        <family val="3"/>
        <charset val="128"/>
      </rPr>
      <t>落合武徳</t>
    </r>
    <rPh sb="0" eb="2">
      <t>オチアイ</t>
    </rPh>
    <rPh sb="2" eb="4">
      <t>タケノリ</t>
    </rPh>
    <phoneticPr fontId="1"/>
  </si>
  <si>
    <r>
      <rPr>
        <sz val="11"/>
        <rFont val="游ゴシック Medium"/>
        <family val="3"/>
        <charset val="128"/>
      </rPr>
      <t>清水孝徳</t>
    </r>
    <r>
      <rPr>
        <sz val="11"/>
        <rFont val="Consolas"/>
        <family val="3"/>
      </rPr>
      <t>/</t>
    </r>
    <r>
      <rPr>
        <sz val="11"/>
        <rFont val="游ゴシック Medium"/>
        <family val="3"/>
        <charset val="128"/>
      </rPr>
      <t>吉本信也</t>
    </r>
    <rPh sb="0" eb="2">
      <t>シミズ</t>
    </rPh>
    <rPh sb="2" eb="4">
      <t>タカノリ</t>
    </rPh>
    <rPh sb="5" eb="7">
      <t>ヨシモト</t>
    </rPh>
    <rPh sb="7" eb="9">
      <t>シンヤ</t>
    </rPh>
    <phoneticPr fontId="1"/>
  </si>
  <si>
    <r>
      <rPr>
        <sz val="11"/>
        <rFont val="游ゴシック Medium"/>
        <family val="3"/>
        <charset val="128"/>
      </rPr>
      <t>確実に身につく</t>
    </r>
    <r>
      <rPr>
        <sz val="11"/>
        <rFont val="Consolas"/>
        <family val="3"/>
      </rPr>
      <t xml:space="preserve">! </t>
    </r>
    <r>
      <rPr>
        <sz val="11"/>
        <rFont val="游ゴシック Medium"/>
        <family val="3"/>
        <charset val="128"/>
      </rPr>
      <t>縫合・局所麻酔</t>
    </r>
    <r>
      <rPr>
        <sz val="11"/>
        <rFont val="Consolas"/>
        <family val="3"/>
      </rPr>
      <t xml:space="preserve"> </t>
    </r>
    <r>
      <rPr>
        <sz val="11"/>
        <rFont val="游ゴシック Medium"/>
        <family val="3"/>
        <charset val="128"/>
      </rPr>
      <t>創に応じた適切な縫合法の選択と手技のコツ</t>
    </r>
    <r>
      <rPr>
        <sz val="11"/>
        <rFont val="Consolas"/>
        <family val="3"/>
      </rPr>
      <t xml:space="preserve"> / Suture &amp; Local Anesthesia</t>
    </r>
    <rPh sb="0" eb="2">
      <t>カクジツ</t>
    </rPh>
    <rPh sb="3" eb="4">
      <t>ミ</t>
    </rPh>
    <rPh sb="9" eb="11">
      <t>ホウゴウ</t>
    </rPh>
    <rPh sb="12" eb="14">
      <t>キョクショ</t>
    </rPh>
    <rPh sb="14" eb="16">
      <t>マスイ</t>
    </rPh>
    <rPh sb="17" eb="18">
      <t>ソウ</t>
    </rPh>
    <rPh sb="19" eb="20">
      <t>オウ</t>
    </rPh>
    <rPh sb="22" eb="24">
      <t>テキセツ</t>
    </rPh>
    <rPh sb="25" eb="27">
      <t>ホウゴウ</t>
    </rPh>
    <rPh sb="27" eb="28">
      <t>ホウ</t>
    </rPh>
    <rPh sb="29" eb="31">
      <t>センタク</t>
    </rPh>
    <rPh sb="32" eb="34">
      <t>シュギ</t>
    </rPh>
    <phoneticPr fontId="1"/>
  </si>
  <si>
    <r>
      <rPr>
        <sz val="11"/>
        <rFont val="游ゴシック Medium"/>
        <family val="3"/>
        <charset val="128"/>
      </rPr>
      <t>ビジュアル基本手技</t>
    </r>
    <r>
      <rPr>
        <sz val="11"/>
        <rFont val="Consolas"/>
        <family val="3"/>
      </rPr>
      <t xml:space="preserve"> 9 / Visual Manual of Clinical Basic Technics</t>
    </r>
    <rPh sb="5" eb="7">
      <t>キホン</t>
    </rPh>
    <rPh sb="7" eb="9">
      <t>シュギ</t>
    </rPh>
    <phoneticPr fontId="1"/>
  </si>
  <si>
    <r>
      <rPr>
        <sz val="11"/>
        <rFont val="游ゴシック Medium"/>
        <family val="3"/>
        <charset val="128"/>
      </rPr>
      <t>羊土社</t>
    </r>
    <rPh sb="0" eb="3">
      <t>ヨウドシャ</t>
    </rPh>
    <phoneticPr fontId="1"/>
  </si>
  <si>
    <r>
      <rPr>
        <strike/>
        <sz val="11"/>
        <rFont val="游ゴシック Medium"/>
        <family val="3"/>
        <charset val="128"/>
      </rPr>
      <t>辞典</t>
    </r>
    <rPh sb="0" eb="2">
      <t>ジテン</t>
    </rPh>
    <phoneticPr fontId="1"/>
  </si>
  <si>
    <r>
      <rPr>
        <b/>
        <strike/>
        <sz val="11"/>
        <color indexed="14"/>
        <rFont val="游ゴシック Medium"/>
        <family val="3"/>
        <charset val="128"/>
      </rPr>
      <t>精神医学辞典</t>
    </r>
    <rPh sb="0" eb="4">
      <t>セイシンイガク</t>
    </rPh>
    <rPh sb="4" eb="6">
      <t>ジテン</t>
    </rPh>
    <phoneticPr fontId="1"/>
  </si>
  <si>
    <r>
      <rPr>
        <strike/>
        <sz val="11"/>
        <rFont val="游ゴシック Medium"/>
        <family val="3"/>
        <charset val="128"/>
      </rPr>
      <t>弘文堂</t>
    </r>
    <rPh sb="0" eb="2">
      <t>コウブン</t>
    </rPh>
    <rPh sb="2" eb="3">
      <t>ドウ</t>
    </rPh>
    <phoneticPr fontId="1"/>
  </si>
  <si>
    <r>
      <rPr>
        <strike/>
        <u/>
        <sz val="11"/>
        <color indexed="12"/>
        <rFont val="游ゴシック Medium"/>
        <family val="3"/>
        <charset val="128"/>
      </rPr>
      <t>大泉実成に貸出中</t>
    </r>
    <rPh sb="0" eb="2">
      <t>オオイズミ</t>
    </rPh>
    <rPh sb="2" eb="4">
      <t>ミツナリ</t>
    </rPh>
    <rPh sb="5" eb="7">
      <t>カシダシ</t>
    </rPh>
    <rPh sb="7" eb="8">
      <t>チュウ</t>
    </rPh>
    <phoneticPr fontId="1"/>
  </si>
  <si>
    <r>
      <rPr>
        <sz val="11"/>
        <rFont val="游ゴシック Medium"/>
        <family val="3"/>
        <charset val="128"/>
      </rPr>
      <t>加藤正明</t>
    </r>
    <r>
      <rPr>
        <sz val="11"/>
        <rFont val="Consolas"/>
        <family val="3"/>
      </rPr>
      <t>/etc.</t>
    </r>
    <rPh sb="0" eb="2">
      <t>カトウ</t>
    </rPh>
    <rPh sb="2" eb="4">
      <t>マサアキ</t>
    </rPh>
    <phoneticPr fontId="1"/>
  </si>
  <si>
    <r>
      <rPr>
        <sz val="11"/>
        <rFont val="游ゴシック Medium"/>
        <family val="3"/>
        <charset val="128"/>
      </rPr>
      <t>【縮刷版】精神医学辞典</t>
    </r>
    <rPh sb="1" eb="4">
      <t>シュクサツバン</t>
    </rPh>
    <rPh sb="5" eb="7">
      <t>セイシン</t>
    </rPh>
    <rPh sb="7" eb="9">
      <t>イガク</t>
    </rPh>
    <rPh sb="9" eb="11">
      <t>ジテン</t>
    </rPh>
    <phoneticPr fontId="1"/>
  </si>
  <si>
    <r>
      <t>amazon/</t>
    </r>
    <r>
      <rPr>
        <sz val="11"/>
        <rFont val="游ゴシック Medium"/>
        <family val="3"/>
        <charset val="128"/>
      </rPr>
      <t>一部ギフト券</t>
    </r>
    <rPh sb="7" eb="9">
      <t>イチブ</t>
    </rPh>
    <rPh sb="12" eb="13">
      <t>ケン</t>
    </rPh>
    <phoneticPr fontId="1"/>
  </si>
  <si>
    <r>
      <rPr>
        <sz val="11"/>
        <rFont val="游ゴシック Medium"/>
        <family val="3"/>
        <charset val="128"/>
      </rPr>
      <t>心理学辞典</t>
    </r>
    <rPh sb="0" eb="3">
      <t>シンリガク</t>
    </rPh>
    <rPh sb="3" eb="5">
      <t>ジテン</t>
    </rPh>
    <phoneticPr fontId="1"/>
  </si>
  <si>
    <r>
      <rPr>
        <sz val="11"/>
        <rFont val="游ゴシック Medium"/>
        <family val="3"/>
        <charset val="128"/>
      </rPr>
      <t>園原太郎</t>
    </r>
    <r>
      <rPr>
        <sz val="11"/>
        <rFont val="Consolas"/>
        <family val="3"/>
      </rPr>
      <t>/</t>
    </r>
    <r>
      <rPr>
        <sz val="11"/>
        <rFont val="游ゴシック Medium"/>
        <family val="3"/>
        <charset val="128"/>
      </rPr>
      <t>柿崎祐一</t>
    </r>
    <r>
      <rPr>
        <sz val="11"/>
        <rFont val="Consolas"/>
        <family val="3"/>
      </rPr>
      <t>/</t>
    </r>
    <r>
      <rPr>
        <sz val="11"/>
        <rFont val="游ゴシック Medium"/>
        <family val="3"/>
        <charset val="128"/>
      </rPr>
      <t>本吉良治</t>
    </r>
    <rPh sb="0" eb="2">
      <t>ソノハラ</t>
    </rPh>
    <rPh sb="2" eb="4">
      <t>タロウ</t>
    </rPh>
    <rPh sb="5" eb="7">
      <t>カキザキ</t>
    </rPh>
    <rPh sb="7" eb="9">
      <t>ユウイチ</t>
    </rPh>
    <rPh sb="10" eb="12">
      <t>モトヨシ</t>
    </rPh>
    <rPh sb="12" eb="14">
      <t>ヨシハル</t>
    </rPh>
    <phoneticPr fontId="1"/>
  </si>
  <si>
    <r>
      <rPr>
        <b/>
        <sz val="11"/>
        <color indexed="14"/>
        <rFont val="游ゴシック Medium"/>
        <family val="3"/>
        <charset val="128"/>
      </rPr>
      <t>ミネルヴァ</t>
    </r>
    <r>
      <rPr>
        <b/>
        <sz val="11"/>
        <color indexed="14"/>
        <rFont val="Consolas"/>
        <family val="3"/>
      </rPr>
      <t xml:space="preserve"> </t>
    </r>
    <r>
      <rPr>
        <b/>
        <sz val="11"/>
        <color indexed="14"/>
        <rFont val="游ゴシック Medium"/>
        <family val="3"/>
        <charset val="128"/>
      </rPr>
      <t>心理学辞典</t>
    </r>
    <rPh sb="6" eb="9">
      <t>シンリガク</t>
    </rPh>
    <rPh sb="9" eb="11">
      <t>ジテン</t>
    </rPh>
    <phoneticPr fontId="1"/>
  </si>
  <si>
    <r>
      <rPr>
        <sz val="11"/>
        <rFont val="游ゴシック Medium"/>
        <family val="3"/>
        <charset val="128"/>
      </rPr>
      <t>ミネルヴァ書房</t>
    </r>
    <rPh sb="5" eb="7">
      <t>ショボウ</t>
    </rPh>
    <phoneticPr fontId="1"/>
  </si>
  <si>
    <r>
      <rPr>
        <sz val="11"/>
        <rFont val="游ゴシック Medium"/>
        <family val="3"/>
        <charset val="128"/>
      </rPr>
      <t>誠信</t>
    </r>
    <r>
      <rPr>
        <sz val="11"/>
        <rFont val="Consolas"/>
        <family val="3"/>
      </rPr>
      <t xml:space="preserve"> </t>
    </r>
    <r>
      <rPr>
        <sz val="11"/>
        <rFont val="游ゴシック Medium"/>
        <family val="3"/>
        <charset val="128"/>
      </rPr>
      <t>心理学辞典</t>
    </r>
    <rPh sb="0" eb="1">
      <t>セイシン</t>
    </rPh>
    <rPh sb="1" eb="2">
      <t>シン</t>
    </rPh>
    <rPh sb="3" eb="6">
      <t>シンリガク</t>
    </rPh>
    <rPh sb="6" eb="8">
      <t>ジテン</t>
    </rPh>
    <phoneticPr fontId="1"/>
  </si>
  <si>
    <r>
      <rPr>
        <sz val="11"/>
        <rFont val="游ゴシック Medium"/>
        <family val="3"/>
        <charset val="128"/>
      </rPr>
      <t>粟田賢三</t>
    </r>
    <r>
      <rPr>
        <sz val="11"/>
        <rFont val="Consolas"/>
        <family val="3"/>
      </rPr>
      <t>/</t>
    </r>
    <r>
      <rPr>
        <sz val="11"/>
        <rFont val="游ゴシック Medium"/>
        <family val="3"/>
        <charset val="128"/>
      </rPr>
      <t>古在由重</t>
    </r>
    <rPh sb="0" eb="2">
      <t>アワタ</t>
    </rPh>
    <rPh sb="2" eb="4">
      <t>ケンゾウ</t>
    </rPh>
    <rPh sb="7" eb="9">
      <t>ヨシシゲ</t>
    </rPh>
    <phoneticPr fontId="1"/>
  </si>
  <si>
    <r>
      <rPr>
        <sz val="11"/>
        <rFont val="游ゴシック Medium"/>
        <family val="3"/>
        <charset val="128"/>
      </rPr>
      <t>岩波</t>
    </r>
    <r>
      <rPr>
        <sz val="11"/>
        <rFont val="Consolas"/>
        <family val="3"/>
      </rPr>
      <t xml:space="preserve"> </t>
    </r>
    <r>
      <rPr>
        <sz val="11"/>
        <rFont val="游ゴシック Medium"/>
        <family val="3"/>
        <charset val="128"/>
      </rPr>
      <t>哲学</t>
    </r>
    <r>
      <rPr>
        <sz val="11"/>
        <rFont val="Consolas"/>
        <family val="3"/>
      </rPr>
      <t xml:space="preserve"> </t>
    </r>
    <r>
      <rPr>
        <sz val="11"/>
        <rFont val="游ゴシック Medium"/>
        <family val="3"/>
        <charset val="128"/>
      </rPr>
      <t>小辞典</t>
    </r>
    <rPh sb="0" eb="2">
      <t>イワナミ</t>
    </rPh>
    <rPh sb="3" eb="5">
      <t>テツガク</t>
    </rPh>
    <rPh sb="6" eb="9">
      <t>ショウジテン</t>
    </rPh>
    <phoneticPr fontId="1"/>
  </si>
  <si>
    <r>
      <rPr>
        <sz val="11"/>
        <rFont val="游ゴシック Medium"/>
        <family val="3"/>
        <charset val="128"/>
      </rPr>
      <t>原</t>
    </r>
    <r>
      <rPr>
        <sz val="11"/>
        <rFont val="Consolas"/>
        <family val="3"/>
      </rPr>
      <t xml:space="preserve"> </t>
    </r>
    <r>
      <rPr>
        <sz val="11"/>
        <rFont val="游ゴシック Medium"/>
        <family val="3"/>
        <charset val="128"/>
      </rPr>
      <t>博</t>
    </r>
    <r>
      <rPr>
        <sz val="11"/>
        <rFont val="Consolas"/>
        <family val="3"/>
      </rPr>
      <t>/Skier,Eric/</t>
    </r>
    <r>
      <rPr>
        <sz val="11"/>
        <rFont val="游ゴシック Medium"/>
        <family val="3"/>
        <charset val="128"/>
      </rPr>
      <t>渡辺朋子</t>
    </r>
    <rPh sb="0" eb="1">
      <t>ハラ</t>
    </rPh>
    <rPh sb="2" eb="3">
      <t>ヒロシ</t>
    </rPh>
    <rPh sb="15" eb="17">
      <t>ワタナベ</t>
    </rPh>
    <rPh sb="17" eb="19">
      <t>トモコ</t>
    </rPh>
    <phoneticPr fontId="1"/>
  </si>
  <si>
    <r>
      <rPr>
        <sz val="11"/>
        <rFont val="游ゴシック Medium"/>
        <family val="3"/>
        <charset val="128"/>
      </rPr>
      <t>薬学生・薬剤師のための</t>
    </r>
    <r>
      <rPr>
        <sz val="11"/>
        <rFont val="Consolas"/>
        <family val="3"/>
      </rPr>
      <t xml:space="preserve"> </t>
    </r>
    <r>
      <rPr>
        <sz val="11"/>
        <rFont val="游ゴシック Medium"/>
        <family val="3"/>
        <charset val="128"/>
      </rPr>
      <t>英会話ハンドブック</t>
    </r>
    <r>
      <rPr>
        <sz val="11"/>
        <rFont val="Consolas"/>
        <family val="3"/>
      </rPr>
      <t xml:space="preserve"> </t>
    </r>
    <r>
      <rPr>
        <sz val="11"/>
        <rFont val="游ゴシック Medium"/>
        <family val="3"/>
        <charset val="128"/>
      </rPr>
      <t>第</t>
    </r>
    <r>
      <rPr>
        <sz val="11"/>
        <rFont val="Consolas"/>
        <family val="3"/>
      </rPr>
      <t>2</t>
    </r>
    <r>
      <rPr>
        <sz val="11"/>
        <rFont val="游ゴシック Medium"/>
        <family val="3"/>
        <charset val="128"/>
      </rPr>
      <t>版</t>
    </r>
    <rPh sb="0" eb="3">
      <t>ヤクガクセイ</t>
    </rPh>
    <rPh sb="4" eb="7">
      <t>ヤクザイシ</t>
    </rPh>
    <rPh sb="12" eb="15">
      <t>エイカイワ</t>
    </rPh>
    <rPh sb="22" eb="23">
      <t>ダイ</t>
    </rPh>
    <rPh sb="24" eb="25">
      <t>ハン</t>
    </rPh>
    <phoneticPr fontId="1"/>
  </si>
  <si>
    <r>
      <rPr>
        <sz val="11"/>
        <rFont val="游ゴシック Medium"/>
        <family val="3"/>
        <charset val="128"/>
      </rPr>
      <t>東京化学同人</t>
    </r>
    <rPh sb="0" eb="2">
      <t>トウキョウ</t>
    </rPh>
    <rPh sb="2" eb="4">
      <t>カガク</t>
    </rPh>
    <rPh sb="4" eb="6">
      <t>ドウジン</t>
    </rPh>
    <phoneticPr fontId="1"/>
  </si>
  <si>
    <r>
      <rPr>
        <sz val="11"/>
        <rFont val="游ゴシック Medium"/>
        <family val="3"/>
        <charset val="128"/>
      </rPr>
      <t>薬事法令用語研究会</t>
    </r>
    <rPh sb="0" eb="2">
      <t>ヤクジ</t>
    </rPh>
    <rPh sb="2" eb="4">
      <t>ホウレイ</t>
    </rPh>
    <rPh sb="4" eb="6">
      <t>ヨウゴ</t>
    </rPh>
    <rPh sb="6" eb="9">
      <t>ケンキュウカイ</t>
    </rPh>
    <phoneticPr fontId="1"/>
  </si>
  <si>
    <r>
      <rPr>
        <sz val="11"/>
        <rFont val="游ゴシック Medium"/>
        <family val="3"/>
        <charset val="128"/>
      </rPr>
      <t>薬事法令用語註解</t>
    </r>
    <rPh sb="0" eb="2">
      <t>ヤクジ</t>
    </rPh>
    <rPh sb="2" eb="4">
      <t>ホウレイ</t>
    </rPh>
    <rPh sb="4" eb="6">
      <t>ヨウゴ</t>
    </rPh>
    <rPh sb="6" eb="8">
      <t>チュウカイ</t>
    </rPh>
    <phoneticPr fontId="1"/>
  </si>
  <si>
    <r>
      <rPr>
        <sz val="11"/>
        <rFont val="游ゴシック Medium"/>
        <family val="3"/>
        <charset val="128"/>
      </rPr>
      <t>薬務公報社</t>
    </r>
    <rPh sb="0" eb="1">
      <t>ヤク</t>
    </rPh>
    <rPh sb="1" eb="2">
      <t>ム</t>
    </rPh>
    <rPh sb="2" eb="4">
      <t>コウホウ</t>
    </rPh>
    <rPh sb="4" eb="5">
      <t>シャ</t>
    </rPh>
    <phoneticPr fontId="1"/>
  </si>
  <si>
    <r>
      <rPr>
        <sz val="11"/>
        <rFont val="游ゴシック Medium"/>
        <family val="3"/>
        <charset val="128"/>
      </rPr>
      <t>化学英語の活用辞典</t>
    </r>
    <rPh sb="0" eb="2">
      <t>カガク</t>
    </rPh>
    <rPh sb="2" eb="4">
      <t>エイゴ</t>
    </rPh>
    <rPh sb="5" eb="7">
      <t>カツヨウ</t>
    </rPh>
    <rPh sb="7" eb="9">
      <t>ジテン</t>
    </rPh>
    <phoneticPr fontId="1"/>
  </si>
  <si>
    <r>
      <rPr>
        <sz val="11"/>
        <rFont val="游ゴシック Medium"/>
        <family val="3"/>
        <charset val="128"/>
      </rPr>
      <t>化学同人</t>
    </r>
    <rPh sb="0" eb="2">
      <t>カガク</t>
    </rPh>
    <rPh sb="2" eb="4">
      <t>ドウジン</t>
    </rPh>
    <phoneticPr fontId="1"/>
  </si>
  <si>
    <r>
      <rPr>
        <sz val="11"/>
        <rFont val="游ゴシック Medium"/>
        <family val="3"/>
        <charset val="128"/>
      </rPr>
      <t>くすりのすべて</t>
    </r>
    <phoneticPr fontId="1"/>
  </si>
  <si>
    <r>
      <rPr>
        <sz val="11"/>
        <rFont val="游ゴシック Medium"/>
        <family val="3"/>
        <charset val="128"/>
      </rPr>
      <t>主婦の友社</t>
    </r>
    <rPh sb="0" eb="5">
      <t>シュフノトモシャ</t>
    </rPh>
    <phoneticPr fontId="1"/>
  </si>
  <si>
    <r>
      <rPr>
        <sz val="11"/>
        <rFont val="游ゴシック Medium"/>
        <family val="3"/>
        <charset val="128"/>
      </rPr>
      <t>新編</t>
    </r>
    <r>
      <rPr>
        <sz val="11"/>
        <rFont val="Consolas"/>
        <family val="3"/>
      </rPr>
      <t xml:space="preserve"> </t>
    </r>
    <r>
      <rPr>
        <sz val="11"/>
        <rFont val="游ゴシック Medium"/>
        <family val="3"/>
        <charset val="128"/>
      </rPr>
      <t>家庭</t>
    </r>
    <r>
      <rPr>
        <sz val="11"/>
        <rFont val="Consolas"/>
        <family val="3"/>
      </rPr>
      <t xml:space="preserve"> </t>
    </r>
    <r>
      <rPr>
        <sz val="11"/>
        <rFont val="游ゴシック Medium"/>
        <family val="3"/>
        <charset val="128"/>
      </rPr>
      <t>医学全書</t>
    </r>
    <rPh sb="0" eb="2">
      <t>シンペン</t>
    </rPh>
    <rPh sb="3" eb="5">
      <t>カテイ</t>
    </rPh>
    <rPh sb="6" eb="8">
      <t>イガク</t>
    </rPh>
    <rPh sb="8" eb="10">
      <t>ゼンショ</t>
    </rPh>
    <phoneticPr fontId="1"/>
  </si>
  <si>
    <r>
      <rPr>
        <sz val="11"/>
        <rFont val="游ゴシック Medium"/>
        <family val="3"/>
        <charset val="128"/>
      </rPr>
      <t>演劇博物館</t>
    </r>
    <rPh sb="0" eb="5">
      <t>エンゲキハクブツカン</t>
    </rPh>
    <phoneticPr fontId="1"/>
  </si>
  <si>
    <r>
      <rPr>
        <sz val="11"/>
        <rFont val="游ゴシック Medium"/>
        <family val="3"/>
        <charset val="128"/>
      </rPr>
      <t>河竹</t>
    </r>
    <r>
      <rPr>
        <sz val="11"/>
        <rFont val="Consolas"/>
        <family val="3"/>
      </rPr>
      <t xml:space="preserve"> </t>
    </r>
    <r>
      <rPr>
        <sz val="11"/>
        <rFont val="游ゴシック Medium"/>
        <family val="3"/>
        <charset val="128"/>
      </rPr>
      <t>繁俊</t>
    </r>
    <rPh sb="0" eb="2">
      <t>カワタケ</t>
    </rPh>
    <rPh sb="3" eb="5">
      <t>シゲトシ</t>
    </rPh>
    <phoneticPr fontId="1"/>
  </si>
  <si>
    <r>
      <rPr>
        <sz val="11"/>
        <rFont val="游ゴシック Medium"/>
        <family val="3"/>
        <charset val="128"/>
      </rPr>
      <t>藝能辞典</t>
    </r>
    <rPh sb="0" eb="2">
      <t>ゲイノウ</t>
    </rPh>
    <rPh sb="2" eb="4">
      <t>ジテン</t>
    </rPh>
    <phoneticPr fontId="1"/>
  </si>
  <si>
    <r>
      <rPr>
        <sz val="11"/>
        <rFont val="游ゴシック Medium"/>
        <family val="3"/>
        <charset val="128"/>
      </rPr>
      <t>国劇向上会</t>
    </r>
    <rPh sb="0" eb="2">
      <t>コクゲキ</t>
    </rPh>
    <rPh sb="2" eb="4">
      <t>コウジョウ</t>
    </rPh>
    <rPh sb="4" eb="5">
      <t>カイ</t>
    </rPh>
    <phoneticPr fontId="1"/>
  </si>
  <si>
    <r>
      <rPr>
        <sz val="11"/>
        <rFont val="游ゴシック Medium"/>
        <family val="3"/>
        <charset val="128"/>
      </rPr>
      <t>東京堂</t>
    </r>
    <rPh sb="0" eb="3">
      <t>トウキョウドウ</t>
    </rPh>
    <phoneticPr fontId="1"/>
  </si>
  <si>
    <r>
      <rPr>
        <sz val="11"/>
        <rFont val="游ゴシック Medium"/>
        <family val="3"/>
        <charset val="128"/>
      </rPr>
      <t>滝本</t>
    </r>
    <r>
      <rPr>
        <sz val="11"/>
        <rFont val="Consolas"/>
        <family val="3"/>
      </rPr>
      <t xml:space="preserve"> </t>
    </r>
    <r>
      <rPr>
        <sz val="11"/>
        <rFont val="游ゴシック Medium"/>
        <family val="3"/>
        <charset val="128"/>
      </rPr>
      <t>杏奈</t>
    </r>
    <rPh sb="0" eb="2">
      <t>タキモト</t>
    </rPh>
    <rPh sb="3" eb="5">
      <t>アンナ</t>
    </rPh>
    <phoneticPr fontId="1"/>
  </si>
  <si>
    <r>
      <rPr>
        <sz val="11"/>
        <rFont val="游ゴシック Medium"/>
        <family val="3"/>
        <charset val="128"/>
      </rPr>
      <t>感情</t>
    </r>
    <r>
      <rPr>
        <sz val="11"/>
        <rFont val="Consolas"/>
        <family val="3"/>
      </rPr>
      <t xml:space="preserve"> </t>
    </r>
    <r>
      <rPr>
        <sz val="11"/>
        <rFont val="游ゴシック Medium"/>
        <family val="3"/>
        <charset val="128"/>
      </rPr>
      <t>類語辞典</t>
    </r>
    <r>
      <rPr>
        <sz val="11"/>
        <rFont val="Consolas"/>
        <family val="3"/>
      </rPr>
      <t>|The Emotion Thesaurus:A Writer's Guide to Character Expression</t>
    </r>
    <rPh sb="0" eb="2">
      <t>カンジョウ</t>
    </rPh>
    <rPh sb="3" eb="7">
      <t>ルイゴジテン</t>
    </rPh>
    <phoneticPr fontId="1"/>
  </si>
  <si>
    <r>
      <rPr>
        <sz val="11"/>
        <rFont val="游ゴシック Medium"/>
        <family val="3"/>
        <charset val="128"/>
      </rPr>
      <t>辞典</t>
    </r>
    <r>
      <rPr>
        <sz val="11"/>
        <rFont val="Consolas"/>
        <family val="3"/>
      </rPr>
      <t>/</t>
    </r>
    <r>
      <rPr>
        <sz val="11"/>
        <rFont val="游ゴシック Medium"/>
        <family val="3"/>
        <charset val="128"/>
      </rPr>
      <t>図鑑</t>
    </r>
    <rPh sb="0" eb="2">
      <t>ジテン</t>
    </rPh>
    <rPh sb="3" eb="5">
      <t>ズカン</t>
    </rPh>
    <phoneticPr fontId="1"/>
  </si>
  <si>
    <r>
      <rPr>
        <sz val="11"/>
        <rFont val="游ゴシック Medium"/>
        <family val="3"/>
        <charset val="128"/>
      </rPr>
      <t>秀村欣二</t>
    </r>
    <r>
      <rPr>
        <sz val="11"/>
        <rFont val="Consolas"/>
        <family val="3"/>
      </rPr>
      <t>/</t>
    </r>
    <r>
      <rPr>
        <sz val="11"/>
        <rFont val="游ゴシック Medium"/>
        <family val="3"/>
        <charset val="128"/>
      </rPr>
      <t>高橋正男</t>
    </r>
    <rPh sb="0" eb="2">
      <t>ヒデムラ</t>
    </rPh>
    <rPh sb="2" eb="4">
      <t>キンジ</t>
    </rPh>
    <rPh sb="5" eb="7">
      <t>タカハシ</t>
    </rPh>
    <rPh sb="7" eb="9">
      <t>マサオ</t>
    </rPh>
    <phoneticPr fontId="1"/>
  </si>
  <si>
    <r>
      <rPr>
        <sz val="8"/>
        <rFont val="游ゴシック Medium"/>
        <family val="3"/>
        <charset val="128"/>
      </rPr>
      <t>歴史地図と写真で実証する</t>
    </r>
    <r>
      <rPr>
        <b/>
        <sz val="11"/>
        <color indexed="33"/>
        <rFont val="游ゴシック Medium"/>
        <family val="3"/>
        <charset val="128"/>
      </rPr>
      <t>聖書の世界</t>
    </r>
    <r>
      <rPr>
        <sz val="11"/>
        <rFont val="Consolas"/>
        <family val="3"/>
      </rPr>
      <t>/Discovering the Biblical World</t>
    </r>
    <rPh sb="0" eb="2">
      <t>レキシ</t>
    </rPh>
    <rPh sb="2" eb="4">
      <t>チズ</t>
    </rPh>
    <rPh sb="5" eb="7">
      <t>シャシン</t>
    </rPh>
    <rPh sb="8" eb="10">
      <t>ジッショウ</t>
    </rPh>
    <rPh sb="12" eb="14">
      <t>セイショ</t>
    </rPh>
    <rPh sb="15" eb="17">
      <t>セカイ</t>
    </rPh>
    <phoneticPr fontId="1"/>
  </si>
  <si>
    <r>
      <rPr>
        <sz val="11"/>
        <rFont val="游ゴシック Medium"/>
        <family val="3"/>
        <charset val="128"/>
      </rPr>
      <t>土井寛之</t>
    </r>
    <r>
      <rPr>
        <sz val="11"/>
        <rFont val="Consolas"/>
        <family val="3"/>
      </rPr>
      <t>/</t>
    </r>
    <r>
      <rPr>
        <sz val="11"/>
        <rFont val="游ゴシック Medium"/>
        <family val="3"/>
        <charset val="128"/>
      </rPr>
      <t>山田</t>
    </r>
    <r>
      <rPr>
        <sz val="11"/>
        <rFont val="Consolas"/>
        <family val="3"/>
      </rPr>
      <t xml:space="preserve"> </t>
    </r>
    <r>
      <rPr>
        <sz val="11"/>
        <rFont val="游ゴシック Medium"/>
        <family val="3"/>
        <charset val="128"/>
      </rPr>
      <t>じゃく</t>
    </r>
    <r>
      <rPr>
        <sz val="11"/>
        <rFont val="Consolas"/>
        <family val="3"/>
      </rPr>
      <t>/</t>
    </r>
    <r>
      <rPr>
        <sz val="11"/>
        <rFont val="游ゴシック Medium"/>
        <family val="3"/>
        <charset val="128"/>
      </rPr>
      <t>平岡篤頼</t>
    </r>
    <rPh sb="0" eb="2">
      <t>ドイ</t>
    </rPh>
    <rPh sb="2" eb="4">
      <t>ヒロユキ</t>
    </rPh>
    <rPh sb="5" eb="7">
      <t>ヤマダ</t>
    </rPh>
    <rPh sb="12" eb="14">
      <t>ヒラオカ</t>
    </rPh>
    <rPh sb="14" eb="15">
      <t>トク</t>
    </rPh>
    <rPh sb="15" eb="16">
      <t>ヨシ</t>
    </rPh>
    <phoneticPr fontId="1"/>
  </si>
  <si>
    <r>
      <rPr>
        <sz val="11"/>
        <rFont val="游ゴシック Medium"/>
        <family val="3"/>
        <charset val="128"/>
      </rPr>
      <t>フランス文学辞典</t>
    </r>
    <rPh sb="4" eb="6">
      <t>ブンガク</t>
    </rPh>
    <rPh sb="6" eb="8">
      <t>ジテン</t>
    </rPh>
    <phoneticPr fontId="1"/>
  </si>
  <si>
    <r>
      <rPr>
        <sz val="11"/>
        <rFont val="游ゴシック Medium"/>
        <family val="3"/>
        <charset val="128"/>
      </rPr>
      <t>言潮社</t>
    </r>
    <rPh sb="0" eb="1">
      <t>ゲン</t>
    </rPh>
    <rPh sb="1" eb="2">
      <t>チョウ</t>
    </rPh>
    <rPh sb="2" eb="3">
      <t>シャ</t>
    </rPh>
    <phoneticPr fontId="1"/>
  </si>
  <si>
    <r>
      <rPr>
        <sz val="11"/>
        <rFont val="游ゴシック Medium"/>
        <family val="3"/>
        <charset val="128"/>
      </rPr>
      <t>サンシャイン古本掘出し市</t>
    </r>
    <rPh sb="6" eb="8">
      <t>フルホン</t>
    </rPh>
    <rPh sb="8" eb="10">
      <t>ホリダ</t>
    </rPh>
    <rPh sb="11" eb="12">
      <t>イチ</t>
    </rPh>
    <phoneticPr fontId="1"/>
  </si>
  <si>
    <r>
      <rPr>
        <sz val="11"/>
        <rFont val="游ゴシック Medium"/>
        <family val="3"/>
        <charset val="128"/>
      </rPr>
      <t>世界人名・地名表記辞典《英・独・仏・伊・西・日語対象》</t>
    </r>
    <r>
      <rPr>
        <sz val="11"/>
        <rFont val="Consolas"/>
        <family val="3"/>
      </rPr>
      <t>/A Dictionary of Proper Names in six Languages</t>
    </r>
    <rPh sb="0" eb="2">
      <t>セカイ</t>
    </rPh>
    <rPh sb="2" eb="4">
      <t>ジンメイ</t>
    </rPh>
    <rPh sb="5" eb="7">
      <t>チメイ</t>
    </rPh>
    <rPh sb="7" eb="9">
      <t>ヒョウキ</t>
    </rPh>
    <rPh sb="9" eb="11">
      <t>ジテン</t>
    </rPh>
    <rPh sb="12" eb="13">
      <t>エイ</t>
    </rPh>
    <rPh sb="14" eb="15">
      <t>ドク</t>
    </rPh>
    <rPh sb="16" eb="17">
      <t>フツ</t>
    </rPh>
    <rPh sb="18" eb="19">
      <t>イ</t>
    </rPh>
    <rPh sb="20" eb="21">
      <t>セイ</t>
    </rPh>
    <rPh sb="22" eb="23">
      <t>ニチ</t>
    </rPh>
    <rPh sb="23" eb="24">
      <t>ゴ</t>
    </rPh>
    <rPh sb="24" eb="26">
      <t>タイショウ</t>
    </rPh>
    <phoneticPr fontId="1"/>
  </si>
  <si>
    <r>
      <rPr>
        <sz val="11"/>
        <rFont val="游ゴシック Medium"/>
        <family val="3"/>
        <charset val="128"/>
      </rPr>
      <t>南雲堂</t>
    </r>
    <rPh sb="0" eb="2">
      <t>ナンウン</t>
    </rPh>
    <rPh sb="2" eb="3">
      <t>ドウ</t>
    </rPh>
    <phoneticPr fontId="1"/>
  </si>
  <si>
    <r>
      <t>Das Argonautenschiff/Argo</t>
    </r>
    <r>
      <rPr>
        <sz val="11"/>
        <rFont val="游ゴシック Medium"/>
        <family val="3"/>
        <charset val="128"/>
      </rPr>
      <t>船</t>
    </r>
    <rPh sb="21" eb="25">
      <t>アルゴー</t>
    </rPh>
    <rPh sb="25" eb="26">
      <t>セン</t>
    </rPh>
    <phoneticPr fontId="1"/>
  </si>
  <si>
    <r>
      <rPr>
        <sz val="11"/>
        <rFont val="游ゴシック Medium"/>
        <family val="3"/>
        <charset val="128"/>
      </rPr>
      <t>南江堂</t>
    </r>
    <rPh sb="0" eb="2">
      <t>ナンコウ</t>
    </rPh>
    <rPh sb="2" eb="3">
      <t>ドウ</t>
    </rPh>
    <phoneticPr fontId="1"/>
  </si>
  <si>
    <r>
      <rPr>
        <sz val="11"/>
        <rFont val="游ゴシック Medium"/>
        <family val="3"/>
        <charset val="128"/>
      </rPr>
      <t>新仏和中辞典</t>
    </r>
    <rPh sb="0" eb="1">
      <t>シン</t>
    </rPh>
    <rPh sb="1" eb="3">
      <t>フツワ</t>
    </rPh>
    <rPh sb="3" eb="6">
      <t>チュウジテン</t>
    </rPh>
    <phoneticPr fontId="1"/>
  </si>
  <si>
    <r>
      <t>Le Deco/</t>
    </r>
    <r>
      <rPr>
        <sz val="11"/>
        <rFont val="游ゴシック Medium"/>
        <family val="3"/>
        <charset val="128"/>
      </rPr>
      <t>現代フランス語辞典</t>
    </r>
    <r>
      <rPr>
        <sz val="11"/>
        <rFont val="Consolas"/>
        <family val="3"/>
      </rPr>
      <t xml:space="preserve"> </t>
    </r>
    <r>
      <rPr>
        <sz val="11"/>
        <rFont val="游ゴシック Medium"/>
        <family val="3"/>
        <charset val="128"/>
      </rPr>
      <t>第</t>
    </r>
    <r>
      <rPr>
        <sz val="11"/>
        <rFont val="Consolas"/>
        <family val="3"/>
      </rPr>
      <t>2</t>
    </r>
    <r>
      <rPr>
        <sz val="11"/>
        <rFont val="游ゴシック Medium"/>
        <family val="3"/>
        <charset val="128"/>
      </rPr>
      <t>版</t>
    </r>
    <r>
      <rPr>
        <sz val="11"/>
        <rFont val="Consolas"/>
        <family val="3"/>
      </rPr>
      <t>/Dictionnaire francais-japonais</t>
    </r>
    <rPh sb="8" eb="10">
      <t>ゲンダイ</t>
    </rPh>
    <rPh sb="14" eb="15">
      <t>ゴ</t>
    </rPh>
    <rPh sb="15" eb="17">
      <t>ジテン</t>
    </rPh>
    <rPh sb="18" eb="19">
      <t>ダイ</t>
    </rPh>
    <rPh sb="20" eb="21">
      <t>バン</t>
    </rPh>
    <phoneticPr fontId="1"/>
  </si>
  <si>
    <r>
      <t>Concorde</t>
    </r>
    <r>
      <rPr>
        <sz val="11"/>
        <rFont val="游ゴシック Medium"/>
        <family val="3"/>
        <charset val="128"/>
      </rPr>
      <t>和仏辞典</t>
    </r>
    <rPh sb="0" eb="8">
      <t>コンコルド</t>
    </rPh>
    <rPh sb="8" eb="10">
      <t>ワフツ</t>
    </rPh>
    <rPh sb="10" eb="12">
      <t>ジテン</t>
    </rPh>
    <phoneticPr fontId="1"/>
  </si>
  <si>
    <r>
      <rPr>
        <sz val="11"/>
        <rFont val="游ゴシック Medium"/>
        <family val="3"/>
        <charset val="128"/>
      </rPr>
      <t>ロワイヤル・ポッシュ仏和・和仏小辞典</t>
    </r>
    <rPh sb="10" eb="12">
      <t>フツワ</t>
    </rPh>
    <rPh sb="13" eb="15">
      <t>ワフツ</t>
    </rPh>
    <rPh sb="15" eb="18">
      <t>ショウジテン</t>
    </rPh>
    <phoneticPr fontId="1"/>
  </si>
  <si>
    <r>
      <rPr>
        <sz val="11"/>
        <rFont val="游ゴシック Medium"/>
        <family val="3"/>
        <charset val="128"/>
      </rPr>
      <t>ロワイヤル・ポッシュ</t>
    </r>
    <phoneticPr fontId="1"/>
  </si>
  <si>
    <r>
      <rPr>
        <sz val="11"/>
        <rFont val="游ゴシック Medium"/>
        <family val="3"/>
        <charset val="128"/>
      </rPr>
      <t>小原耕一</t>
    </r>
    <rPh sb="0" eb="2">
      <t>オバラ</t>
    </rPh>
    <rPh sb="2" eb="4">
      <t>コウイチ</t>
    </rPh>
    <phoneticPr fontId="1"/>
  </si>
  <si>
    <r>
      <rPr>
        <sz val="11"/>
        <rFont val="游ゴシック Medium"/>
        <family val="3"/>
        <charset val="128"/>
      </rPr>
      <t>すぐにつかえる日本語‐フランス語‐英語辞典</t>
    </r>
    <rPh sb="7" eb="10">
      <t>ニホンゴ</t>
    </rPh>
    <rPh sb="15" eb="16">
      <t>ゴ</t>
    </rPh>
    <rPh sb="17" eb="19">
      <t>エイゴ</t>
    </rPh>
    <rPh sb="19" eb="21">
      <t>ジテン</t>
    </rPh>
    <phoneticPr fontId="1"/>
  </si>
  <si>
    <r>
      <rPr>
        <sz val="11"/>
        <rFont val="游ゴシック Medium"/>
        <family val="3"/>
        <charset val="128"/>
      </rPr>
      <t>国際語学社</t>
    </r>
    <rPh sb="0" eb="2">
      <t>コクサイ</t>
    </rPh>
    <rPh sb="2" eb="4">
      <t>ゴガク</t>
    </rPh>
    <rPh sb="4" eb="5">
      <t>シャ</t>
    </rPh>
    <phoneticPr fontId="1"/>
  </si>
  <si>
    <r>
      <rPr>
        <sz val="11"/>
        <rFont val="游ゴシック Medium"/>
        <family val="3"/>
        <charset val="128"/>
      </rPr>
      <t>池宮書店</t>
    </r>
    <rPh sb="0" eb="2">
      <t>イケミヤ</t>
    </rPh>
    <rPh sb="2" eb="4">
      <t>ショテン</t>
    </rPh>
    <phoneticPr fontId="1"/>
  </si>
  <si>
    <r>
      <rPr>
        <sz val="11"/>
        <rFont val="游ゴシック Medium"/>
        <family val="3"/>
        <charset val="128"/>
      </rPr>
      <t>携帯版</t>
    </r>
    <r>
      <rPr>
        <sz val="11"/>
        <rFont val="Consolas"/>
        <family val="3"/>
      </rPr>
      <t xml:space="preserve"> </t>
    </r>
    <r>
      <rPr>
        <sz val="11"/>
        <rFont val="游ゴシック Medium"/>
        <family val="3"/>
        <charset val="128"/>
      </rPr>
      <t>フランス語会話とっさのひとこと辞典</t>
    </r>
    <rPh sb="0" eb="2">
      <t>ケイタイ</t>
    </rPh>
    <rPh sb="2" eb="3">
      <t>バン</t>
    </rPh>
    <rPh sb="8" eb="9">
      <t>ゴ</t>
    </rPh>
    <rPh sb="9" eb="11">
      <t>カイワ</t>
    </rPh>
    <rPh sb="19" eb="21">
      <t>ジテン</t>
    </rPh>
    <phoneticPr fontId="1"/>
  </si>
  <si>
    <r>
      <rPr>
        <sz val="11"/>
        <rFont val="游ゴシック Medium"/>
        <family val="3"/>
        <charset val="128"/>
      </rPr>
      <t>トレーニングペーパー</t>
    </r>
    <phoneticPr fontId="1"/>
  </si>
  <si>
    <r>
      <rPr>
        <sz val="11"/>
        <rFont val="游ゴシック Medium"/>
        <family val="3"/>
        <charset val="128"/>
      </rPr>
      <t>フランス語</t>
    </r>
    <r>
      <rPr>
        <sz val="11"/>
        <rFont val="Consolas"/>
        <family val="3"/>
      </rPr>
      <t xml:space="preserve"> </t>
    </r>
    <r>
      <rPr>
        <sz val="11"/>
        <rFont val="游ゴシック Medium"/>
        <family val="3"/>
        <charset val="128"/>
      </rPr>
      <t>教養課程</t>
    </r>
    <r>
      <rPr>
        <sz val="11"/>
        <rFont val="Consolas"/>
        <family val="3"/>
      </rPr>
      <t xml:space="preserve"> </t>
    </r>
    <r>
      <rPr>
        <sz val="11"/>
        <rFont val="游ゴシック Medium"/>
        <family val="3"/>
        <charset val="128"/>
      </rPr>
      <t>文法中心学習</t>
    </r>
    <r>
      <rPr>
        <sz val="11"/>
        <rFont val="Consolas"/>
        <family val="3"/>
      </rPr>
      <t xml:space="preserve"> 1 35</t>
    </r>
    <r>
      <rPr>
        <sz val="11"/>
        <rFont val="游ゴシック Medium"/>
        <family val="3"/>
        <charset val="128"/>
      </rPr>
      <t>日間完成</t>
    </r>
    <rPh sb="4" eb="5">
      <t>ゴ</t>
    </rPh>
    <rPh sb="6" eb="8">
      <t>キョウヨウ</t>
    </rPh>
    <rPh sb="8" eb="10">
      <t>カテイ</t>
    </rPh>
    <rPh sb="11" eb="13">
      <t>ブンポウ</t>
    </rPh>
    <rPh sb="13" eb="15">
      <t>チュウシン</t>
    </rPh>
    <rPh sb="15" eb="17">
      <t>ガクシュウ</t>
    </rPh>
    <rPh sb="22" eb="24">
      <t>ニチカン</t>
    </rPh>
    <rPh sb="24" eb="26">
      <t>カンセイ</t>
    </rPh>
    <phoneticPr fontId="1"/>
  </si>
  <si>
    <r>
      <rPr>
        <sz val="11"/>
        <rFont val="游ゴシック Medium"/>
        <family val="3"/>
        <charset val="128"/>
      </rPr>
      <t>フランス語</t>
    </r>
    <r>
      <rPr>
        <sz val="11"/>
        <rFont val="Consolas"/>
        <family val="3"/>
      </rPr>
      <t xml:space="preserve"> </t>
    </r>
    <r>
      <rPr>
        <sz val="11"/>
        <rFont val="游ゴシック Medium"/>
        <family val="3"/>
        <charset val="128"/>
      </rPr>
      <t>教養課程</t>
    </r>
    <r>
      <rPr>
        <sz val="11"/>
        <rFont val="Consolas"/>
        <family val="3"/>
      </rPr>
      <t xml:space="preserve"> </t>
    </r>
    <r>
      <rPr>
        <sz val="11"/>
        <rFont val="游ゴシック Medium"/>
        <family val="3"/>
        <charset val="128"/>
      </rPr>
      <t>文法中心学習</t>
    </r>
    <r>
      <rPr>
        <sz val="11"/>
        <rFont val="Consolas"/>
        <family val="3"/>
      </rPr>
      <t xml:space="preserve"> 2 35</t>
    </r>
    <r>
      <rPr>
        <sz val="11"/>
        <rFont val="游ゴシック Medium"/>
        <family val="3"/>
        <charset val="128"/>
      </rPr>
      <t>日間完成</t>
    </r>
    <rPh sb="4" eb="5">
      <t>ゴ</t>
    </rPh>
    <rPh sb="6" eb="8">
      <t>キョウヨウ</t>
    </rPh>
    <rPh sb="8" eb="10">
      <t>カテイ</t>
    </rPh>
    <rPh sb="11" eb="13">
      <t>ブンポウ</t>
    </rPh>
    <rPh sb="13" eb="15">
      <t>チュウシン</t>
    </rPh>
    <rPh sb="15" eb="17">
      <t>ガクシュウ</t>
    </rPh>
    <rPh sb="22" eb="24">
      <t>ニチカン</t>
    </rPh>
    <rPh sb="24" eb="26">
      <t>カンセイ</t>
    </rPh>
    <phoneticPr fontId="1"/>
  </si>
  <si>
    <r>
      <rPr>
        <sz val="11"/>
        <rFont val="游ゴシック Medium"/>
        <family val="3"/>
        <charset val="128"/>
      </rPr>
      <t>藤田</t>
    </r>
    <r>
      <rPr>
        <sz val="11"/>
        <rFont val="Consolas"/>
        <family val="3"/>
      </rPr>
      <t xml:space="preserve"> </t>
    </r>
    <r>
      <rPr>
        <sz val="11"/>
        <rFont val="游ゴシック Medium"/>
        <family val="3"/>
        <charset val="128"/>
      </rPr>
      <t>裕二</t>
    </r>
    <rPh sb="0" eb="2">
      <t>フジタ</t>
    </rPh>
    <rPh sb="3" eb="5">
      <t>ユウジ</t>
    </rPh>
    <phoneticPr fontId="1"/>
  </si>
  <si>
    <r>
      <t>Pascal au Japon (CD</t>
    </r>
    <r>
      <rPr>
        <sz val="11"/>
        <rFont val="游ゴシック Medium"/>
        <family val="3"/>
        <charset val="128"/>
      </rPr>
      <t>付</t>
    </r>
    <r>
      <rPr>
        <sz val="11"/>
        <rFont val="Consolas"/>
        <family val="3"/>
      </rPr>
      <t>)</t>
    </r>
    <rPh sb="19" eb="20">
      <t>ツキ</t>
    </rPh>
    <phoneticPr fontId="1"/>
  </si>
  <si>
    <r>
      <rPr>
        <sz val="11"/>
        <rFont val="游ゴシック Medium"/>
        <family val="3"/>
        <charset val="128"/>
      </rPr>
      <t>池田</t>
    </r>
    <r>
      <rPr>
        <sz val="11"/>
        <rFont val="Consolas"/>
        <family val="3"/>
      </rPr>
      <t xml:space="preserve"> </t>
    </r>
    <r>
      <rPr>
        <sz val="11"/>
        <rFont val="游ゴシック Medium"/>
        <family val="3"/>
        <charset val="128"/>
      </rPr>
      <t>廉</t>
    </r>
    <r>
      <rPr>
        <sz val="11"/>
        <rFont val="Consolas"/>
        <family val="3"/>
      </rPr>
      <t>/Garzanti,Aldo</t>
    </r>
    <rPh sb="0" eb="2">
      <t>イケダ</t>
    </rPh>
    <phoneticPr fontId="1"/>
  </si>
  <si>
    <r>
      <rPr>
        <sz val="11"/>
        <rFont val="游ゴシック Medium"/>
        <family val="3"/>
        <charset val="128"/>
      </rPr>
      <t>伊和中辞典</t>
    </r>
    <r>
      <rPr>
        <sz val="11"/>
        <rFont val="Consolas"/>
        <family val="3"/>
      </rPr>
      <t>/Dizionario Italiano-Giappobese</t>
    </r>
    <rPh sb="0" eb="2">
      <t>イワ</t>
    </rPh>
    <rPh sb="2" eb="5">
      <t>チュウジテン</t>
    </rPh>
    <phoneticPr fontId="1"/>
  </si>
  <si>
    <r>
      <rPr>
        <sz val="11"/>
        <rFont val="游ゴシック Medium"/>
        <family val="3"/>
        <charset val="128"/>
      </rPr>
      <t>古本市</t>
    </r>
    <rPh sb="0" eb="2">
      <t>フルホン</t>
    </rPh>
    <rPh sb="2" eb="3">
      <t>イチ</t>
    </rPh>
    <phoneticPr fontId="1"/>
  </si>
  <si>
    <r>
      <rPr>
        <sz val="11"/>
        <rFont val="游ゴシック Medium"/>
        <family val="3"/>
        <charset val="128"/>
      </rPr>
      <t>郡</t>
    </r>
    <r>
      <rPr>
        <sz val="11"/>
        <rFont val="Consolas"/>
        <family val="3"/>
      </rPr>
      <t xml:space="preserve"> </t>
    </r>
    <r>
      <rPr>
        <sz val="11"/>
        <rFont val="游ゴシック Medium"/>
        <family val="3"/>
        <charset val="128"/>
      </rPr>
      <t>史郎</t>
    </r>
    <r>
      <rPr>
        <sz val="11"/>
        <rFont val="Consolas"/>
        <family val="3"/>
      </rPr>
      <t>/</t>
    </r>
    <r>
      <rPr>
        <sz val="11"/>
        <rFont val="游ゴシック Medium"/>
        <family val="3"/>
        <charset val="128"/>
      </rPr>
      <t>池田</t>
    </r>
    <r>
      <rPr>
        <sz val="11"/>
        <rFont val="Consolas"/>
        <family val="3"/>
      </rPr>
      <t xml:space="preserve"> </t>
    </r>
    <r>
      <rPr>
        <sz val="11"/>
        <rFont val="游ゴシック Medium"/>
        <family val="3"/>
        <charset val="128"/>
      </rPr>
      <t>廉</t>
    </r>
    <rPh sb="5" eb="7">
      <t>イケダ</t>
    </rPh>
    <phoneticPr fontId="1"/>
  </si>
  <si>
    <r>
      <rPr>
        <sz val="11"/>
        <rFont val="游ゴシック Medium"/>
        <family val="3"/>
        <charset val="128"/>
      </rPr>
      <t>ポケット</t>
    </r>
    <r>
      <rPr>
        <sz val="11"/>
        <rFont val="Consolas"/>
        <family val="3"/>
      </rPr>
      <t xml:space="preserve"> </t>
    </r>
    <r>
      <rPr>
        <sz val="11"/>
        <rFont val="游ゴシック Medium"/>
        <family val="3"/>
        <charset val="128"/>
      </rPr>
      <t>プログレッシブ伊和･和伊辞典</t>
    </r>
    <r>
      <rPr>
        <sz val="11"/>
        <rFont val="Consolas"/>
        <family val="3"/>
      </rPr>
      <t>/Dizionzrio Tascabile/italiano-giapponese giapponese-italiano</t>
    </r>
    <rPh sb="12" eb="14">
      <t>イワ</t>
    </rPh>
    <rPh sb="15" eb="19">
      <t>ワイジテン</t>
    </rPh>
    <phoneticPr fontId="1"/>
  </si>
  <si>
    <r>
      <rPr>
        <sz val="11"/>
        <rFont val="游ゴシック Medium"/>
        <family val="3"/>
        <charset val="128"/>
      </rPr>
      <t>旭屋書店</t>
    </r>
    <r>
      <rPr>
        <sz val="11"/>
        <rFont val="Consolas"/>
        <family val="3"/>
      </rPr>
      <t>/</t>
    </r>
    <r>
      <rPr>
        <sz val="11"/>
        <rFont val="游ゴシック Medium"/>
        <family val="3"/>
        <charset val="128"/>
      </rPr>
      <t>池袋東武</t>
    </r>
    <r>
      <rPr>
        <sz val="11"/>
        <rFont val="Consolas"/>
        <family val="3"/>
      </rPr>
      <t>7F</t>
    </r>
    <rPh sb="0" eb="2">
      <t>アサヒヤ</t>
    </rPh>
    <rPh sb="2" eb="4">
      <t>ショテン</t>
    </rPh>
    <rPh sb="5" eb="7">
      <t>イケブクロ</t>
    </rPh>
    <rPh sb="7" eb="9">
      <t>トウブ</t>
    </rPh>
    <phoneticPr fontId="1"/>
  </si>
  <si>
    <r>
      <rPr>
        <sz val="11"/>
        <rFont val="游ゴシック Medium"/>
        <family val="3"/>
        <charset val="128"/>
      </rPr>
      <t>入江たまよ</t>
    </r>
    <rPh sb="0" eb="2">
      <t>イリエ</t>
    </rPh>
    <phoneticPr fontId="1"/>
  </si>
  <si>
    <r>
      <rPr>
        <sz val="11"/>
        <rFont val="游ゴシック Medium"/>
        <family val="3"/>
        <charset val="128"/>
      </rPr>
      <t>三修社編集部</t>
    </r>
    <rPh sb="0" eb="2">
      <t>サンシュウ</t>
    </rPh>
    <rPh sb="2" eb="3">
      <t>シャ</t>
    </rPh>
    <rPh sb="3" eb="5">
      <t>ヘンシュウ</t>
    </rPh>
    <rPh sb="5" eb="6">
      <t>ブ</t>
    </rPh>
    <phoneticPr fontId="1"/>
  </si>
  <si>
    <r>
      <rPr>
        <sz val="11"/>
        <rFont val="游ゴシック Medium"/>
        <family val="3"/>
        <charset val="128"/>
      </rPr>
      <t>らくらく旅のイタリア語</t>
    </r>
    <r>
      <rPr>
        <sz val="11"/>
        <rFont val="Consolas"/>
        <family val="3"/>
      </rPr>
      <t>/</t>
    </r>
    <r>
      <rPr>
        <sz val="11"/>
        <rFont val="游ゴシック Medium"/>
        <family val="3"/>
        <charset val="128"/>
      </rPr>
      <t>持ってて安心</t>
    </r>
    <r>
      <rPr>
        <sz val="11"/>
        <rFont val="Consolas"/>
        <family val="3"/>
      </rPr>
      <t>!</t>
    </r>
    <r>
      <rPr>
        <sz val="11"/>
        <rFont val="游ゴシック Medium"/>
        <family val="3"/>
        <charset val="128"/>
      </rPr>
      <t>いちばん簡単な旅会話</t>
    </r>
    <rPh sb="4" eb="5">
      <t>タビ</t>
    </rPh>
    <rPh sb="10" eb="11">
      <t>ゴ</t>
    </rPh>
    <rPh sb="12" eb="13">
      <t>モ</t>
    </rPh>
    <rPh sb="16" eb="18">
      <t>アンシン</t>
    </rPh>
    <rPh sb="23" eb="25">
      <t>カンタン</t>
    </rPh>
    <rPh sb="26" eb="27">
      <t>タビ</t>
    </rPh>
    <rPh sb="27" eb="29">
      <t>カイワ</t>
    </rPh>
    <phoneticPr fontId="1"/>
  </si>
  <si>
    <r>
      <rPr>
        <sz val="11"/>
        <rFont val="游ゴシック Medium"/>
        <family val="3"/>
        <charset val="128"/>
      </rPr>
      <t>三修社</t>
    </r>
    <rPh sb="0" eb="2">
      <t>サンシュウ</t>
    </rPh>
    <rPh sb="2" eb="3">
      <t>シャ</t>
    </rPh>
    <phoneticPr fontId="1"/>
  </si>
  <si>
    <r>
      <t>DVD_</t>
    </r>
    <r>
      <rPr>
        <sz val="11"/>
        <rFont val="游ゴシック Medium"/>
        <family val="3"/>
        <charset val="128"/>
      </rPr>
      <t>辞典</t>
    </r>
    <rPh sb="4" eb="6">
      <t>ジテン</t>
    </rPh>
    <phoneticPr fontId="1"/>
  </si>
  <si>
    <r>
      <t xml:space="preserve">E-DIC </t>
    </r>
    <r>
      <rPr>
        <sz val="11"/>
        <rFont val="游ゴシック Medium"/>
        <family val="3"/>
        <charset val="128"/>
      </rPr>
      <t>英和</t>
    </r>
    <r>
      <rPr>
        <sz val="11"/>
        <rFont val="Consolas"/>
        <family val="3"/>
      </rPr>
      <t xml:space="preserve"> </t>
    </r>
    <r>
      <rPr>
        <sz val="11"/>
        <rFont val="游ゴシック Medium"/>
        <family val="3"/>
        <charset val="128"/>
      </rPr>
      <t>和英</t>
    </r>
    <r>
      <rPr>
        <sz val="11"/>
        <rFont val="Consolas"/>
        <family val="3"/>
      </rPr>
      <t xml:space="preserve"> </t>
    </r>
    <r>
      <rPr>
        <sz val="11"/>
        <rFont val="游ゴシック Medium"/>
        <family val="3"/>
        <charset val="128"/>
      </rPr>
      <t>辞書ソフト</t>
    </r>
    <rPh sb="0" eb="5">
      <t>イーディック</t>
    </rPh>
    <rPh sb="6" eb="8">
      <t>エイワ</t>
    </rPh>
    <rPh sb="9" eb="11">
      <t>ワエイ</t>
    </rPh>
    <rPh sb="12" eb="14">
      <t>ジショ</t>
    </rPh>
    <phoneticPr fontId="1"/>
  </si>
  <si>
    <r>
      <rPr>
        <sz val="11"/>
        <rFont val="游ゴシック Medium"/>
        <family val="3"/>
        <charset val="128"/>
      </rPr>
      <t>無料増量サービス付</t>
    </r>
    <rPh sb="0" eb="2">
      <t>ムリョウ</t>
    </rPh>
    <rPh sb="2" eb="4">
      <t>ゾウリョウ</t>
    </rPh>
    <rPh sb="8" eb="9">
      <t>ツキ</t>
    </rPh>
    <phoneticPr fontId="1"/>
  </si>
  <si>
    <r>
      <rPr>
        <sz val="11"/>
        <rFont val="游ゴシック Medium"/>
        <family val="3"/>
        <charset val="128"/>
      </rPr>
      <t>松田徳一郎</t>
    </r>
    <rPh sb="0" eb="2">
      <t>マツダ</t>
    </rPh>
    <rPh sb="2" eb="5">
      <t>トクイチロウ</t>
    </rPh>
    <phoneticPr fontId="1"/>
  </si>
  <si>
    <r>
      <rPr>
        <sz val="11"/>
        <rFont val="游ゴシック Medium"/>
        <family val="3"/>
        <charset val="128"/>
      </rPr>
      <t>リーダーズ英和辞典</t>
    </r>
    <r>
      <rPr>
        <sz val="11"/>
        <rFont val="Consolas"/>
        <family val="3"/>
      </rPr>
      <t>/</t>
    </r>
    <r>
      <rPr>
        <sz val="11"/>
        <rFont val="游ゴシック Medium"/>
        <family val="3"/>
        <charset val="128"/>
      </rPr>
      <t>第</t>
    </r>
    <r>
      <rPr>
        <sz val="11"/>
        <rFont val="Consolas"/>
        <family val="3"/>
      </rPr>
      <t>2</t>
    </r>
    <r>
      <rPr>
        <sz val="11"/>
        <rFont val="游ゴシック Medium"/>
        <family val="3"/>
        <charset val="128"/>
      </rPr>
      <t>版</t>
    </r>
    <rPh sb="5" eb="7">
      <t>エイワ</t>
    </rPh>
    <rPh sb="7" eb="9">
      <t>ジテン</t>
    </rPh>
    <rPh sb="10" eb="11">
      <t>ダイ</t>
    </rPh>
    <rPh sb="12" eb="13">
      <t>ハン</t>
    </rPh>
    <phoneticPr fontId="1"/>
  </si>
  <si>
    <r>
      <rPr>
        <sz val="11"/>
        <rFont val="游ゴシック Medium"/>
        <family val="3"/>
        <charset val="128"/>
      </rPr>
      <t>携帯版</t>
    </r>
    <r>
      <rPr>
        <sz val="11"/>
        <rFont val="Consolas"/>
        <family val="3"/>
      </rPr>
      <t>/</t>
    </r>
    <r>
      <rPr>
        <sz val="11"/>
        <rFont val="游ゴシック Medium"/>
        <family val="3"/>
        <charset val="128"/>
      </rPr>
      <t>革装</t>
    </r>
    <rPh sb="0" eb="2">
      <t>ケイタイ</t>
    </rPh>
    <rPh sb="2" eb="3">
      <t>バン</t>
    </rPh>
    <rPh sb="4" eb="5">
      <t>カワ</t>
    </rPh>
    <rPh sb="5" eb="6">
      <t>ソウ</t>
    </rPh>
    <phoneticPr fontId="1"/>
  </si>
  <si>
    <r>
      <rPr>
        <sz val="11"/>
        <rFont val="游ゴシック Medium"/>
        <family val="3"/>
        <charset val="128"/>
      </rPr>
      <t>研究社</t>
    </r>
    <rPh sb="0" eb="3">
      <t>ケンキュウシャ</t>
    </rPh>
    <phoneticPr fontId="1"/>
  </si>
  <si>
    <r>
      <t xml:space="preserve">College </t>
    </r>
    <r>
      <rPr>
        <strike/>
        <sz val="11"/>
        <rFont val="游ゴシック Medium"/>
        <family val="3"/>
        <charset val="128"/>
      </rPr>
      <t>クラウン英和辞典</t>
    </r>
    <r>
      <rPr>
        <strike/>
        <sz val="11"/>
        <rFont val="Consolas"/>
        <family val="3"/>
      </rPr>
      <t>/</t>
    </r>
    <r>
      <rPr>
        <strike/>
        <sz val="11"/>
        <rFont val="游ゴシック Medium"/>
        <family val="3"/>
        <charset val="128"/>
      </rPr>
      <t>第</t>
    </r>
    <r>
      <rPr>
        <strike/>
        <sz val="11"/>
        <rFont val="Consolas"/>
        <family val="3"/>
      </rPr>
      <t>2</t>
    </r>
    <r>
      <rPr>
        <strike/>
        <sz val="11"/>
        <rFont val="游ゴシック Medium"/>
        <family val="3"/>
        <charset val="128"/>
      </rPr>
      <t>版</t>
    </r>
    <rPh sb="0" eb="7">
      <t>カレッジ</t>
    </rPh>
    <rPh sb="12" eb="16">
      <t>エイワジテン</t>
    </rPh>
    <rPh sb="17" eb="18">
      <t>ダイ</t>
    </rPh>
    <rPh sb="19" eb="20">
      <t>バン</t>
    </rPh>
    <phoneticPr fontId="1"/>
  </si>
  <si>
    <r>
      <rPr>
        <strike/>
        <sz val="11"/>
        <rFont val="游ゴシック Medium"/>
        <family val="3"/>
        <charset val="128"/>
      </rPr>
      <t>三省堂</t>
    </r>
    <rPh sb="0" eb="3">
      <t>サンセイドウ</t>
    </rPh>
    <phoneticPr fontId="1"/>
  </si>
  <si>
    <r>
      <rPr>
        <strike/>
        <sz val="11"/>
        <rFont val="游ゴシック Medium"/>
        <family val="3"/>
        <charset val="128"/>
      </rPr>
      <t>老朽化につき廃棄</t>
    </r>
    <rPh sb="0" eb="3">
      <t>ロウキュウカ</t>
    </rPh>
    <rPh sb="6" eb="8">
      <t>ハイキ</t>
    </rPh>
    <phoneticPr fontId="1"/>
  </si>
  <si>
    <r>
      <rPr>
        <sz val="11"/>
        <rFont val="游ゴシック Medium"/>
        <family val="3"/>
        <charset val="128"/>
      </rPr>
      <t>新和英中辞典</t>
    </r>
    <rPh sb="0" eb="1">
      <t>シン</t>
    </rPh>
    <rPh sb="1" eb="3">
      <t>ワエイ</t>
    </rPh>
    <rPh sb="3" eb="6">
      <t>チュウジテン</t>
    </rPh>
    <phoneticPr fontId="1"/>
  </si>
  <si>
    <r>
      <rPr>
        <sz val="11"/>
        <rFont val="游ゴシック Medium"/>
        <family val="3"/>
        <charset val="128"/>
      </rPr>
      <t>実用書</t>
    </r>
    <r>
      <rPr>
        <sz val="11"/>
        <rFont val="Consolas"/>
        <family val="3"/>
      </rPr>
      <t>/ancient</t>
    </r>
    <rPh sb="0" eb="3">
      <t>ジツヨウショ</t>
    </rPh>
    <phoneticPr fontId="1"/>
  </si>
  <si>
    <r>
      <rPr>
        <sz val="11"/>
        <rFont val="游ゴシック Medium"/>
        <family val="3"/>
        <charset val="128"/>
      </rPr>
      <t>戸川芳郎</t>
    </r>
    <rPh sb="0" eb="2">
      <t>トガワ</t>
    </rPh>
    <rPh sb="2" eb="4">
      <t>ヨシオ</t>
    </rPh>
    <phoneticPr fontId="1"/>
  </si>
  <si>
    <r>
      <rPr>
        <sz val="11"/>
        <rFont val="游ゴシック Medium"/>
        <family val="3"/>
        <charset val="128"/>
      </rPr>
      <t>佐藤</t>
    </r>
    <r>
      <rPr>
        <sz val="11"/>
        <rFont val="Consolas"/>
        <family val="3"/>
      </rPr>
      <t xml:space="preserve"> </t>
    </r>
    <r>
      <rPr>
        <sz val="11"/>
        <rFont val="游ゴシック Medium"/>
        <family val="3"/>
        <charset val="128"/>
      </rPr>
      <t>進</t>
    </r>
    <r>
      <rPr>
        <sz val="11"/>
        <rFont val="Consolas"/>
        <family val="3"/>
      </rPr>
      <t>|</t>
    </r>
    <r>
      <rPr>
        <sz val="11"/>
        <rFont val="游ゴシック Medium"/>
        <family val="3"/>
        <charset val="128"/>
      </rPr>
      <t>濱口</t>
    </r>
    <r>
      <rPr>
        <sz val="11"/>
        <rFont val="Consolas"/>
        <family val="3"/>
      </rPr>
      <t xml:space="preserve"> </t>
    </r>
    <r>
      <rPr>
        <sz val="11"/>
        <rFont val="游ゴシック Medium"/>
        <family val="3"/>
        <charset val="128"/>
      </rPr>
      <t>富士雄</t>
    </r>
    <rPh sb="0" eb="2">
      <t>サトウ</t>
    </rPh>
    <rPh sb="3" eb="4">
      <t>ススム</t>
    </rPh>
    <rPh sb="5" eb="7">
      <t>ハマグチ</t>
    </rPh>
    <rPh sb="8" eb="11">
      <t>フジオ</t>
    </rPh>
    <phoneticPr fontId="1"/>
  </si>
  <si>
    <r>
      <rPr>
        <sz val="11"/>
        <rFont val="游ゴシック Medium"/>
        <family val="3"/>
        <charset val="128"/>
      </rPr>
      <t>全訳</t>
    </r>
    <r>
      <rPr>
        <sz val="11"/>
        <rFont val="Consolas"/>
        <family val="3"/>
      </rPr>
      <t xml:space="preserve"> </t>
    </r>
    <r>
      <rPr>
        <sz val="11"/>
        <rFont val="游ゴシック Medium"/>
        <family val="3"/>
        <charset val="128"/>
      </rPr>
      <t>漢辞海</t>
    </r>
    <r>
      <rPr>
        <sz val="11"/>
        <rFont val="Consolas"/>
        <family val="3"/>
      </rPr>
      <t xml:space="preserve"> </t>
    </r>
    <r>
      <rPr>
        <sz val="11"/>
        <rFont val="游ゴシック Medium"/>
        <family val="3"/>
        <charset val="128"/>
      </rPr>
      <t>第三版</t>
    </r>
    <rPh sb="0" eb="2">
      <t>ゼンヤク</t>
    </rPh>
    <rPh sb="3" eb="4">
      <t>カン</t>
    </rPh>
    <rPh sb="4" eb="6">
      <t>ジカイ</t>
    </rPh>
    <rPh sb="7" eb="9">
      <t>ダイサン</t>
    </rPh>
    <rPh sb="9" eb="10">
      <t>バン</t>
    </rPh>
    <phoneticPr fontId="1"/>
  </si>
  <si>
    <r>
      <t xml:space="preserve">2000/01/10 </t>
    </r>
    <r>
      <rPr>
        <sz val="11"/>
        <rFont val="游ゴシック Medium"/>
        <family val="3"/>
        <charset val="128"/>
      </rPr>
      <t>初版</t>
    </r>
    <r>
      <rPr>
        <sz val="11"/>
        <rFont val="Consolas"/>
        <family val="3"/>
      </rPr>
      <t xml:space="preserve">|2012/12/10 </t>
    </r>
    <r>
      <rPr>
        <sz val="11"/>
        <rFont val="游ゴシック Medium"/>
        <family val="3"/>
        <charset val="128"/>
      </rPr>
      <t>第三版第四刷</t>
    </r>
    <rPh sb="11" eb="13">
      <t>ショハン</t>
    </rPh>
    <rPh sb="25" eb="28">
      <t>ダイサンバン</t>
    </rPh>
    <rPh sb="28" eb="29">
      <t>ダイ</t>
    </rPh>
    <rPh sb="29" eb="30">
      <t>ヨン</t>
    </rPh>
    <rPh sb="30" eb="31">
      <t>サツ</t>
    </rPh>
    <phoneticPr fontId="1"/>
  </si>
  <si>
    <r>
      <rPr>
        <sz val="11"/>
        <rFont val="游ゴシック Medium"/>
        <family val="3"/>
        <charset val="128"/>
      </rPr>
      <t>まほ学校</t>
    </r>
    <rPh sb="2" eb="4">
      <t>ガッコウ</t>
    </rPh>
    <phoneticPr fontId="1"/>
  </si>
  <si>
    <r>
      <rPr>
        <sz val="11"/>
        <rFont val="游ゴシック Medium"/>
        <family val="3"/>
        <charset val="128"/>
      </rPr>
      <t>山田</t>
    </r>
    <r>
      <rPr>
        <sz val="11"/>
        <rFont val="Consolas"/>
        <family val="3"/>
      </rPr>
      <t xml:space="preserve"> </t>
    </r>
    <r>
      <rPr>
        <sz val="11"/>
        <rFont val="游ゴシック Medium"/>
        <family val="3"/>
        <charset val="128"/>
      </rPr>
      <t>忠雄</t>
    </r>
    <r>
      <rPr>
        <sz val="11"/>
        <rFont val="Consolas"/>
        <family val="3"/>
      </rPr>
      <t>|</t>
    </r>
    <r>
      <rPr>
        <sz val="11"/>
        <rFont val="游ゴシック Medium"/>
        <family val="3"/>
        <charset val="128"/>
      </rPr>
      <t>柴田</t>
    </r>
    <r>
      <rPr>
        <sz val="11"/>
        <rFont val="Consolas"/>
        <family val="3"/>
      </rPr>
      <t xml:space="preserve"> </t>
    </r>
    <r>
      <rPr>
        <sz val="11"/>
        <rFont val="游ゴシック Medium"/>
        <family val="3"/>
        <charset val="128"/>
      </rPr>
      <t>武</t>
    </r>
    <rPh sb="0" eb="2">
      <t>ヤマダ</t>
    </rPh>
    <rPh sb="3" eb="5">
      <t>タダオ</t>
    </rPh>
    <rPh sb="6" eb="8">
      <t>シバタ</t>
    </rPh>
    <rPh sb="9" eb="10">
      <t>タケシ</t>
    </rPh>
    <phoneticPr fontId="1"/>
  </si>
  <si>
    <r>
      <t>6</t>
    </r>
    <r>
      <rPr>
        <sz val="11"/>
        <rFont val="游ゴシック Medium"/>
        <family val="3"/>
        <charset val="128"/>
      </rPr>
      <t>人</t>
    </r>
    <rPh sb="1" eb="2">
      <t>ニン</t>
    </rPh>
    <phoneticPr fontId="1"/>
  </si>
  <si>
    <r>
      <rPr>
        <sz val="11"/>
        <rFont val="游ゴシック Medium"/>
        <family val="3"/>
        <charset val="128"/>
      </rPr>
      <t>新明解</t>
    </r>
    <r>
      <rPr>
        <sz val="11"/>
        <rFont val="Consolas"/>
        <family val="3"/>
      </rPr>
      <t xml:space="preserve"> </t>
    </r>
    <r>
      <rPr>
        <sz val="11"/>
        <rFont val="游ゴシック Medium"/>
        <family val="3"/>
        <charset val="128"/>
      </rPr>
      <t>国語辞典</t>
    </r>
    <rPh sb="0" eb="1">
      <t>シン</t>
    </rPh>
    <rPh sb="1" eb="3">
      <t>メイカイ</t>
    </rPh>
    <rPh sb="4" eb="8">
      <t>コクゴジテン</t>
    </rPh>
    <phoneticPr fontId="1"/>
  </si>
  <si>
    <r>
      <t xml:space="preserve">1972/01/24 </t>
    </r>
    <r>
      <rPr>
        <sz val="11"/>
        <rFont val="游ゴシック Medium"/>
        <family val="3"/>
        <charset val="128"/>
      </rPr>
      <t>初版</t>
    </r>
    <r>
      <rPr>
        <sz val="11"/>
        <rFont val="Consolas"/>
        <family val="3"/>
      </rPr>
      <t xml:space="preserve">|2013/01/10 </t>
    </r>
    <r>
      <rPr>
        <sz val="11"/>
        <rFont val="游ゴシック Medium"/>
        <family val="3"/>
        <charset val="128"/>
      </rPr>
      <t>第七版第二刷</t>
    </r>
    <rPh sb="11" eb="13">
      <t>ショハン</t>
    </rPh>
    <rPh sb="25" eb="26">
      <t>ダイ</t>
    </rPh>
    <rPh sb="26" eb="27">
      <t>ナナ</t>
    </rPh>
    <rPh sb="27" eb="28">
      <t>バン</t>
    </rPh>
    <rPh sb="28" eb="29">
      <t>ダイ</t>
    </rPh>
    <rPh sb="29" eb="30">
      <t>ニ</t>
    </rPh>
    <rPh sb="30" eb="31">
      <t>サツ</t>
    </rPh>
    <phoneticPr fontId="1"/>
  </si>
  <si>
    <r>
      <rPr>
        <sz val="11"/>
        <rFont val="游ゴシック Medium"/>
        <family val="3"/>
        <charset val="128"/>
      </rPr>
      <t>三省堂編修所</t>
    </r>
    <rPh sb="0" eb="3">
      <t>サンセイドウ</t>
    </rPh>
    <rPh sb="3" eb="5">
      <t>ヘンシュウ</t>
    </rPh>
    <rPh sb="5" eb="6">
      <t>ショ</t>
    </rPh>
    <phoneticPr fontId="1"/>
  </si>
  <si>
    <r>
      <rPr>
        <sz val="11"/>
        <rFont val="游ゴシック Medium"/>
        <family val="3"/>
        <charset val="128"/>
      </rPr>
      <t>編修</t>
    </r>
    <rPh sb="0" eb="2">
      <t>ヘンシュウ</t>
    </rPh>
    <phoneticPr fontId="1"/>
  </si>
  <si>
    <r>
      <rPr>
        <sz val="11"/>
        <rFont val="游ゴシック Medium"/>
        <family val="3"/>
        <charset val="128"/>
      </rPr>
      <t>三省堂</t>
    </r>
    <r>
      <rPr>
        <sz val="11"/>
        <rFont val="Consolas"/>
        <family val="3"/>
      </rPr>
      <t xml:space="preserve"> </t>
    </r>
    <r>
      <rPr>
        <sz val="11"/>
        <rFont val="游ゴシック Medium"/>
        <family val="3"/>
        <charset val="128"/>
      </rPr>
      <t>ポケット</t>
    </r>
    <r>
      <rPr>
        <sz val="11"/>
        <rFont val="Consolas"/>
        <family val="3"/>
      </rPr>
      <t xml:space="preserve"> </t>
    </r>
    <r>
      <rPr>
        <sz val="11"/>
        <rFont val="游ゴシック Medium"/>
        <family val="3"/>
        <charset val="128"/>
      </rPr>
      <t>四字熟語辞典</t>
    </r>
    <rPh sb="0" eb="3">
      <t>サンセイドウ</t>
    </rPh>
    <rPh sb="9" eb="15">
      <t>ヨジジュクゴジテン</t>
    </rPh>
    <phoneticPr fontId="1"/>
  </si>
  <si>
    <r>
      <rPr>
        <sz val="11"/>
        <rFont val="游ゴシック Medium"/>
        <family val="3"/>
        <charset val="128"/>
      </rPr>
      <t>平成</t>
    </r>
    <r>
      <rPr>
        <sz val="11"/>
        <rFont val="Consolas"/>
        <family val="3"/>
      </rPr>
      <t>21</t>
    </r>
    <r>
      <rPr>
        <sz val="11"/>
        <rFont val="游ゴシック Medium"/>
        <family val="3"/>
        <charset val="128"/>
      </rPr>
      <t>年度</t>
    </r>
    <r>
      <rPr>
        <sz val="11"/>
        <rFont val="Consolas"/>
        <family val="3"/>
      </rPr>
      <t xml:space="preserve"> </t>
    </r>
    <r>
      <rPr>
        <sz val="11"/>
        <rFont val="游ゴシック Medium"/>
        <family val="3"/>
        <charset val="128"/>
      </rPr>
      <t>卒業記念</t>
    </r>
    <r>
      <rPr>
        <sz val="11"/>
        <rFont val="Consolas"/>
        <family val="3"/>
      </rPr>
      <t xml:space="preserve"> </t>
    </r>
    <r>
      <rPr>
        <sz val="11"/>
        <rFont val="游ゴシック Medium"/>
        <family val="3"/>
        <charset val="128"/>
      </rPr>
      <t>南池袋小学校</t>
    </r>
    <rPh sb="0" eb="2">
      <t>ヘイセイ</t>
    </rPh>
    <rPh sb="4" eb="6">
      <t>ネンド</t>
    </rPh>
    <rPh sb="7" eb="11">
      <t>ソツギョウキネン</t>
    </rPh>
    <rPh sb="12" eb="15">
      <t>ミナミイケブクロ</t>
    </rPh>
    <rPh sb="15" eb="18">
      <t>ショウガッコウ</t>
    </rPh>
    <phoneticPr fontId="1"/>
  </si>
  <si>
    <r>
      <rPr>
        <sz val="11"/>
        <rFont val="游ゴシック Medium"/>
        <family val="3"/>
        <charset val="128"/>
      </rPr>
      <t>まほ小学校</t>
    </r>
    <rPh sb="2" eb="5">
      <t>ショウガッコウ</t>
    </rPh>
    <phoneticPr fontId="1"/>
  </si>
  <si>
    <r>
      <rPr>
        <sz val="11"/>
        <rFont val="游ゴシック Medium"/>
        <family val="3"/>
        <charset val="128"/>
      </rPr>
      <t>佐藤定義</t>
    </r>
    <rPh sb="0" eb="2">
      <t>サトウ</t>
    </rPh>
    <rPh sb="2" eb="4">
      <t>サダヨシ</t>
    </rPh>
    <phoneticPr fontId="1"/>
  </si>
  <si>
    <r>
      <rPr>
        <sz val="11"/>
        <rFont val="游ゴシック Medium"/>
        <family val="3"/>
        <charset val="128"/>
      </rPr>
      <t>最新詳解古語辞典</t>
    </r>
    <rPh sb="0" eb="2">
      <t>サイシン</t>
    </rPh>
    <rPh sb="2" eb="4">
      <t>ショウカイ</t>
    </rPh>
    <rPh sb="4" eb="6">
      <t>コゴ</t>
    </rPh>
    <rPh sb="6" eb="8">
      <t>ジテン</t>
    </rPh>
    <phoneticPr fontId="1"/>
  </si>
  <si>
    <r>
      <rPr>
        <sz val="11"/>
        <rFont val="游ゴシック Medium"/>
        <family val="3"/>
        <charset val="128"/>
      </rPr>
      <t>明治書院</t>
    </r>
    <rPh sb="0" eb="2">
      <t>メイジ</t>
    </rPh>
    <rPh sb="2" eb="4">
      <t>ショイン</t>
    </rPh>
    <phoneticPr fontId="1"/>
  </si>
  <si>
    <r>
      <rPr>
        <sz val="11"/>
        <rFont val="游ゴシック Medium"/>
        <family val="3"/>
        <charset val="128"/>
      </rPr>
      <t>角川</t>
    </r>
    <r>
      <rPr>
        <sz val="11"/>
        <rFont val="Consolas"/>
        <family val="3"/>
      </rPr>
      <t xml:space="preserve"> </t>
    </r>
    <r>
      <rPr>
        <sz val="11"/>
        <rFont val="游ゴシック Medium"/>
        <family val="3"/>
        <charset val="128"/>
      </rPr>
      <t>新字源</t>
    </r>
    <rPh sb="0" eb="2">
      <t>カドカワ</t>
    </rPh>
    <rPh sb="3" eb="6">
      <t>シンジゲン</t>
    </rPh>
    <phoneticPr fontId="1"/>
  </si>
  <si>
    <r>
      <rPr>
        <sz val="11"/>
        <rFont val="游ゴシック Medium"/>
        <family val="3"/>
        <charset val="128"/>
      </rPr>
      <t>新村出記念財団</t>
    </r>
    <rPh sb="0" eb="2">
      <t>シンムラ</t>
    </rPh>
    <rPh sb="2" eb="3">
      <t>イズル</t>
    </rPh>
    <rPh sb="3" eb="5">
      <t>キネン</t>
    </rPh>
    <rPh sb="5" eb="7">
      <t>ザイダン</t>
    </rPh>
    <phoneticPr fontId="1"/>
  </si>
  <si>
    <r>
      <rPr>
        <sz val="11"/>
        <rFont val="游ゴシック Medium"/>
        <family val="3"/>
        <charset val="128"/>
      </rPr>
      <t>著作権者代表</t>
    </r>
    <rPh sb="0" eb="3">
      <t>チョサクケン</t>
    </rPh>
    <rPh sb="3" eb="4">
      <t>シャ</t>
    </rPh>
    <rPh sb="4" eb="6">
      <t>ダイヒョウ</t>
    </rPh>
    <phoneticPr fontId="1"/>
  </si>
  <si>
    <r>
      <rPr>
        <sz val="11"/>
        <rFont val="游ゴシック Medium"/>
        <family val="3"/>
        <charset val="128"/>
      </rPr>
      <t>広辞苑</t>
    </r>
    <r>
      <rPr>
        <sz val="11"/>
        <rFont val="Consolas"/>
        <family val="3"/>
      </rPr>
      <t>/</t>
    </r>
    <r>
      <rPr>
        <sz val="11"/>
        <rFont val="游ゴシック Medium"/>
        <family val="3"/>
        <charset val="128"/>
      </rPr>
      <t>第六版</t>
    </r>
    <r>
      <rPr>
        <sz val="11"/>
        <rFont val="Consolas"/>
        <family val="3"/>
      </rPr>
      <t xml:space="preserve"> DVD-ROM</t>
    </r>
    <r>
      <rPr>
        <sz val="11"/>
        <rFont val="游ゴシック Medium"/>
        <family val="3"/>
        <charset val="128"/>
      </rPr>
      <t>版</t>
    </r>
    <rPh sb="0" eb="3">
      <t>コウジエン</t>
    </rPh>
    <rPh sb="4" eb="5">
      <t>ダイ</t>
    </rPh>
    <rPh sb="5" eb="7">
      <t>ロッパン</t>
    </rPh>
    <rPh sb="15" eb="16">
      <t>バン</t>
    </rPh>
    <phoneticPr fontId="1"/>
  </si>
  <si>
    <r>
      <rPr>
        <sz val="11"/>
        <rFont val="游ゴシック Medium"/>
        <family val="3"/>
        <charset val="128"/>
      </rPr>
      <t>検索ソフト「こととい</t>
    </r>
    <r>
      <rPr>
        <sz val="11"/>
        <rFont val="Consolas"/>
        <family val="3"/>
      </rPr>
      <t>Light</t>
    </r>
    <r>
      <rPr>
        <sz val="11"/>
        <rFont val="游ゴシック Medium"/>
        <family val="3"/>
        <charset val="128"/>
      </rPr>
      <t>」付</t>
    </r>
    <rPh sb="0" eb="2">
      <t>ケンサク</t>
    </rPh>
    <rPh sb="16" eb="17">
      <t>ツキ</t>
    </rPh>
    <phoneticPr fontId="1"/>
  </si>
  <si>
    <r>
      <rPr>
        <sz val="11"/>
        <rFont val="游ゴシック Medium"/>
        <family val="3"/>
        <charset val="128"/>
      </rPr>
      <t>岩波書店辞典編纂部</t>
    </r>
    <rPh sb="0" eb="2">
      <t>イワナミ</t>
    </rPh>
    <rPh sb="2" eb="4">
      <t>ショテン</t>
    </rPh>
    <rPh sb="4" eb="6">
      <t>ジテン</t>
    </rPh>
    <rPh sb="6" eb="8">
      <t>ヘンサン</t>
    </rPh>
    <rPh sb="8" eb="9">
      <t>ブ</t>
    </rPh>
    <phoneticPr fontId="1"/>
  </si>
  <si>
    <r>
      <rPr>
        <sz val="11"/>
        <rFont val="游ゴシック Medium"/>
        <family val="3"/>
        <charset val="128"/>
      </rPr>
      <t>広辞苑一日一語</t>
    </r>
    <rPh sb="0" eb="3">
      <t>コウジエン</t>
    </rPh>
    <rPh sb="3" eb="5">
      <t>イチニチ</t>
    </rPh>
    <rPh sb="5" eb="7">
      <t>イチゴ</t>
    </rPh>
    <phoneticPr fontId="1"/>
  </si>
  <si>
    <r>
      <rPr>
        <sz val="11"/>
        <rFont val="游ゴシック Medium"/>
        <family val="3"/>
        <charset val="128"/>
      </rPr>
      <t>広辞苑第六版</t>
    </r>
    <r>
      <rPr>
        <sz val="11"/>
        <rFont val="Consolas"/>
        <family val="3"/>
      </rPr>
      <t xml:space="preserve"> </t>
    </r>
    <r>
      <rPr>
        <sz val="11"/>
        <rFont val="游ゴシック Medium"/>
        <family val="3"/>
        <charset val="128"/>
      </rPr>
      <t>刊行記念</t>
    </r>
    <rPh sb="0" eb="3">
      <t>コウジエン</t>
    </rPh>
    <rPh sb="3" eb="4">
      <t>ダイ</t>
    </rPh>
    <rPh sb="4" eb="6">
      <t>ロッパン</t>
    </rPh>
    <rPh sb="7" eb="9">
      <t>カンコウ</t>
    </rPh>
    <rPh sb="9" eb="11">
      <t>キネン</t>
    </rPh>
    <phoneticPr fontId="1"/>
  </si>
  <si>
    <r>
      <rPr>
        <sz val="11"/>
        <rFont val="游ゴシック Medium"/>
        <family val="3"/>
        <charset val="128"/>
      </rPr>
      <t>予約特典</t>
    </r>
    <r>
      <rPr>
        <sz val="11"/>
        <rFont val="Consolas"/>
        <family val="3"/>
      </rPr>
      <t>/</t>
    </r>
    <r>
      <rPr>
        <sz val="11"/>
        <rFont val="游ゴシック Medium"/>
        <family val="3"/>
        <charset val="128"/>
      </rPr>
      <t>非売品</t>
    </r>
    <rPh sb="0" eb="2">
      <t>ヨヤク</t>
    </rPh>
    <rPh sb="2" eb="4">
      <t>トクテン</t>
    </rPh>
    <rPh sb="5" eb="8">
      <t>ヒバイヒン</t>
    </rPh>
    <phoneticPr fontId="1"/>
  </si>
  <si>
    <r>
      <rPr>
        <sz val="11"/>
        <rFont val="游ゴシック Medium"/>
        <family val="3"/>
        <charset val="128"/>
      </rPr>
      <t>新村</t>
    </r>
    <r>
      <rPr>
        <sz val="11"/>
        <rFont val="Consolas"/>
        <family val="3"/>
      </rPr>
      <t xml:space="preserve"> </t>
    </r>
    <r>
      <rPr>
        <sz val="11"/>
        <rFont val="游ゴシック Medium"/>
        <family val="3"/>
        <charset val="128"/>
      </rPr>
      <t>出</t>
    </r>
    <rPh sb="0" eb="2">
      <t>シンムラ</t>
    </rPh>
    <rPh sb="3" eb="4">
      <t>イズル</t>
    </rPh>
    <phoneticPr fontId="1"/>
  </si>
  <si>
    <r>
      <rPr>
        <sz val="11"/>
        <rFont val="游ゴシック Medium"/>
        <family val="3"/>
        <charset val="128"/>
      </rPr>
      <t>広辞苑</t>
    </r>
    <r>
      <rPr>
        <sz val="11"/>
        <rFont val="Consolas"/>
        <family val="3"/>
      </rPr>
      <t>/</t>
    </r>
    <r>
      <rPr>
        <sz val="11"/>
        <rFont val="游ゴシック Medium"/>
        <family val="3"/>
        <charset val="128"/>
      </rPr>
      <t>第六版</t>
    </r>
    <rPh sb="0" eb="3">
      <t>コウジエン</t>
    </rPh>
    <rPh sb="4" eb="5">
      <t>ダイ</t>
    </rPh>
    <rPh sb="5" eb="7">
      <t>ロッパン</t>
    </rPh>
    <phoneticPr fontId="1"/>
  </si>
  <si>
    <r>
      <rPr>
        <sz val="11"/>
        <rFont val="游ゴシック Medium"/>
        <family val="3"/>
        <charset val="128"/>
      </rPr>
      <t>付録付</t>
    </r>
    <rPh sb="0" eb="2">
      <t>フロク</t>
    </rPh>
    <rPh sb="2" eb="3">
      <t>ツキ</t>
    </rPh>
    <phoneticPr fontId="1"/>
  </si>
  <si>
    <r>
      <rPr>
        <strike/>
        <sz val="11"/>
        <rFont val="游ゴシック Medium"/>
        <family val="3"/>
        <charset val="128"/>
      </rPr>
      <t>新村</t>
    </r>
    <r>
      <rPr>
        <strike/>
        <sz val="11"/>
        <rFont val="Consolas"/>
        <family val="3"/>
      </rPr>
      <t xml:space="preserve"> </t>
    </r>
    <r>
      <rPr>
        <strike/>
        <sz val="11"/>
        <rFont val="游ゴシック Medium"/>
        <family val="3"/>
        <charset val="128"/>
      </rPr>
      <t>出</t>
    </r>
    <rPh sb="0" eb="2">
      <t>シンムラ</t>
    </rPh>
    <rPh sb="3" eb="4">
      <t>イズル</t>
    </rPh>
    <phoneticPr fontId="1"/>
  </si>
  <si>
    <r>
      <rPr>
        <strike/>
        <sz val="11"/>
        <rFont val="游ゴシック Medium"/>
        <family val="3"/>
        <charset val="128"/>
      </rPr>
      <t>広辞苑</t>
    </r>
    <r>
      <rPr>
        <strike/>
        <sz val="11"/>
        <rFont val="Consolas"/>
        <family val="3"/>
      </rPr>
      <t>/</t>
    </r>
    <r>
      <rPr>
        <strike/>
        <sz val="11"/>
        <rFont val="游ゴシック Medium"/>
        <family val="3"/>
        <charset val="128"/>
      </rPr>
      <t>第二版</t>
    </r>
    <rPh sb="0" eb="3">
      <t>コウジエン</t>
    </rPh>
    <rPh sb="4" eb="5">
      <t>ダイ</t>
    </rPh>
    <rPh sb="5" eb="7">
      <t>ニハン</t>
    </rPh>
    <phoneticPr fontId="1"/>
  </si>
  <si>
    <r>
      <rPr>
        <strike/>
        <sz val="11"/>
        <rFont val="游ゴシック Medium"/>
        <family val="3"/>
        <charset val="128"/>
      </rPr>
      <t>岩波書店</t>
    </r>
    <rPh sb="0" eb="2">
      <t>イワナミ</t>
    </rPh>
    <rPh sb="2" eb="4">
      <t>ショテン</t>
    </rPh>
    <phoneticPr fontId="1"/>
  </si>
  <si>
    <r>
      <rPr>
        <sz val="11"/>
        <rFont val="游ゴシック Medium"/>
        <family val="3"/>
        <charset val="128"/>
      </rPr>
      <t>宇野哲人</t>
    </r>
    <rPh sb="0" eb="2">
      <t>ウノ</t>
    </rPh>
    <rPh sb="2" eb="4">
      <t>テツト</t>
    </rPh>
    <phoneticPr fontId="1"/>
  </si>
  <si>
    <r>
      <rPr>
        <sz val="11"/>
        <rFont val="游ゴシック Medium"/>
        <family val="3"/>
        <charset val="128"/>
      </rPr>
      <t>広辞典</t>
    </r>
    <r>
      <rPr>
        <sz val="11"/>
        <rFont val="Consolas"/>
        <family val="3"/>
      </rPr>
      <t>/</t>
    </r>
    <r>
      <rPr>
        <sz val="11"/>
        <rFont val="游ゴシック Medium"/>
        <family val="3"/>
        <charset val="128"/>
      </rPr>
      <t>新修</t>
    </r>
    <r>
      <rPr>
        <sz val="11"/>
        <rFont val="Consolas"/>
        <family val="3"/>
      </rPr>
      <t>/</t>
    </r>
    <r>
      <rPr>
        <sz val="11"/>
        <rFont val="游ゴシック Medium"/>
        <family val="3"/>
        <charset val="128"/>
      </rPr>
      <t>第</t>
    </r>
    <r>
      <rPr>
        <sz val="11"/>
        <rFont val="Consolas"/>
        <family val="3"/>
      </rPr>
      <t>5</t>
    </r>
    <r>
      <rPr>
        <sz val="11"/>
        <rFont val="游ゴシック Medium"/>
        <family val="3"/>
        <charset val="128"/>
      </rPr>
      <t>版</t>
    </r>
    <r>
      <rPr>
        <sz val="11"/>
        <rFont val="Consolas"/>
        <family val="3"/>
      </rPr>
      <t>/</t>
    </r>
    <r>
      <rPr>
        <sz val="11"/>
        <rFont val="游ゴシック Medium"/>
        <family val="3"/>
        <charset val="128"/>
      </rPr>
      <t>和英併用</t>
    </r>
    <rPh sb="0" eb="1">
      <t>コウ</t>
    </rPh>
    <rPh sb="1" eb="3">
      <t>ジテン</t>
    </rPh>
    <rPh sb="4" eb="6">
      <t>シンシュウ</t>
    </rPh>
    <rPh sb="7" eb="8">
      <t>ダイ</t>
    </rPh>
    <rPh sb="9" eb="10">
      <t>バン</t>
    </rPh>
    <rPh sb="11" eb="13">
      <t>ワエイ</t>
    </rPh>
    <rPh sb="13" eb="15">
      <t>ヘイヨウ</t>
    </rPh>
    <phoneticPr fontId="1"/>
  </si>
  <si>
    <r>
      <rPr>
        <strike/>
        <sz val="11"/>
        <rFont val="游ゴシック Medium"/>
        <family val="3"/>
        <charset val="128"/>
      </rPr>
      <t>広辞典</t>
    </r>
    <r>
      <rPr>
        <strike/>
        <sz val="11"/>
        <rFont val="Consolas"/>
        <family val="3"/>
      </rPr>
      <t>/</t>
    </r>
    <r>
      <rPr>
        <strike/>
        <sz val="11"/>
        <rFont val="游ゴシック Medium"/>
        <family val="3"/>
        <charset val="128"/>
      </rPr>
      <t>新修</t>
    </r>
    <r>
      <rPr>
        <strike/>
        <sz val="11"/>
        <rFont val="Consolas"/>
        <family val="3"/>
      </rPr>
      <t>/</t>
    </r>
    <r>
      <rPr>
        <strike/>
        <sz val="11"/>
        <rFont val="游ゴシック Medium"/>
        <family val="3"/>
        <charset val="128"/>
      </rPr>
      <t>第</t>
    </r>
    <r>
      <rPr>
        <strike/>
        <sz val="11"/>
        <rFont val="Consolas"/>
        <family val="3"/>
      </rPr>
      <t>3</t>
    </r>
    <r>
      <rPr>
        <strike/>
        <sz val="11"/>
        <rFont val="游ゴシック Medium"/>
        <family val="3"/>
        <charset val="128"/>
      </rPr>
      <t>版</t>
    </r>
    <r>
      <rPr>
        <strike/>
        <sz val="11"/>
        <rFont val="Consolas"/>
        <family val="3"/>
      </rPr>
      <t>/</t>
    </r>
    <r>
      <rPr>
        <strike/>
        <sz val="11"/>
        <rFont val="游ゴシック Medium"/>
        <family val="3"/>
        <charset val="128"/>
      </rPr>
      <t>和英併用</t>
    </r>
    <rPh sb="0" eb="1">
      <t>コウ</t>
    </rPh>
    <rPh sb="1" eb="3">
      <t>ジテン</t>
    </rPh>
    <rPh sb="4" eb="6">
      <t>シンシュウ</t>
    </rPh>
    <rPh sb="7" eb="8">
      <t>ダイ</t>
    </rPh>
    <rPh sb="9" eb="10">
      <t>バン</t>
    </rPh>
    <phoneticPr fontId="1"/>
  </si>
  <si>
    <r>
      <rPr>
        <strike/>
        <sz val="11"/>
        <rFont val="游ゴシック Medium"/>
        <family val="3"/>
        <charset val="128"/>
      </rPr>
      <t>ともみちテロにやられ廃棄</t>
    </r>
    <rPh sb="10" eb="12">
      <t>ハイキ</t>
    </rPh>
    <phoneticPr fontId="1"/>
  </si>
  <si>
    <r>
      <t>Basic Technical Japanese(</t>
    </r>
    <r>
      <rPr>
        <sz val="11"/>
        <rFont val="游ゴシック Medium"/>
        <family val="3"/>
        <charset val="128"/>
      </rPr>
      <t>科学技術日本語の基礎</t>
    </r>
    <r>
      <rPr>
        <sz val="11"/>
        <rFont val="Consolas"/>
        <family val="3"/>
      </rPr>
      <t>)</t>
    </r>
    <rPh sb="25" eb="29">
      <t>カガクギジュツ</t>
    </rPh>
    <rPh sb="29" eb="32">
      <t>ニホンゴ</t>
    </rPh>
    <rPh sb="33" eb="35">
      <t>キソ</t>
    </rPh>
    <phoneticPr fontId="1"/>
  </si>
  <si>
    <r>
      <t>French Rock</t>
    </r>
    <r>
      <rPr>
        <b/>
        <sz val="11"/>
        <color indexed="33"/>
        <rFont val="游ゴシック Medium"/>
        <family val="3"/>
        <charset val="128"/>
      </rPr>
      <t>集成</t>
    </r>
    <rPh sb="0" eb="11">
      <t>フレンチ　ロック</t>
    </rPh>
    <rPh sb="11" eb="13">
      <t>シュウセイ</t>
    </rPh>
    <phoneticPr fontId="1"/>
  </si>
  <si>
    <r>
      <rPr>
        <sz val="11"/>
        <rFont val="游ゴシック Medium"/>
        <family val="3"/>
        <charset val="128"/>
      </rPr>
      <t>マーキームーン社刊</t>
    </r>
    <rPh sb="7" eb="8">
      <t>シャ</t>
    </rPh>
    <rPh sb="8" eb="9">
      <t>カン</t>
    </rPh>
    <phoneticPr fontId="1"/>
  </si>
  <si>
    <r>
      <rPr>
        <sz val="11"/>
        <rFont val="游ゴシック Medium"/>
        <family val="3"/>
        <charset val="128"/>
      </rPr>
      <t>古典落語辞典</t>
    </r>
    <rPh sb="0" eb="2">
      <t>コテン</t>
    </rPh>
    <rPh sb="2" eb="4">
      <t>ラクゴ</t>
    </rPh>
    <rPh sb="4" eb="6">
      <t>ジテン</t>
    </rPh>
    <phoneticPr fontId="1"/>
  </si>
  <si>
    <r>
      <rPr>
        <sz val="11"/>
        <rFont val="游ゴシック Medium"/>
        <family val="3"/>
        <charset val="128"/>
      </rPr>
      <t>文庫</t>
    </r>
    <r>
      <rPr>
        <sz val="11"/>
        <rFont val="Consolas"/>
        <family val="3"/>
      </rPr>
      <t>/</t>
    </r>
    <r>
      <rPr>
        <sz val="11"/>
        <rFont val="游ゴシック Medium"/>
        <family val="3"/>
        <charset val="128"/>
      </rPr>
      <t>辞典</t>
    </r>
    <rPh sb="0" eb="2">
      <t>ブンコ</t>
    </rPh>
    <rPh sb="3" eb="5">
      <t>ジテン</t>
    </rPh>
    <phoneticPr fontId="1"/>
  </si>
  <si>
    <r>
      <rPr>
        <sz val="11"/>
        <rFont val="游ゴシック Medium"/>
        <family val="3"/>
        <charset val="128"/>
      </rPr>
      <t>日置昌一</t>
    </r>
    <rPh sb="0" eb="2">
      <t>ヒオキ</t>
    </rPh>
    <phoneticPr fontId="1"/>
  </si>
  <si>
    <r>
      <rPr>
        <b/>
        <sz val="11"/>
        <color indexed="33"/>
        <rFont val="游ゴシック Medium"/>
        <family val="3"/>
        <charset val="128"/>
      </rPr>
      <t>日本系譜総覧</t>
    </r>
    <rPh sb="0" eb="2">
      <t>ニホン</t>
    </rPh>
    <rPh sb="2" eb="4">
      <t>ケイフ</t>
    </rPh>
    <rPh sb="4" eb="6">
      <t>ソウラン</t>
    </rPh>
    <phoneticPr fontId="1"/>
  </si>
  <si>
    <r>
      <rPr>
        <sz val="11"/>
        <rFont val="游ゴシック Medium"/>
        <family val="3"/>
        <charset val="128"/>
      </rPr>
      <t>講談社学術文庫</t>
    </r>
    <rPh sb="0" eb="3">
      <t>コウダンシャ</t>
    </rPh>
    <rPh sb="3" eb="5">
      <t>ガクジュツ</t>
    </rPh>
    <rPh sb="5" eb="7">
      <t>ブンコ</t>
    </rPh>
    <phoneticPr fontId="1"/>
  </si>
  <si>
    <r>
      <rPr>
        <sz val="11"/>
        <rFont val="游ゴシック Medium"/>
        <family val="3"/>
        <charset val="128"/>
      </rPr>
      <t>上手なワニからの逃げ方</t>
    </r>
    <rPh sb="0" eb="2">
      <t>ジョウズ</t>
    </rPh>
    <rPh sb="8" eb="9">
      <t>ニ</t>
    </rPh>
    <rPh sb="10" eb="11">
      <t>カタ</t>
    </rPh>
    <phoneticPr fontId="1"/>
  </si>
  <si>
    <r>
      <rPr>
        <sz val="11"/>
        <rFont val="游ゴシック Medium"/>
        <family val="3"/>
        <charset val="128"/>
      </rPr>
      <t>イミダス</t>
    </r>
    <r>
      <rPr>
        <sz val="11"/>
        <rFont val="Consolas"/>
        <family val="3"/>
      </rPr>
      <t>/1996</t>
    </r>
    <phoneticPr fontId="1"/>
  </si>
  <si>
    <r>
      <t>Lipszyc,Henryk/</t>
    </r>
    <r>
      <rPr>
        <sz val="11"/>
        <rFont val="游ゴシック Medium"/>
        <family val="3"/>
        <charset val="128"/>
      </rPr>
      <t>吉上昭三</t>
    </r>
    <r>
      <rPr>
        <sz val="11"/>
        <rFont val="Consolas"/>
        <family val="3"/>
      </rPr>
      <t>/</t>
    </r>
    <r>
      <rPr>
        <sz val="11"/>
        <rFont val="游ゴシック Medium"/>
        <family val="3"/>
        <charset val="128"/>
      </rPr>
      <t>松本照男</t>
    </r>
    <rPh sb="0" eb="7">
      <t>リプシッツ</t>
    </rPh>
    <rPh sb="8" eb="14">
      <t>ヘンルィク</t>
    </rPh>
    <rPh sb="15" eb="17">
      <t>ヨシガミ</t>
    </rPh>
    <rPh sb="17" eb="19">
      <t>ショウゾウ</t>
    </rPh>
    <rPh sb="20" eb="22">
      <t>マツモト</t>
    </rPh>
    <rPh sb="22" eb="24">
      <t>テルオ</t>
    </rPh>
    <phoneticPr fontId="1"/>
  </si>
  <si>
    <r>
      <rPr>
        <sz val="11"/>
        <rFont val="游ゴシック Medium"/>
        <family val="3"/>
        <charset val="128"/>
      </rPr>
      <t>標準</t>
    </r>
    <r>
      <rPr>
        <sz val="11"/>
        <rFont val="Consolas"/>
        <family val="3"/>
      </rPr>
      <t xml:space="preserve"> </t>
    </r>
    <r>
      <rPr>
        <sz val="11"/>
        <rFont val="游ゴシック Medium"/>
        <family val="3"/>
        <charset val="128"/>
      </rPr>
      <t>ポーランド会話</t>
    </r>
    <r>
      <rPr>
        <sz val="11"/>
        <rFont val="Consolas"/>
        <family val="3"/>
      </rPr>
      <t>/</t>
    </r>
    <r>
      <rPr>
        <sz val="11"/>
        <rFont val="游ゴシック Medium"/>
        <family val="3"/>
        <charset val="128"/>
      </rPr>
      <t>改訂版</t>
    </r>
    <r>
      <rPr>
        <sz val="11"/>
        <rFont val="Consolas"/>
        <family val="3"/>
      </rPr>
      <t>/Rozmo'wki Polskie/Drugie Wydanie</t>
    </r>
    <rPh sb="0" eb="2">
      <t>ヒョウジュン</t>
    </rPh>
    <rPh sb="8" eb="10">
      <t>カイワ</t>
    </rPh>
    <rPh sb="11" eb="14">
      <t>カイテイバン</t>
    </rPh>
    <phoneticPr fontId="1"/>
  </si>
  <si>
    <r>
      <rPr>
        <sz val="11"/>
        <rFont val="游ゴシック Medium"/>
        <family val="3"/>
        <charset val="128"/>
      </rPr>
      <t>辞典</t>
    </r>
    <r>
      <rPr>
        <sz val="11"/>
        <rFont val="Consolas"/>
        <family val="3"/>
      </rPr>
      <t>/CD Book</t>
    </r>
    <rPh sb="0" eb="2">
      <t>ジテン</t>
    </rPh>
    <phoneticPr fontId="1"/>
  </si>
  <si>
    <r>
      <rPr>
        <sz val="11"/>
        <rFont val="游ゴシック Medium"/>
        <family val="3"/>
        <charset val="128"/>
      </rPr>
      <t>渡辺克義</t>
    </r>
    <rPh sb="0" eb="2">
      <t>ワタナベ</t>
    </rPh>
    <rPh sb="2" eb="4">
      <t>カツヨシ</t>
    </rPh>
    <phoneticPr fontId="1"/>
  </si>
  <si>
    <r>
      <rPr>
        <sz val="11"/>
        <rFont val="游ゴシック Medium"/>
        <family val="3"/>
        <charset val="128"/>
      </rPr>
      <t>ポーランド語</t>
    </r>
    <r>
      <rPr>
        <sz val="11"/>
        <rFont val="Consolas"/>
        <family val="3"/>
      </rPr>
      <t>/CD</t>
    </r>
    <r>
      <rPr>
        <sz val="11"/>
        <rFont val="游ゴシック Medium"/>
        <family val="3"/>
        <charset val="128"/>
      </rPr>
      <t>入り</t>
    </r>
    <r>
      <rPr>
        <sz val="11"/>
        <rFont val="Consolas"/>
        <family val="3"/>
      </rPr>
      <t>/Jezyk Polski</t>
    </r>
    <rPh sb="5" eb="6">
      <t>ゴ</t>
    </rPh>
    <rPh sb="9" eb="10">
      <t>イ</t>
    </rPh>
    <phoneticPr fontId="1"/>
  </si>
  <si>
    <r>
      <rPr>
        <sz val="11"/>
        <rFont val="游ゴシック Medium"/>
        <family val="3"/>
        <charset val="128"/>
      </rPr>
      <t>中･東欧のことばをはじめましょう</t>
    </r>
    <rPh sb="0" eb="1">
      <t>チュウ</t>
    </rPh>
    <rPh sb="2" eb="4">
      <t>トウオウ</t>
    </rPh>
    <phoneticPr fontId="1"/>
  </si>
  <si>
    <r>
      <rPr>
        <sz val="11"/>
        <rFont val="游ゴシック Medium"/>
        <family val="3"/>
        <charset val="128"/>
      </rPr>
      <t>伊藤太吾</t>
    </r>
    <rPh sb="0" eb="2">
      <t>イトウ</t>
    </rPh>
    <rPh sb="2" eb="4">
      <t>タイゴ</t>
    </rPh>
    <phoneticPr fontId="1"/>
  </si>
  <si>
    <r>
      <rPr>
        <sz val="11"/>
        <rFont val="游ゴシック Medium"/>
        <family val="3"/>
        <charset val="128"/>
      </rPr>
      <t>ロマンス語比較会話</t>
    </r>
    <r>
      <rPr>
        <sz val="11"/>
        <rFont val="Consolas"/>
        <family val="3"/>
      </rPr>
      <t>/Comparative Conversation in Romance Languages</t>
    </r>
    <rPh sb="4" eb="5">
      <t>ゴ</t>
    </rPh>
    <rPh sb="5" eb="7">
      <t>ヒカク</t>
    </rPh>
    <rPh sb="7" eb="9">
      <t>カイワ</t>
    </rPh>
    <phoneticPr fontId="1"/>
  </si>
  <si>
    <r>
      <rPr>
        <sz val="11"/>
        <rFont val="游ゴシック Medium"/>
        <family val="3"/>
        <charset val="128"/>
      </rPr>
      <t>朝倉季雄</t>
    </r>
    <rPh sb="0" eb="2">
      <t>アサクラ</t>
    </rPh>
    <rPh sb="2" eb="4">
      <t>スエオ</t>
    </rPh>
    <phoneticPr fontId="1"/>
  </si>
  <si>
    <r>
      <rPr>
        <sz val="11"/>
        <rFont val="游ゴシック Medium"/>
        <family val="3"/>
        <charset val="128"/>
      </rPr>
      <t>監修･著</t>
    </r>
    <rPh sb="0" eb="2">
      <t>カンシュウ</t>
    </rPh>
    <rPh sb="3" eb="4">
      <t>チョ</t>
    </rPh>
    <phoneticPr fontId="1"/>
  </si>
  <si>
    <r>
      <rPr>
        <sz val="11"/>
        <rFont val="游ゴシック Medium"/>
        <family val="3"/>
        <charset val="128"/>
      </rPr>
      <t>スタンダード</t>
    </r>
    <r>
      <rPr>
        <sz val="11"/>
        <rFont val="Consolas"/>
        <family val="3"/>
      </rPr>
      <t xml:space="preserve"> </t>
    </r>
    <r>
      <rPr>
        <sz val="11"/>
        <rFont val="游ゴシック Medium"/>
        <family val="3"/>
        <charset val="128"/>
      </rPr>
      <t>フランス語講座</t>
    </r>
    <r>
      <rPr>
        <sz val="11"/>
        <rFont val="Consolas"/>
        <family val="3"/>
      </rPr>
      <t>/1/</t>
    </r>
    <r>
      <rPr>
        <sz val="11"/>
        <rFont val="游ゴシック Medium"/>
        <family val="3"/>
        <charset val="128"/>
      </rPr>
      <t>入門</t>
    </r>
    <r>
      <rPr>
        <sz val="11"/>
        <rFont val="Consolas"/>
        <family val="3"/>
      </rPr>
      <t>/Cours Standard de Langue Francaise/Initiation au Francais</t>
    </r>
    <rPh sb="11" eb="12">
      <t>ゴ</t>
    </rPh>
    <rPh sb="12" eb="14">
      <t>コウザ</t>
    </rPh>
    <rPh sb="17" eb="19">
      <t>ニュウモン</t>
    </rPh>
    <phoneticPr fontId="1"/>
  </si>
  <si>
    <r>
      <rPr>
        <sz val="11"/>
        <rFont val="游ゴシック Medium"/>
        <family val="3"/>
        <charset val="128"/>
      </rPr>
      <t>大修館</t>
    </r>
    <rPh sb="0" eb="3">
      <t>タイシュウカン</t>
    </rPh>
    <phoneticPr fontId="1"/>
  </si>
  <si>
    <r>
      <rPr>
        <sz val="11"/>
        <rFont val="游ゴシック Medium"/>
        <family val="3"/>
        <charset val="128"/>
      </rPr>
      <t>飯田良子</t>
    </r>
    <rPh sb="0" eb="2">
      <t>イイダ</t>
    </rPh>
    <rPh sb="2" eb="4">
      <t>リョウコ</t>
    </rPh>
    <phoneticPr fontId="1"/>
  </si>
  <si>
    <r>
      <rPr>
        <sz val="11"/>
        <rFont val="游ゴシック Medium"/>
        <family val="3"/>
        <charset val="128"/>
      </rPr>
      <t>著</t>
    </r>
    <r>
      <rPr>
        <sz val="11"/>
        <rFont val="Consolas"/>
        <family val="3"/>
      </rPr>
      <t>:</t>
    </r>
    <r>
      <rPr>
        <sz val="11"/>
        <rFont val="游ゴシック Medium"/>
        <family val="3"/>
        <charset val="128"/>
      </rPr>
      <t>東京日仏学院講師</t>
    </r>
    <rPh sb="0" eb="1">
      <t>チョ</t>
    </rPh>
    <rPh sb="2" eb="4">
      <t>トウキョウ</t>
    </rPh>
    <rPh sb="4" eb="6">
      <t>ニチフツ</t>
    </rPh>
    <rPh sb="6" eb="8">
      <t>ガクイン</t>
    </rPh>
    <rPh sb="8" eb="10">
      <t>コウシ</t>
    </rPh>
    <phoneticPr fontId="1"/>
  </si>
  <si>
    <r>
      <rPr>
        <sz val="11"/>
        <rFont val="游ゴシック Medium"/>
        <family val="3"/>
        <charset val="128"/>
      </rPr>
      <t>フランス語で言ってみたい「この一言」</t>
    </r>
    <rPh sb="4" eb="5">
      <t>ゴ</t>
    </rPh>
    <rPh sb="6" eb="7">
      <t>イ</t>
    </rPh>
    <rPh sb="15" eb="17">
      <t>ヒトコト</t>
    </rPh>
    <phoneticPr fontId="1"/>
  </si>
  <si>
    <r>
      <rPr>
        <sz val="11"/>
        <rFont val="游ゴシック Medium"/>
        <family val="3"/>
        <charset val="128"/>
      </rPr>
      <t>語研</t>
    </r>
    <rPh sb="0" eb="1">
      <t>ゴ</t>
    </rPh>
    <rPh sb="1" eb="2">
      <t>ケン</t>
    </rPh>
    <phoneticPr fontId="1"/>
  </si>
  <si>
    <r>
      <rPr>
        <sz val="11"/>
        <rFont val="游ゴシック Medium"/>
        <family val="3"/>
        <charset val="128"/>
      </rPr>
      <t>和仏対照テーム</t>
    </r>
    <r>
      <rPr>
        <sz val="11"/>
        <rFont val="Consolas"/>
        <family val="3"/>
      </rPr>
      <t xml:space="preserve"> </t>
    </r>
    <r>
      <rPr>
        <sz val="11"/>
        <rFont val="游ゴシック Medium"/>
        <family val="3"/>
        <charset val="128"/>
      </rPr>
      <t>天声人語</t>
    </r>
    <rPh sb="0" eb="2">
      <t>ワフツ</t>
    </rPh>
    <rPh sb="2" eb="4">
      <t>タイショウ</t>
    </rPh>
    <rPh sb="8" eb="10">
      <t>テンセイ</t>
    </rPh>
    <rPh sb="10" eb="12">
      <t>ジンゴ</t>
    </rPh>
    <phoneticPr fontId="1"/>
  </si>
  <si>
    <r>
      <rPr>
        <sz val="11"/>
        <rFont val="游ゴシック Medium"/>
        <family val="3"/>
        <charset val="128"/>
      </rPr>
      <t>駿河台出版社</t>
    </r>
    <rPh sb="0" eb="3">
      <t>スルガダイ</t>
    </rPh>
    <rPh sb="3" eb="6">
      <t>シュッパンシャ</t>
    </rPh>
    <phoneticPr fontId="1"/>
  </si>
  <si>
    <r>
      <rPr>
        <sz val="11"/>
        <rFont val="游ゴシック Medium"/>
        <family val="3"/>
        <charset val="128"/>
      </rPr>
      <t>福井芳男</t>
    </r>
    <r>
      <rPr>
        <sz val="11"/>
        <rFont val="Consolas"/>
        <family val="3"/>
      </rPr>
      <t>/Wasserman,Estrellita/Rocher,Alain</t>
    </r>
    <rPh sb="0" eb="2">
      <t>フクイ</t>
    </rPh>
    <rPh sb="2" eb="4">
      <t>ヨシオ</t>
    </rPh>
    <phoneticPr fontId="1"/>
  </si>
  <si>
    <r>
      <t>France</t>
    </r>
    <r>
      <rPr>
        <sz val="11"/>
        <rFont val="游ゴシック Medium"/>
        <family val="3"/>
        <charset val="128"/>
      </rPr>
      <t>語会話表現辞典</t>
    </r>
    <r>
      <rPr>
        <sz val="11"/>
        <rFont val="Consolas"/>
        <family val="3"/>
      </rPr>
      <t>/Dictionnaire japonais-francais pour la conversation quotidienne</t>
    </r>
    <rPh sb="0" eb="7">
      <t>フランスゴ</t>
    </rPh>
    <rPh sb="7" eb="9">
      <t>カイワ</t>
    </rPh>
    <rPh sb="9" eb="11">
      <t>ヒョウゲン</t>
    </rPh>
    <rPh sb="11" eb="13">
      <t>ジテン</t>
    </rPh>
    <phoneticPr fontId="1"/>
  </si>
  <si>
    <r>
      <rPr>
        <sz val="11"/>
        <rFont val="游ゴシック Medium"/>
        <family val="3"/>
        <charset val="128"/>
      </rPr>
      <t>梅比良眞史</t>
    </r>
    <r>
      <rPr>
        <sz val="11"/>
        <rFont val="Consolas"/>
        <family val="3"/>
      </rPr>
      <t>&amp;</t>
    </r>
    <r>
      <rPr>
        <sz val="11"/>
        <rFont val="游ゴシック Medium"/>
        <family val="3"/>
        <charset val="128"/>
      </rPr>
      <t>節子</t>
    </r>
    <rPh sb="0" eb="3">
      <t>ウメヒラ</t>
    </rPh>
    <rPh sb="3" eb="5">
      <t>マサシ</t>
    </rPh>
    <rPh sb="6" eb="8">
      <t>セツコ</t>
    </rPh>
    <phoneticPr fontId="1"/>
  </si>
  <si>
    <r>
      <t>France</t>
    </r>
    <r>
      <rPr>
        <sz val="6"/>
        <rFont val="游ゴシック Medium"/>
        <family val="3"/>
        <charset val="128"/>
      </rPr>
      <t>語の通になるための</t>
    </r>
    <r>
      <rPr>
        <sz val="11"/>
        <rFont val="Consolas"/>
        <family val="3"/>
      </rPr>
      <t>France</t>
    </r>
    <r>
      <rPr>
        <sz val="11"/>
        <rFont val="游ゴシック Medium"/>
        <family val="3"/>
        <charset val="128"/>
      </rPr>
      <t>語「決まり文句」</t>
    </r>
    <r>
      <rPr>
        <sz val="11"/>
        <rFont val="Consolas"/>
        <family val="3"/>
      </rPr>
      <t>600&lt;</t>
    </r>
    <r>
      <rPr>
        <sz val="11"/>
        <rFont val="游ゴシック Medium"/>
        <family val="3"/>
        <charset val="128"/>
      </rPr>
      <t>会話</t>
    </r>
    <r>
      <rPr>
        <sz val="11"/>
        <rFont val="Consolas"/>
        <family val="3"/>
      </rPr>
      <t>&gt;</t>
    </r>
    <rPh sb="0" eb="7">
      <t>フランスゴ</t>
    </rPh>
    <rPh sb="8" eb="9">
      <t>ツウ</t>
    </rPh>
    <rPh sb="15" eb="22">
      <t>フランスゴ</t>
    </rPh>
    <rPh sb="23" eb="24">
      <t>キ</t>
    </rPh>
    <rPh sb="26" eb="28">
      <t>モンク</t>
    </rPh>
    <rPh sb="33" eb="35">
      <t>カイワ</t>
    </rPh>
    <phoneticPr fontId="1"/>
  </si>
  <si>
    <r>
      <rPr>
        <sz val="11"/>
        <rFont val="游ゴシック Medium"/>
        <family val="3"/>
        <charset val="128"/>
      </rPr>
      <t>富田</t>
    </r>
    <r>
      <rPr>
        <sz val="11"/>
        <rFont val="Consolas"/>
        <family val="3"/>
      </rPr>
      <t xml:space="preserve"> </t>
    </r>
    <r>
      <rPr>
        <sz val="11"/>
        <rFont val="游ゴシック Medium"/>
        <family val="3"/>
        <charset val="128"/>
      </rPr>
      <t>仁</t>
    </r>
    <r>
      <rPr>
        <sz val="11"/>
        <rFont val="Consolas"/>
        <family val="3"/>
      </rPr>
      <t>&amp;</t>
    </r>
    <r>
      <rPr>
        <sz val="11"/>
        <rFont val="游ゴシック Medium"/>
        <family val="3"/>
        <charset val="128"/>
      </rPr>
      <t>村岡正明</t>
    </r>
    <rPh sb="0" eb="2">
      <t>トミタ</t>
    </rPh>
    <rPh sb="3" eb="4">
      <t>ヒトシ</t>
    </rPh>
    <rPh sb="5" eb="7">
      <t>ムラオカ</t>
    </rPh>
    <rPh sb="7" eb="9">
      <t>マサアキ</t>
    </rPh>
    <phoneticPr fontId="1"/>
  </si>
  <si>
    <r>
      <rPr>
        <sz val="11"/>
        <rFont val="游ゴシック Medium"/>
        <family val="3"/>
        <charset val="128"/>
      </rPr>
      <t>街角の</t>
    </r>
    <r>
      <rPr>
        <sz val="11"/>
        <rFont val="Consolas"/>
        <family val="3"/>
      </rPr>
      <t>France</t>
    </r>
    <r>
      <rPr>
        <sz val="11"/>
        <rFont val="游ゴシック Medium"/>
        <family val="3"/>
        <charset val="128"/>
      </rPr>
      <t>語</t>
    </r>
    <rPh sb="0" eb="2">
      <t>マチカド</t>
    </rPh>
    <rPh sb="3" eb="10">
      <t>フランスゴ</t>
    </rPh>
    <phoneticPr fontId="1"/>
  </si>
  <si>
    <r>
      <rPr>
        <sz val="11"/>
        <rFont val="游ゴシック Medium"/>
        <family val="3"/>
        <charset val="128"/>
      </rPr>
      <t>エリーザベト窪川</t>
    </r>
    <r>
      <rPr>
        <sz val="11"/>
        <rFont val="Consolas"/>
        <family val="3"/>
      </rPr>
      <t>&amp;</t>
    </r>
    <r>
      <rPr>
        <sz val="11"/>
        <rFont val="游ゴシック Medium"/>
        <family val="3"/>
        <charset val="128"/>
      </rPr>
      <t>窪川英水</t>
    </r>
    <rPh sb="6" eb="8">
      <t>クボカワ</t>
    </rPh>
    <rPh sb="9" eb="11">
      <t>クボカワ</t>
    </rPh>
    <rPh sb="11" eb="13">
      <t>エイスイ</t>
    </rPh>
    <phoneticPr fontId="1"/>
  </si>
  <si>
    <r>
      <rPr>
        <sz val="11"/>
        <rFont val="游ゴシック Medium"/>
        <family val="3"/>
        <charset val="128"/>
      </rPr>
      <t>生きた</t>
    </r>
    <r>
      <rPr>
        <sz val="11"/>
        <rFont val="Consolas"/>
        <family val="3"/>
      </rPr>
      <t>France</t>
    </r>
    <r>
      <rPr>
        <sz val="11"/>
        <rFont val="游ゴシック Medium"/>
        <family val="3"/>
        <charset val="128"/>
      </rPr>
      <t>語</t>
    </r>
    <r>
      <rPr>
        <sz val="11"/>
        <rFont val="Consolas"/>
        <family val="3"/>
      </rPr>
      <t>mini</t>
    </r>
    <r>
      <rPr>
        <sz val="11"/>
        <rFont val="游ゴシック Medium"/>
        <family val="3"/>
        <charset val="128"/>
      </rPr>
      <t>会話集</t>
    </r>
    <rPh sb="0" eb="1">
      <t>イ</t>
    </rPh>
    <rPh sb="3" eb="10">
      <t>フランスゴ</t>
    </rPh>
    <rPh sb="10" eb="14">
      <t>ミニ</t>
    </rPh>
    <rPh sb="14" eb="16">
      <t>カイワ</t>
    </rPh>
    <rPh sb="16" eb="17">
      <t>シュウ</t>
    </rPh>
    <phoneticPr fontId="1"/>
  </si>
  <si>
    <r>
      <rPr>
        <sz val="11"/>
        <rFont val="游ゴシック Medium"/>
        <family val="3"/>
        <charset val="128"/>
      </rPr>
      <t>鷲尾</t>
    </r>
    <r>
      <rPr>
        <sz val="11"/>
        <rFont val="Consolas"/>
        <family val="3"/>
      </rPr>
      <t xml:space="preserve"> </t>
    </r>
    <r>
      <rPr>
        <sz val="11"/>
        <rFont val="游ゴシック Medium"/>
        <family val="3"/>
        <charset val="128"/>
      </rPr>
      <t>猛</t>
    </r>
    <rPh sb="0" eb="2">
      <t>ワシオ</t>
    </rPh>
    <rPh sb="3" eb="4">
      <t>タケシ</t>
    </rPh>
    <phoneticPr fontId="1"/>
  </si>
  <si>
    <r>
      <t>France</t>
    </r>
    <r>
      <rPr>
        <sz val="11"/>
        <rFont val="游ゴシック Medium"/>
        <family val="3"/>
        <charset val="128"/>
      </rPr>
      <t>熟語集</t>
    </r>
    <rPh sb="0" eb="6">
      <t>フランス</t>
    </rPh>
    <rPh sb="6" eb="9">
      <t>ジュクゴシュウ</t>
    </rPh>
    <phoneticPr fontId="1"/>
  </si>
  <si>
    <r>
      <t>France</t>
    </r>
    <r>
      <rPr>
        <sz val="11"/>
        <rFont val="游ゴシック Medium"/>
        <family val="3"/>
        <charset val="128"/>
      </rPr>
      <t>語《青春》文庫</t>
    </r>
    <r>
      <rPr>
        <sz val="11"/>
        <rFont val="Consolas"/>
        <family val="3"/>
      </rPr>
      <t>101</t>
    </r>
    <rPh sb="0" eb="7">
      <t>フランスゴ</t>
    </rPh>
    <rPh sb="8" eb="10">
      <t>セイシュン</t>
    </rPh>
    <rPh sb="11" eb="13">
      <t>ブンコ</t>
    </rPh>
    <phoneticPr fontId="1"/>
  </si>
  <si>
    <r>
      <rPr>
        <sz val="11"/>
        <rFont val="游ゴシック Medium"/>
        <family val="3"/>
        <charset val="128"/>
      </rPr>
      <t>第三書房</t>
    </r>
    <rPh sb="0" eb="2">
      <t>ダイサン</t>
    </rPh>
    <rPh sb="2" eb="4">
      <t>ショボウ</t>
    </rPh>
    <phoneticPr fontId="1"/>
  </si>
  <si>
    <r>
      <t>Thayne,David A.&amp;</t>
    </r>
    <r>
      <rPr>
        <sz val="11"/>
        <rFont val="游ゴシック Medium"/>
        <family val="3"/>
        <charset val="128"/>
      </rPr>
      <t>長尾和夫</t>
    </r>
    <rPh sb="0" eb="6">
      <t>セイン</t>
    </rPh>
    <rPh sb="7" eb="12">
      <t>デイヴィッド</t>
    </rPh>
    <rPh sb="16" eb="18">
      <t>ナガオ</t>
    </rPh>
    <rPh sb="18" eb="20">
      <t>カズオ</t>
    </rPh>
    <phoneticPr fontId="1"/>
  </si>
  <si>
    <r>
      <t>Fatal English Mistakes/</t>
    </r>
    <r>
      <rPr>
        <sz val="11"/>
        <rFont val="游ゴシック Medium"/>
        <family val="3"/>
        <charset val="128"/>
      </rPr>
      <t>使ってはいけない英語</t>
    </r>
    <rPh sb="23" eb="24">
      <t>ツカ</t>
    </rPh>
    <rPh sb="31" eb="33">
      <t>エイゴ</t>
    </rPh>
    <phoneticPr fontId="1"/>
  </si>
  <si>
    <r>
      <rPr>
        <sz val="11"/>
        <rFont val="游ゴシック Medium"/>
        <family val="3"/>
        <charset val="128"/>
      </rPr>
      <t>大塚</t>
    </r>
    <rPh sb="0" eb="2">
      <t>オオツカ</t>
    </rPh>
    <phoneticPr fontId="1"/>
  </si>
  <si>
    <r>
      <rPr>
        <sz val="11"/>
        <rFont val="游ゴシック Medium"/>
        <family val="3"/>
        <charset val="128"/>
      </rPr>
      <t>リック西尾</t>
    </r>
    <rPh sb="3" eb="5">
      <t>ニシオ</t>
    </rPh>
    <phoneticPr fontId="1"/>
  </si>
  <si>
    <r>
      <rPr>
        <sz val="11"/>
        <rFont val="游ゴシック Medium"/>
        <family val="3"/>
        <charset val="128"/>
      </rPr>
      <t>覚えまくる英語表現</t>
    </r>
    <r>
      <rPr>
        <sz val="11"/>
        <rFont val="Consolas"/>
        <family val="3"/>
      </rPr>
      <t>1400</t>
    </r>
    <rPh sb="0" eb="1">
      <t>オボ</t>
    </rPh>
    <rPh sb="5" eb="9">
      <t>エイゴヒョウゲン</t>
    </rPh>
    <phoneticPr fontId="1"/>
  </si>
  <si>
    <r>
      <rPr>
        <sz val="11"/>
        <rFont val="游ゴシック Medium"/>
        <family val="3"/>
        <charset val="128"/>
      </rPr>
      <t>トーマス</t>
    </r>
    <r>
      <rPr>
        <sz val="11"/>
        <rFont val="Consolas"/>
        <family val="3"/>
      </rPr>
      <t xml:space="preserve"> N.</t>
    </r>
    <r>
      <rPr>
        <sz val="11"/>
        <rFont val="游ゴシック Medium"/>
        <family val="3"/>
        <charset val="128"/>
      </rPr>
      <t>ハセベ</t>
    </r>
    <phoneticPr fontId="1"/>
  </si>
  <si>
    <r>
      <rPr>
        <sz val="11"/>
        <rFont val="游ゴシック Medium"/>
        <family val="3"/>
        <charset val="128"/>
      </rPr>
      <t>英語はカタカナでモノにしろ</t>
    </r>
    <r>
      <rPr>
        <sz val="11"/>
        <rFont val="Consolas"/>
        <family val="3"/>
      </rPr>
      <t>!/</t>
    </r>
    <r>
      <rPr>
        <sz val="11"/>
        <rFont val="游ゴシック Medium"/>
        <family val="3"/>
        <charset val="128"/>
      </rPr>
      <t>超</t>
    </r>
    <r>
      <rPr>
        <sz val="11"/>
        <rFont val="Consolas"/>
        <family val="3"/>
      </rPr>
      <t>Beginner</t>
    </r>
    <r>
      <rPr>
        <sz val="11"/>
        <rFont val="游ゴシック Medium"/>
        <family val="3"/>
        <charset val="128"/>
      </rPr>
      <t>英会話</t>
    </r>
    <r>
      <rPr>
        <sz val="11"/>
        <rFont val="Consolas"/>
        <family val="3"/>
      </rPr>
      <t>Seminar</t>
    </r>
    <rPh sb="0" eb="2">
      <t>エイゴ</t>
    </rPh>
    <rPh sb="15" eb="16">
      <t>チョウ</t>
    </rPh>
    <rPh sb="16" eb="24">
      <t>ビギナー</t>
    </rPh>
    <rPh sb="24" eb="27">
      <t>エイカイワ</t>
    </rPh>
    <rPh sb="27" eb="34">
      <t>セミナー</t>
    </rPh>
    <phoneticPr fontId="1"/>
  </si>
  <si>
    <r>
      <t>EJ</t>
    </r>
    <r>
      <rPr>
        <sz val="11"/>
        <rFont val="游ゴシック Medium"/>
        <family val="3"/>
        <charset val="128"/>
      </rPr>
      <t>の生きた表現集</t>
    </r>
    <r>
      <rPr>
        <sz val="11"/>
        <rFont val="Consolas"/>
        <family val="3"/>
      </rPr>
      <t>/Part</t>
    </r>
    <r>
      <rPr>
        <sz val="11"/>
        <rFont val="游ゴシック Medium"/>
        <family val="3"/>
        <charset val="128"/>
      </rPr>
      <t>Ⅱ</t>
    </r>
    <rPh sb="3" eb="4">
      <t>イ</t>
    </rPh>
    <rPh sb="6" eb="8">
      <t>ヒョウゲン</t>
    </rPh>
    <rPh sb="8" eb="9">
      <t>シュウ</t>
    </rPh>
    <phoneticPr fontId="1"/>
  </si>
  <si>
    <r>
      <rPr>
        <sz val="11"/>
        <rFont val="游ゴシック Medium"/>
        <family val="3"/>
        <charset val="128"/>
      </rPr>
      <t>反原発</t>
    </r>
    <rPh sb="0" eb="3">
      <t>ハンゲンパツ</t>
    </rPh>
    <phoneticPr fontId="1"/>
  </si>
  <si>
    <r>
      <t xml:space="preserve">For Beginners </t>
    </r>
    <r>
      <rPr>
        <sz val="11"/>
        <rFont val="游ゴシック Medium"/>
        <family val="3"/>
        <charset val="128"/>
      </rPr>
      <t>シリーズ</t>
    </r>
    <phoneticPr fontId="1"/>
  </si>
  <si>
    <r>
      <rPr>
        <sz val="11"/>
        <rFont val="游ゴシック Medium"/>
        <family val="3"/>
        <charset val="128"/>
      </rPr>
      <t>毛沢東</t>
    </r>
    <rPh sb="0" eb="3">
      <t>モウタクトウ</t>
    </rPh>
    <phoneticPr fontId="1"/>
  </si>
  <si>
    <r>
      <rPr>
        <sz val="11"/>
        <rFont val="游ゴシック Medium"/>
        <family val="3"/>
        <charset val="128"/>
      </rPr>
      <t>吉田松陰</t>
    </r>
    <rPh sb="0" eb="2">
      <t>ヨシダ</t>
    </rPh>
    <rPh sb="2" eb="4">
      <t>ショウイン</t>
    </rPh>
    <phoneticPr fontId="1"/>
  </si>
  <si>
    <r>
      <rPr>
        <sz val="11"/>
        <rFont val="游ゴシック Medium"/>
        <family val="3"/>
        <charset val="128"/>
      </rPr>
      <t>全学連</t>
    </r>
    <rPh sb="0" eb="3">
      <t>ゼンガクレン</t>
    </rPh>
    <phoneticPr fontId="1"/>
  </si>
  <si>
    <r>
      <rPr>
        <sz val="11"/>
        <rFont val="游ゴシック Medium"/>
        <family val="3"/>
        <charset val="128"/>
      </rPr>
      <t>資本論</t>
    </r>
    <rPh sb="0" eb="3">
      <t>シホンロン</t>
    </rPh>
    <phoneticPr fontId="1"/>
  </si>
  <si>
    <r>
      <rPr>
        <sz val="11"/>
        <rFont val="游ゴシック Medium"/>
        <family val="3"/>
        <charset val="128"/>
      </rPr>
      <t>七大経済学</t>
    </r>
    <rPh sb="0" eb="2">
      <t>シチダイ</t>
    </rPh>
    <rPh sb="2" eb="5">
      <t>ケイザイガク</t>
    </rPh>
    <phoneticPr fontId="1"/>
  </si>
  <si>
    <r>
      <t>France</t>
    </r>
    <r>
      <rPr>
        <sz val="11"/>
        <rFont val="游ゴシック Medium"/>
        <family val="3"/>
        <charset val="128"/>
      </rPr>
      <t>革命</t>
    </r>
    <rPh sb="0" eb="8">
      <t>フランスカクメイ</t>
    </rPh>
    <phoneticPr fontId="1"/>
  </si>
  <si>
    <r>
      <t>Islam</t>
    </r>
    <r>
      <rPr>
        <sz val="11"/>
        <rFont val="游ゴシック Medium"/>
        <family val="3"/>
        <charset val="128"/>
      </rPr>
      <t>教</t>
    </r>
    <rPh sb="0" eb="6">
      <t>イスラムキョウ</t>
    </rPh>
    <phoneticPr fontId="1"/>
  </si>
  <si>
    <r>
      <rPr>
        <sz val="11"/>
        <rFont val="游ゴシック Medium"/>
        <family val="3"/>
        <charset val="128"/>
      </rPr>
      <t>非暴力</t>
    </r>
    <rPh sb="0" eb="3">
      <t>ヒボウリョク</t>
    </rPh>
    <phoneticPr fontId="1"/>
  </si>
  <si>
    <r>
      <rPr>
        <sz val="11"/>
        <rFont val="游ゴシック Medium"/>
        <family val="3"/>
        <charset val="128"/>
      </rPr>
      <t>右翼</t>
    </r>
    <rPh sb="0" eb="2">
      <t>ウヨク</t>
    </rPh>
    <phoneticPr fontId="1"/>
  </si>
  <si>
    <r>
      <rPr>
        <sz val="11"/>
        <rFont val="游ゴシック Medium"/>
        <family val="3"/>
        <charset val="128"/>
      </rPr>
      <t>ライヒ</t>
    </r>
    <phoneticPr fontId="1"/>
  </si>
  <si>
    <r>
      <rPr>
        <sz val="11"/>
        <rFont val="游ゴシック Medium"/>
        <family val="3"/>
        <charset val="128"/>
      </rPr>
      <t>ヤクザ</t>
    </r>
    <phoneticPr fontId="1"/>
  </si>
  <si>
    <r>
      <rPr>
        <sz val="11"/>
        <rFont val="游ゴシック Medium"/>
        <family val="3"/>
        <charset val="128"/>
      </rPr>
      <t>自然食</t>
    </r>
    <rPh sb="0" eb="3">
      <t>シゼンショク</t>
    </rPh>
    <phoneticPr fontId="1"/>
  </si>
  <si>
    <r>
      <rPr>
        <sz val="11"/>
        <rFont val="游ゴシック Medium"/>
        <family val="3"/>
        <charset val="128"/>
      </rPr>
      <t>日本の警察</t>
    </r>
    <rPh sb="0" eb="2">
      <t>ニホン</t>
    </rPh>
    <rPh sb="3" eb="5">
      <t>ケイサツ</t>
    </rPh>
    <phoneticPr fontId="1"/>
  </si>
  <si>
    <r>
      <rPr>
        <sz val="11"/>
        <rFont val="游ゴシック Medium"/>
        <family val="3"/>
        <charset val="128"/>
      </rPr>
      <t>日本の仏教</t>
    </r>
    <rPh sb="0" eb="2">
      <t>ニホン</t>
    </rPh>
    <rPh sb="3" eb="5">
      <t>ブッキョウ</t>
    </rPh>
    <phoneticPr fontId="1"/>
  </si>
  <si>
    <r>
      <rPr>
        <sz val="11"/>
        <rFont val="游ゴシック Medium"/>
        <family val="3"/>
        <charset val="128"/>
      </rPr>
      <t>ラカン</t>
    </r>
    <phoneticPr fontId="1"/>
  </si>
  <si>
    <r>
      <rPr>
        <sz val="11"/>
        <rFont val="游ゴシック Medium"/>
        <family val="3"/>
        <charset val="128"/>
      </rPr>
      <t>新宗教</t>
    </r>
    <rPh sb="0" eb="3">
      <t>シンシュウキョウ</t>
    </rPh>
    <phoneticPr fontId="1"/>
  </si>
  <si>
    <r>
      <rPr>
        <b/>
        <sz val="11"/>
        <color indexed="33"/>
        <rFont val="游ゴシック Medium"/>
        <family val="3"/>
        <charset val="128"/>
      </rPr>
      <t>地図帳</t>
    </r>
    <r>
      <rPr>
        <b/>
        <sz val="11"/>
        <color indexed="33"/>
        <rFont val="Consolas"/>
        <family val="3"/>
      </rPr>
      <t>/</t>
    </r>
    <r>
      <rPr>
        <b/>
        <sz val="11"/>
        <color indexed="33"/>
        <rFont val="游ゴシック Medium"/>
        <family val="3"/>
        <charset val="128"/>
      </rPr>
      <t>高等学校</t>
    </r>
    <r>
      <rPr>
        <b/>
        <sz val="11"/>
        <color indexed="33"/>
        <rFont val="Consolas"/>
        <family val="3"/>
      </rPr>
      <t xml:space="preserve"> </t>
    </r>
    <r>
      <rPr>
        <b/>
        <sz val="11"/>
        <color indexed="33"/>
        <rFont val="游ゴシック Medium"/>
        <family val="3"/>
        <charset val="128"/>
      </rPr>
      <t>副読本</t>
    </r>
    <rPh sb="0" eb="2">
      <t>チズ</t>
    </rPh>
    <rPh sb="2" eb="3">
      <t>チョウ</t>
    </rPh>
    <rPh sb="4" eb="8">
      <t>コウトウガッコウ</t>
    </rPh>
    <rPh sb="9" eb="10">
      <t>フク</t>
    </rPh>
    <rPh sb="10" eb="12">
      <t>トクホン</t>
    </rPh>
    <phoneticPr fontId="1"/>
  </si>
  <si>
    <r>
      <rPr>
        <b/>
        <sz val="11"/>
        <color indexed="33"/>
        <rFont val="游ゴシック Medium"/>
        <family val="3"/>
        <charset val="128"/>
      </rPr>
      <t>標準高等社会科地図</t>
    </r>
    <rPh sb="0" eb="2">
      <t>ヒョウジュン</t>
    </rPh>
    <rPh sb="2" eb="4">
      <t>コウトウ</t>
    </rPh>
    <rPh sb="4" eb="7">
      <t>シャカイカ</t>
    </rPh>
    <rPh sb="7" eb="9">
      <t>チズ</t>
    </rPh>
    <phoneticPr fontId="1"/>
  </si>
  <si>
    <r>
      <rPr>
        <sz val="11"/>
        <rFont val="游ゴシック Medium"/>
        <family val="3"/>
        <charset val="128"/>
      </rPr>
      <t>四訂版</t>
    </r>
    <rPh sb="0" eb="1">
      <t>ヨン</t>
    </rPh>
    <rPh sb="1" eb="2">
      <t>テイ</t>
    </rPh>
    <rPh sb="2" eb="3">
      <t>ハン</t>
    </rPh>
    <phoneticPr fontId="1"/>
  </si>
  <si>
    <r>
      <rPr>
        <sz val="11"/>
        <rFont val="游ゴシック Medium"/>
        <family val="3"/>
        <charset val="128"/>
      </rPr>
      <t>帝国書院</t>
    </r>
    <rPh sb="0" eb="2">
      <t>テイコク</t>
    </rPh>
    <rPh sb="2" eb="4">
      <t>ショイン</t>
    </rPh>
    <phoneticPr fontId="1"/>
  </si>
  <si>
    <r>
      <rPr>
        <sz val="11"/>
        <rFont val="游ゴシック Medium"/>
        <family val="3"/>
        <charset val="128"/>
      </rPr>
      <t>図説</t>
    </r>
    <r>
      <rPr>
        <sz val="11"/>
        <rFont val="Consolas"/>
        <family val="3"/>
      </rPr>
      <t xml:space="preserve"> </t>
    </r>
    <r>
      <rPr>
        <sz val="11"/>
        <rFont val="游ゴシック Medium"/>
        <family val="3"/>
        <charset val="128"/>
      </rPr>
      <t>高校世界史</t>
    </r>
    <rPh sb="0" eb="2">
      <t>ズセツ</t>
    </rPh>
    <rPh sb="3" eb="5">
      <t>コウコウ</t>
    </rPh>
    <rPh sb="5" eb="8">
      <t>セカイシ</t>
    </rPh>
    <phoneticPr fontId="1"/>
  </si>
  <si>
    <r>
      <rPr>
        <sz val="11"/>
        <rFont val="游ゴシック Medium"/>
        <family val="3"/>
        <charset val="128"/>
      </rPr>
      <t>一橋出版</t>
    </r>
    <rPh sb="0" eb="2">
      <t>ヒトツバシ</t>
    </rPh>
    <rPh sb="2" eb="4">
      <t>シュッパン</t>
    </rPh>
    <phoneticPr fontId="1"/>
  </si>
  <si>
    <r>
      <rPr>
        <sz val="11"/>
        <rFont val="游ゴシック Medium"/>
        <family val="3"/>
        <charset val="128"/>
      </rPr>
      <t>世界の国旗</t>
    </r>
    <rPh sb="0" eb="2">
      <t>セカイ</t>
    </rPh>
    <rPh sb="3" eb="5">
      <t>コッキ</t>
    </rPh>
    <phoneticPr fontId="1"/>
  </si>
  <si>
    <r>
      <rPr>
        <sz val="11"/>
        <rFont val="游ゴシック Medium"/>
        <family val="3"/>
        <charset val="128"/>
      </rPr>
      <t>地球儀を楽しもう</t>
    </r>
    <rPh sb="0" eb="3">
      <t>チキュウギ</t>
    </rPh>
    <rPh sb="4" eb="5">
      <t>タノ</t>
    </rPh>
    <phoneticPr fontId="1"/>
  </si>
  <si>
    <r>
      <rPr>
        <sz val="11"/>
        <rFont val="游ゴシック Medium"/>
        <family val="3"/>
        <charset val="128"/>
      </rPr>
      <t>世界地図</t>
    </r>
    <rPh sb="0" eb="2">
      <t>セカイ</t>
    </rPh>
    <rPh sb="2" eb="4">
      <t>チズ</t>
    </rPh>
    <phoneticPr fontId="1"/>
  </si>
  <si>
    <r>
      <rPr>
        <sz val="11"/>
        <rFont val="游ゴシック Medium"/>
        <family val="3"/>
        <charset val="128"/>
      </rPr>
      <t>㈱</t>
    </r>
    <r>
      <rPr>
        <sz val="11"/>
        <rFont val="Consolas"/>
        <family val="3"/>
      </rPr>
      <t>Apollo</t>
    </r>
    <r>
      <rPr>
        <sz val="11"/>
        <rFont val="游ゴシック Medium"/>
        <family val="3"/>
        <charset val="128"/>
      </rPr>
      <t>社</t>
    </r>
    <rPh sb="1" eb="7">
      <t>アポロ</t>
    </rPh>
    <rPh sb="7" eb="8">
      <t>シャ</t>
    </rPh>
    <phoneticPr fontId="1"/>
  </si>
  <si>
    <r>
      <rPr>
        <sz val="11"/>
        <rFont val="游ゴシック Medium"/>
        <family val="3"/>
        <charset val="128"/>
      </rPr>
      <t>日本地図</t>
    </r>
    <rPh sb="0" eb="2">
      <t>ニホン</t>
    </rPh>
    <rPh sb="2" eb="4">
      <t>チズ</t>
    </rPh>
    <phoneticPr fontId="1"/>
  </si>
  <si>
    <r>
      <rPr>
        <sz val="11"/>
        <rFont val="游ゴシック Medium"/>
        <family val="3"/>
        <charset val="128"/>
      </rPr>
      <t>日本証券新聞社</t>
    </r>
    <rPh sb="0" eb="2">
      <t>ニホン</t>
    </rPh>
    <rPh sb="2" eb="4">
      <t>ショウケン</t>
    </rPh>
    <rPh sb="4" eb="7">
      <t>シンブンシャ</t>
    </rPh>
    <phoneticPr fontId="1"/>
  </si>
  <si>
    <r>
      <rPr>
        <sz val="11"/>
        <rFont val="游ゴシック Medium"/>
        <family val="3"/>
        <charset val="128"/>
      </rPr>
      <t>新技術の用語解説Ⅰ</t>
    </r>
    <rPh sb="0" eb="3">
      <t>シンギジュツ</t>
    </rPh>
    <rPh sb="4" eb="8">
      <t>ヨウゴカイセツ</t>
    </rPh>
    <phoneticPr fontId="1"/>
  </si>
  <si>
    <r>
      <rPr>
        <sz val="11"/>
        <rFont val="游ゴシック Medium"/>
        <family val="3"/>
        <charset val="128"/>
      </rPr>
      <t>新技術の用語解説Ⅱ</t>
    </r>
    <rPh sb="0" eb="3">
      <t>シンギジュツ</t>
    </rPh>
    <rPh sb="4" eb="8">
      <t>ヨウゴカイセツ</t>
    </rPh>
    <phoneticPr fontId="1"/>
  </si>
  <si>
    <r>
      <rPr>
        <sz val="11"/>
        <rFont val="游ゴシック Medium"/>
        <family val="3"/>
        <charset val="128"/>
      </rPr>
      <t>新技術の用語解説Ⅲ</t>
    </r>
    <rPh sb="0" eb="3">
      <t>シンギジュツ</t>
    </rPh>
    <rPh sb="4" eb="8">
      <t>ヨウゴカイセツ</t>
    </rPh>
    <phoneticPr fontId="1"/>
  </si>
  <si>
    <r>
      <rPr>
        <sz val="11"/>
        <rFont val="游ゴシック Medium"/>
        <family val="3"/>
        <charset val="128"/>
      </rPr>
      <t>新技術の用語解説Ⅳ</t>
    </r>
    <rPh sb="0" eb="3">
      <t>シンギジュツ</t>
    </rPh>
    <rPh sb="4" eb="8">
      <t>ヨウゴカイセツ</t>
    </rPh>
    <phoneticPr fontId="1"/>
  </si>
  <si>
    <r>
      <rPr>
        <sz val="11"/>
        <rFont val="游ゴシック Medium"/>
        <family val="3"/>
        <charset val="128"/>
      </rPr>
      <t>日本文学史</t>
    </r>
    <r>
      <rPr>
        <sz val="11"/>
        <rFont val="Consolas"/>
        <family val="3"/>
      </rPr>
      <t>/</t>
    </r>
    <r>
      <rPr>
        <sz val="11"/>
        <rFont val="游ゴシック Medium"/>
        <family val="3"/>
        <charset val="128"/>
      </rPr>
      <t>学習</t>
    </r>
    <rPh sb="0" eb="2">
      <t>ニホン</t>
    </rPh>
    <rPh sb="2" eb="5">
      <t>ブンガクシ</t>
    </rPh>
    <rPh sb="6" eb="8">
      <t>ガクシュウ</t>
    </rPh>
    <phoneticPr fontId="1"/>
  </si>
  <si>
    <r>
      <rPr>
        <sz val="11"/>
        <rFont val="游ゴシック Medium"/>
        <family val="3"/>
        <charset val="128"/>
      </rPr>
      <t>洛文社</t>
    </r>
    <rPh sb="0" eb="1">
      <t>ラク</t>
    </rPh>
    <rPh sb="1" eb="2">
      <t>ブン</t>
    </rPh>
    <rPh sb="2" eb="3">
      <t>シャ</t>
    </rPh>
    <phoneticPr fontId="1"/>
  </si>
  <si>
    <r>
      <rPr>
        <sz val="11"/>
        <rFont val="游ゴシック Medium"/>
        <family val="3"/>
        <charset val="128"/>
      </rPr>
      <t>小倉百人一首</t>
    </r>
    <r>
      <rPr>
        <sz val="11"/>
        <rFont val="Consolas"/>
        <family val="3"/>
      </rPr>
      <t>/</t>
    </r>
    <r>
      <rPr>
        <sz val="11"/>
        <rFont val="游ゴシック Medium"/>
        <family val="3"/>
        <charset val="128"/>
      </rPr>
      <t>古典の学習</t>
    </r>
    <rPh sb="0" eb="6">
      <t>オグラヒャクニンイッシュ</t>
    </rPh>
    <rPh sb="7" eb="9">
      <t>コテン</t>
    </rPh>
    <rPh sb="10" eb="12">
      <t>ガクシュウ</t>
    </rPh>
    <phoneticPr fontId="1"/>
  </si>
  <si>
    <r>
      <rPr>
        <sz val="11"/>
        <rFont val="游ゴシック Medium"/>
        <family val="3"/>
        <charset val="128"/>
      </rPr>
      <t>中央図書</t>
    </r>
    <rPh sb="0" eb="2">
      <t>チュウオウ</t>
    </rPh>
    <rPh sb="2" eb="4">
      <t>トショ</t>
    </rPh>
    <phoneticPr fontId="1"/>
  </si>
  <si>
    <r>
      <rPr>
        <sz val="11"/>
        <rFont val="游ゴシック Medium"/>
        <family val="3"/>
        <charset val="128"/>
      </rPr>
      <t>杉田英明</t>
    </r>
    <rPh sb="0" eb="2">
      <t>スギタ</t>
    </rPh>
    <rPh sb="2" eb="4">
      <t>ヒデアキ</t>
    </rPh>
    <phoneticPr fontId="1"/>
  </si>
  <si>
    <r>
      <rPr>
        <sz val="11"/>
        <rFont val="游ゴシック Medium"/>
        <family val="3"/>
        <charset val="128"/>
      </rPr>
      <t>浴場から見た</t>
    </r>
    <r>
      <rPr>
        <sz val="11"/>
        <rFont val="Consolas"/>
        <family val="3"/>
      </rPr>
      <t>Islam</t>
    </r>
    <r>
      <rPr>
        <sz val="11"/>
        <rFont val="游ゴシック Medium"/>
        <family val="3"/>
        <charset val="128"/>
      </rPr>
      <t>文化</t>
    </r>
    <rPh sb="0" eb="2">
      <t>ヨクジョウ</t>
    </rPh>
    <rPh sb="4" eb="5">
      <t>ミ</t>
    </rPh>
    <rPh sb="6" eb="11">
      <t>イスラーム</t>
    </rPh>
    <rPh sb="11" eb="13">
      <t>ブンカ</t>
    </rPh>
    <phoneticPr fontId="1"/>
  </si>
  <si>
    <r>
      <rPr>
        <sz val="11"/>
        <rFont val="游ゴシック Medium"/>
        <family val="3"/>
        <charset val="128"/>
      </rPr>
      <t>世界史</t>
    </r>
    <r>
      <rPr>
        <sz val="11"/>
        <rFont val="Consolas"/>
        <family val="3"/>
      </rPr>
      <t>Libretto</t>
    </r>
    <rPh sb="0" eb="3">
      <t>セカイシ</t>
    </rPh>
    <phoneticPr fontId="1"/>
  </si>
  <si>
    <r>
      <rPr>
        <sz val="11"/>
        <rFont val="游ゴシック Medium"/>
        <family val="3"/>
        <charset val="128"/>
      </rPr>
      <t>山川出版社</t>
    </r>
    <rPh sb="0" eb="2">
      <t>ヤマカワ</t>
    </rPh>
    <rPh sb="2" eb="5">
      <t>シュッパンシャ</t>
    </rPh>
    <phoneticPr fontId="1"/>
  </si>
  <si>
    <r>
      <rPr>
        <sz val="11"/>
        <rFont val="游ゴシック Medium"/>
        <family val="3"/>
        <charset val="128"/>
      </rPr>
      <t>山本由美子</t>
    </r>
    <rPh sb="0" eb="2">
      <t>ヤマモト</t>
    </rPh>
    <rPh sb="2" eb="5">
      <t>ユミコ</t>
    </rPh>
    <phoneticPr fontId="1"/>
  </si>
  <si>
    <r>
      <rPr>
        <sz val="11"/>
        <rFont val="游ゴシック Medium"/>
        <family val="3"/>
        <charset val="128"/>
      </rPr>
      <t>マニ教と</t>
    </r>
    <r>
      <rPr>
        <sz val="11"/>
        <rFont val="Consolas"/>
        <family val="3"/>
      </rPr>
      <t>Zoroaster</t>
    </r>
    <r>
      <rPr>
        <sz val="11"/>
        <rFont val="游ゴシック Medium"/>
        <family val="3"/>
        <charset val="128"/>
      </rPr>
      <t>教</t>
    </r>
    <rPh sb="2" eb="3">
      <t>キョウ</t>
    </rPh>
    <rPh sb="4" eb="14">
      <t>ゾロアスターキョウ</t>
    </rPh>
    <phoneticPr fontId="1"/>
  </si>
  <si>
    <r>
      <rPr>
        <sz val="11"/>
        <rFont val="游ゴシック Medium"/>
        <family val="3"/>
        <charset val="128"/>
      </rPr>
      <t>世界史年表</t>
    </r>
    <r>
      <rPr>
        <sz val="11"/>
        <rFont val="Consolas"/>
        <family val="3"/>
      </rPr>
      <t>/</t>
    </r>
    <r>
      <rPr>
        <sz val="11"/>
        <rFont val="游ゴシック Medium"/>
        <family val="3"/>
        <charset val="128"/>
      </rPr>
      <t>再訂増補版</t>
    </r>
    <rPh sb="0" eb="3">
      <t>セカイシ</t>
    </rPh>
    <rPh sb="3" eb="5">
      <t>ネンピョウ</t>
    </rPh>
    <rPh sb="6" eb="8">
      <t>サイテイ</t>
    </rPh>
    <rPh sb="8" eb="10">
      <t>ゾウホ</t>
    </rPh>
    <rPh sb="10" eb="11">
      <t>バン</t>
    </rPh>
    <phoneticPr fontId="1"/>
  </si>
  <si>
    <r>
      <rPr>
        <sz val="11"/>
        <rFont val="游ゴシック Medium"/>
        <family val="3"/>
        <charset val="128"/>
      </rPr>
      <t>世界史資料･名言集</t>
    </r>
    <rPh sb="0" eb="3">
      <t>セカイシ</t>
    </rPh>
    <rPh sb="3" eb="5">
      <t>シリョウ</t>
    </rPh>
    <rPh sb="6" eb="8">
      <t>メイゲン</t>
    </rPh>
    <rPh sb="8" eb="9">
      <t>シュウ</t>
    </rPh>
    <phoneticPr fontId="1"/>
  </si>
  <si>
    <r>
      <rPr>
        <sz val="11"/>
        <rFont val="游ゴシック Medium"/>
        <family val="3"/>
        <charset val="128"/>
      </rPr>
      <t>世界史問題集</t>
    </r>
    <rPh sb="0" eb="3">
      <t>セカイシ</t>
    </rPh>
    <rPh sb="3" eb="6">
      <t>モンダイシュウ</t>
    </rPh>
    <phoneticPr fontId="1"/>
  </si>
  <si>
    <r>
      <rPr>
        <b/>
        <sz val="11"/>
        <color indexed="33"/>
        <rFont val="游ゴシック Medium"/>
        <family val="3"/>
        <charset val="128"/>
      </rPr>
      <t>世界史</t>
    </r>
    <r>
      <rPr>
        <b/>
        <sz val="11"/>
        <color indexed="33"/>
        <rFont val="Consolas"/>
        <family val="3"/>
      </rPr>
      <t>/</t>
    </r>
    <r>
      <rPr>
        <b/>
        <sz val="11"/>
        <color indexed="33"/>
        <rFont val="游ゴシック Medium"/>
        <family val="3"/>
        <charset val="128"/>
      </rPr>
      <t>詳説</t>
    </r>
    <r>
      <rPr>
        <b/>
        <sz val="11"/>
        <color indexed="33"/>
        <rFont val="Consolas"/>
        <family val="3"/>
      </rPr>
      <t>/</t>
    </r>
    <r>
      <rPr>
        <b/>
        <sz val="11"/>
        <color indexed="33"/>
        <rFont val="游ゴシック Medium"/>
        <family val="3"/>
        <charset val="128"/>
      </rPr>
      <t>高等学校教科書</t>
    </r>
    <rPh sb="0" eb="3">
      <t>セカイシ</t>
    </rPh>
    <rPh sb="4" eb="6">
      <t>ショウセツ</t>
    </rPh>
    <rPh sb="7" eb="11">
      <t>コウトウガッコウ</t>
    </rPh>
    <rPh sb="11" eb="14">
      <t>キョウカショ</t>
    </rPh>
    <phoneticPr fontId="1"/>
  </si>
  <si>
    <r>
      <rPr>
        <sz val="11"/>
        <rFont val="游ゴシック Medium"/>
        <family val="3"/>
        <charset val="128"/>
      </rPr>
      <t>全国歴史教育研究協議会</t>
    </r>
    <rPh sb="0" eb="2">
      <t>ゼンコク</t>
    </rPh>
    <rPh sb="2" eb="4">
      <t>レキシ</t>
    </rPh>
    <rPh sb="4" eb="6">
      <t>キョウイク</t>
    </rPh>
    <rPh sb="6" eb="8">
      <t>ケンキュウ</t>
    </rPh>
    <rPh sb="8" eb="11">
      <t>キョウギカイ</t>
    </rPh>
    <phoneticPr fontId="1"/>
  </si>
  <si>
    <r>
      <rPr>
        <b/>
        <sz val="11"/>
        <color indexed="33"/>
        <rFont val="游ゴシック Medium"/>
        <family val="3"/>
        <charset val="128"/>
      </rPr>
      <t>世界史用語集</t>
    </r>
    <rPh sb="0" eb="3">
      <t>セカイシ</t>
    </rPh>
    <rPh sb="3" eb="6">
      <t>ヨウゴシュウ</t>
    </rPh>
    <phoneticPr fontId="1"/>
  </si>
  <si>
    <r>
      <rPr>
        <b/>
        <sz val="11"/>
        <color indexed="33"/>
        <rFont val="游ゴシック Medium"/>
        <family val="3"/>
        <charset val="128"/>
      </rPr>
      <t>日本史用語集</t>
    </r>
    <rPh sb="0" eb="3">
      <t>ニホンシ</t>
    </rPh>
    <rPh sb="3" eb="6">
      <t>ヨウゴシュウ</t>
    </rPh>
    <phoneticPr fontId="1"/>
  </si>
  <si>
    <r>
      <rPr>
        <b/>
        <sz val="11"/>
        <color indexed="33"/>
        <rFont val="游ゴシック Medium"/>
        <family val="3"/>
        <charset val="128"/>
      </rPr>
      <t>倫理用語集</t>
    </r>
    <rPh sb="0" eb="2">
      <t>リンリ</t>
    </rPh>
    <rPh sb="2" eb="5">
      <t>ヨウゴシュウ</t>
    </rPh>
    <phoneticPr fontId="1"/>
  </si>
  <si>
    <r>
      <rPr>
        <sz val="11"/>
        <rFont val="游ゴシック Medium"/>
        <family val="3"/>
        <charset val="128"/>
      </rPr>
      <t>原口幸男</t>
    </r>
    <rPh sb="0" eb="2">
      <t>ハラグチ</t>
    </rPh>
    <rPh sb="2" eb="4">
      <t>ユキオ</t>
    </rPh>
    <phoneticPr fontId="1"/>
  </si>
  <si>
    <r>
      <rPr>
        <sz val="11"/>
        <rFont val="游ゴシック Medium"/>
        <family val="3"/>
        <charset val="128"/>
      </rPr>
      <t>年代暗記</t>
    </r>
    <r>
      <rPr>
        <sz val="11"/>
        <rFont val="Consolas"/>
        <family val="3"/>
      </rPr>
      <t>/</t>
    </r>
    <r>
      <rPr>
        <sz val="11"/>
        <rFont val="游ゴシック Medium"/>
        <family val="3"/>
        <charset val="128"/>
      </rPr>
      <t>日本史</t>
    </r>
    <rPh sb="0" eb="2">
      <t>ネンダイ</t>
    </rPh>
    <rPh sb="2" eb="4">
      <t>アンキ</t>
    </rPh>
    <rPh sb="5" eb="8">
      <t>ニホンシ</t>
    </rPh>
    <phoneticPr fontId="1"/>
  </si>
  <si>
    <r>
      <t>Lion</t>
    </r>
    <r>
      <rPr>
        <sz val="11"/>
        <rFont val="游ゴシック Medium"/>
        <family val="3"/>
        <charset val="128"/>
      </rPr>
      <t>社</t>
    </r>
    <rPh sb="0" eb="4">
      <t>ライオン</t>
    </rPh>
    <rPh sb="4" eb="5">
      <t>シャ</t>
    </rPh>
    <phoneticPr fontId="1"/>
  </si>
  <si>
    <r>
      <t>Chart</t>
    </r>
    <r>
      <rPr>
        <sz val="11"/>
        <rFont val="游ゴシック Medium"/>
        <family val="3"/>
        <charset val="128"/>
      </rPr>
      <t>式</t>
    </r>
    <r>
      <rPr>
        <sz val="11"/>
        <rFont val="Consolas"/>
        <family val="3"/>
      </rPr>
      <t xml:space="preserve"> </t>
    </r>
    <r>
      <rPr>
        <sz val="11"/>
        <rFont val="游ゴシック Medium"/>
        <family val="3"/>
        <charset val="128"/>
      </rPr>
      <t>漢文</t>
    </r>
    <rPh sb="0" eb="6">
      <t>チャートシキ</t>
    </rPh>
    <rPh sb="7" eb="9">
      <t>カンブン</t>
    </rPh>
    <phoneticPr fontId="1"/>
  </si>
  <si>
    <r>
      <rPr>
        <sz val="11"/>
        <rFont val="游ゴシック Medium"/>
        <family val="3"/>
        <charset val="128"/>
      </rPr>
      <t>新日本装飾㈱企画室</t>
    </r>
    <rPh sb="0" eb="3">
      <t>シンニホン</t>
    </rPh>
    <rPh sb="3" eb="5">
      <t>ソウショク</t>
    </rPh>
    <rPh sb="6" eb="9">
      <t>キカクシツ</t>
    </rPh>
    <phoneticPr fontId="1"/>
  </si>
  <si>
    <r>
      <rPr>
        <sz val="11"/>
        <rFont val="游ゴシック Medium"/>
        <family val="3"/>
        <charset val="128"/>
      </rPr>
      <t>上原</t>
    </r>
    <r>
      <rPr>
        <sz val="11"/>
        <rFont val="Consolas"/>
        <family val="3"/>
      </rPr>
      <t xml:space="preserve"> </t>
    </r>
    <r>
      <rPr>
        <sz val="11"/>
        <rFont val="游ゴシック Medium"/>
        <family val="3"/>
        <charset val="128"/>
      </rPr>
      <t>龍</t>
    </r>
    <r>
      <rPr>
        <sz val="11"/>
        <rFont val="Consolas"/>
        <family val="3"/>
      </rPr>
      <t>/</t>
    </r>
    <r>
      <rPr>
        <sz val="11"/>
        <rFont val="游ゴシック Medium"/>
        <family val="3"/>
        <charset val="128"/>
      </rPr>
      <t>上原アート･オフィス</t>
    </r>
    <rPh sb="0" eb="2">
      <t>ウエハラ</t>
    </rPh>
    <rPh sb="3" eb="4">
      <t>リュウ</t>
    </rPh>
    <rPh sb="5" eb="7">
      <t>ウエハラ</t>
    </rPh>
    <phoneticPr fontId="1"/>
  </si>
  <si>
    <r>
      <rPr>
        <sz val="11"/>
        <rFont val="游ゴシック Medium"/>
        <family val="3"/>
        <charset val="128"/>
      </rPr>
      <t>著</t>
    </r>
    <r>
      <rPr>
        <sz val="11"/>
        <rFont val="Consolas"/>
        <family val="3"/>
      </rPr>
      <t>/</t>
    </r>
    <r>
      <rPr>
        <sz val="11"/>
        <rFont val="游ゴシック Medium"/>
        <family val="3"/>
        <charset val="128"/>
      </rPr>
      <t>編集･装填･本文イラスト</t>
    </r>
    <rPh sb="0" eb="1">
      <t>チョ</t>
    </rPh>
    <rPh sb="2" eb="4">
      <t>ヘンシュウ</t>
    </rPh>
    <rPh sb="5" eb="7">
      <t>ソウテン</t>
    </rPh>
    <rPh sb="8" eb="10">
      <t>ホンブン</t>
    </rPh>
    <phoneticPr fontId="1"/>
  </si>
  <si>
    <r>
      <rPr>
        <sz val="10"/>
        <rFont val="游ゴシック Medium"/>
        <family val="3"/>
        <charset val="128"/>
      </rPr>
      <t>建築に関する</t>
    </r>
    <r>
      <rPr>
        <sz val="10"/>
        <rFont val="Consolas"/>
        <family val="3"/>
      </rPr>
      <t xml:space="preserve"> </t>
    </r>
    <r>
      <rPr>
        <sz val="11"/>
        <rFont val="游ゴシック Medium"/>
        <family val="3"/>
        <charset val="128"/>
      </rPr>
      <t>祭儀</t>
    </r>
    <r>
      <rPr>
        <sz val="11"/>
        <rFont val="Consolas"/>
        <family val="3"/>
      </rPr>
      <t>/</t>
    </r>
    <r>
      <rPr>
        <sz val="11"/>
        <rFont val="游ゴシック Medium"/>
        <family val="3"/>
        <charset val="128"/>
      </rPr>
      <t>あらゆるイベント</t>
    </r>
    <rPh sb="0" eb="2">
      <t>ケンチク</t>
    </rPh>
    <rPh sb="3" eb="4">
      <t>カン</t>
    </rPh>
    <rPh sb="7" eb="9">
      <t>サイギ</t>
    </rPh>
    <phoneticPr fontId="1"/>
  </si>
  <si>
    <r>
      <rPr>
        <sz val="11"/>
        <rFont val="游ゴシック Medium"/>
        <family val="3"/>
        <charset val="128"/>
      </rPr>
      <t>宗村勝三</t>
    </r>
    <r>
      <rPr>
        <sz val="11"/>
        <rFont val="Consolas"/>
        <family val="3"/>
      </rPr>
      <t>:</t>
    </r>
    <r>
      <rPr>
        <sz val="11"/>
        <rFont val="游ゴシック Medium"/>
        <family val="3"/>
        <charset val="128"/>
      </rPr>
      <t>発行</t>
    </r>
    <r>
      <rPr>
        <sz val="11"/>
        <rFont val="Consolas"/>
        <family val="3"/>
      </rPr>
      <t>/</t>
    </r>
    <r>
      <rPr>
        <sz val="11"/>
        <rFont val="游ゴシック Medium"/>
        <family val="3"/>
        <charset val="128"/>
      </rPr>
      <t>新日本装飾㈱</t>
    </r>
    <r>
      <rPr>
        <sz val="11"/>
        <rFont val="Consolas"/>
        <family val="3"/>
      </rPr>
      <t>:</t>
    </r>
    <r>
      <rPr>
        <sz val="11"/>
        <rFont val="游ゴシック Medium"/>
        <family val="3"/>
        <charset val="128"/>
      </rPr>
      <t>発行所</t>
    </r>
    <rPh sb="0" eb="2">
      <t>ソウムラ</t>
    </rPh>
    <rPh sb="2" eb="4">
      <t>ショウゾウ</t>
    </rPh>
    <rPh sb="5" eb="7">
      <t>ハッコウ</t>
    </rPh>
    <rPh sb="8" eb="11">
      <t>シンニホン</t>
    </rPh>
    <rPh sb="11" eb="13">
      <t>ソウショク</t>
    </rPh>
    <rPh sb="15" eb="18">
      <t>ハッコウショ</t>
    </rPh>
    <phoneticPr fontId="1"/>
  </si>
  <si>
    <r>
      <rPr>
        <sz val="11"/>
        <rFont val="游ゴシック Medium"/>
        <family val="3"/>
        <charset val="128"/>
      </rPr>
      <t>濱本宗俊</t>
    </r>
    <rPh sb="0" eb="2">
      <t>ハマモト</t>
    </rPh>
    <rPh sb="2" eb="4">
      <t>ムネトシ</t>
    </rPh>
    <phoneticPr fontId="1"/>
  </si>
  <si>
    <r>
      <rPr>
        <sz val="11"/>
        <rFont val="游ゴシック Medium"/>
        <family val="3"/>
        <charset val="128"/>
      </rPr>
      <t>花月風雅集</t>
    </r>
    <r>
      <rPr>
        <sz val="11"/>
        <rFont val="Consolas"/>
        <family val="3"/>
      </rPr>
      <t>/</t>
    </r>
    <r>
      <rPr>
        <sz val="11"/>
        <rFont val="游ゴシック Medium"/>
        <family val="3"/>
        <charset val="128"/>
      </rPr>
      <t>改訂版</t>
    </r>
    <rPh sb="0" eb="2">
      <t>カゲツ</t>
    </rPh>
    <rPh sb="2" eb="4">
      <t>フウガ</t>
    </rPh>
    <rPh sb="4" eb="5">
      <t>シュウ</t>
    </rPh>
    <rPh sb="6" eb="9">
      <t>カイテイバン</t>
    </rPh>
    <phoneticPr fontId="1"/>
  </si>
  <si>
    <r>
      <rPr>
        <sz val="11"/>
        <rFont val="游ゴシック Medium"/>
        <family val="3"/>
        <charset val="128"/>
      </rPr>
      <t>大野林火</t>
    </r>
    <rPh sb="0" eb="2">
      <t>オオノ</t>
    </rPh>
    <rPh sb="2" eb="4">
      <t>リンカ</t>
    </rPh>
    <phoneticPr fontId="1"/>
  </si>
  <si>
    <r>
      <rPr>
        <sz val="11"/>
        <rFont val="游ゴシック Medium"/>
        <family val="3"/>
        <charset val="128"/>
      </rPr>
      <t>俳句文学館</t>
    </r>
    <rPh sb="0" eb="2">
      <t>ハイク</t>
    </rPh>
    <rPh sb="2" eb="5">
      <t>ブンガクカン</t>
    </rPh>
    <phoneticPr fontId="1"/>
  </si>
  <si>
    <r>
      <rPr>
        <sz val="11"/>
        <rFont val="游ゴシック Medium"/>
        <family val="3"/>
        <charset val="128"/>
      </rPr>
      <t>入門歳時記</t>
    </r>
    <r>
      <rPr>
        <sz val="11"/>
        <rFont val="Consolas"/>
        <family val="3"/>
      </rPr>
      <t>/Handy</t>
    </r>
    <r>
      <rPr>
        <sz val="11"/>
        <rFont val="游ゴシック Medium"/>
        <family val="3"/>
        <charset val="128"/>
      </rPr>
      <t>版</t>
    </r>
    <rPh sb="0" eb="2">
      <t>ニュウモン</t>
    </rPh>
    <rPh sb="2" eb="5">
      <t>サイジキ</t>
    </rPh>
    <rPh sb="6" eb="12">
      <t>ハンディバン</t>
    </rPh>
    <phoneticPr fontId="1"/>
  </si>
  <si>
    <r>
      <rPr>
        <sz val="11"/>
        <rFont val="游ゴシック Medium"/>
        <family val="3"/>
        <charset val="128"/>
      </rPr>
      <t>バリ島の旅</t>
    </r>
    <r>
      <rPr>
        <sz val="11"/>
        <rFont val="Consolas"/>
        <family val="3"/>
      </rPr>
      <t xml:space="preserve"> </t>
    </r>
    <r>
      <rPr>
        <sz val="11"/>
        <rFont val="游ゴシック Medium"/>
        <family val="3"/>
        <charset val="128"/>
      </rPr>
      <t>必携</t>
    </r>
    <r>
      <rPr>
        <sz val="11"/>
        <rFont val="Consolas"/>
        <family val="3"/>
      </rPr>
      <t>!/Indone'sie</t>
    </r>
    <r>
      <rPr>
        <sz val="11"/>
        <rFont val="游ゴシック Medium"/>
        <family val="3"/>
        <charset val="128"/>
      </rPr>
      <t>語</t>
    </r>
    <r>
      <rPr>
        <sz val="11"/>
        <rFont val="Consolas"/>
        <family val="3"/>
      </rPr>
      <t>/</t>
    </r>
    <r>
      <rPr>
        <sz val="11"/>
        <rFont val="游ゴシック Medium"/>
        <family val="3"/>
        <charset val="128"/>
      </rPr>
      <t>英語</t>
    </r>
    <rPh sb="2" eb="3">
      <t>トウ</t>
    </rPh>
    <rPh sb="4" eb="5">
      <t>タビ</t>
    </rPh>
    <rPh sb="6" eb="8">
      <t>ヒッケイ</t>
    </rPh>
    <rPh sb="10" eb="20">
      <t>インドネシア</t>
    </rPh>
    <rPh sb="20" eb="21">
      <t>ゴ</t>
    </rPh>
    <rPh sb="22" eb="24">
      <t>エイゴ</t>
    </rPh>
    <phoneticPr fontId="1"/>
  </si>
  <si>
    <r>
      <rPr>
        <sz val="11"/>
        <rFont val="游ゴシック Medium"/>
        <family val="3"/>
        <charset val="128"/>
      </rPr>
      <t>地球の歩き方</t>
    </r>
    <r>
      <rPr>
        <sz val="11"/>
        <rFont val="Consolas"/>
        <family val="3"/>
      </rPr>
      <t>/</t>
    </r>
    <r>
      <rPr>
        <sz val="11"/>
        <rFont val="游ゴシック Medium"/>
        <family val="3"/>
        <charset val="128"/>
      </rPr>
      <t>旅の会話集</t>
    </r>
    <r>
      <rPr>
        <sz val="11"/>
        <rFont val="Consolas"/>
        <family val="3"/>
      </rPr>
      <t>/11</t>
    </r>
    <rPh sb="0" eb="2">
      <t>チキュウ</t>
    </rPh>
    <rPh sb="3" eb="4">
      <t>アル</t>
    </rPh>
    <rPh sb="5" eb="6">
      <t>カタ</t>
    </rPh>
    <rPh sb="7" eb="8">
      <t>タビ</t>
    </rPh>
    <rPh sb="9" eb="11">
      <t>カイワ</t>
    </rPh>
    <rPh sb="11" eb="12">
      <t>シュウ</t>
    </rPh>
    <phoneticPr fontId="1"/>
  </si>
  <si>
    <r>
      <rPr>
        <sz val="11"/>
        <rFont val="游ゴシック Medium"/>
        <family val="3"/>
        <charset val="128"/>
      </rPr>
      <t>ダイヤモンド社</t>
    </r>
    <r>
      <rPr>
        <sz val="11"/>
        <rFont val="Consolas"/>
        <family val="3"/>
      </rPr>
      <t>/</t>
    </r>
    <r>
      <rPr>
        <sz val="11"/>
        <rFont val="游ゴシック Medium"/>
        <family val="3"/>
        <charset val="128"/>
      </rPr>
      <t>ダイヤモンド･ビッグ社</t>
    </r>
    <rPh sb="6" eb="7">
      <t>シャ</t>
    </rPh>
    <rPh sb="18" eb="19">
      <t>シャ</t>
    </rPh>
    <phoneticPr fontId="1"/>
  </si>
  <si>
    <r>
      <rPr>
        <sz val="10"/>
        <rFont val="游ゴシック Medium"/>
        <family val="3"/>
        <charset val="128"/>
      </rPr>
      <t>ひとり歩きの</t>
    </r>
    <r>
      <rPr>
        <sz val="11"/>
        <rFont val="Consolas"/>
        <family val="3"/>
      </rPr>
      <t xml:space="preserve"> </t>
    </r>
    <r>
      <rPr>
        <sz val="11"/>
        <rFont val="游ゴシック Medium"/>
        <family val="3"/>
        <charset val="128"/>
      </rPr>
      <t>英語</t>
    </r>
    <r>
      <rPr>
        <sz val="11"/>
        <rFont val="Consolas"/>
        <family val="3"/>
      </rPr>
      <t xml:space="preserve"> </t>
    </r>
    <r>
      <rPr>
        <sz val="11"/>
        <rFont val="游ゴシック Medium"/>
        <family val="3"/>
        <charset val="128"/>
      </rPr>
      <t>自遊自在</t>
    </r>
    <r>
      <rPr>
        <sz val="11"/>
        <rFont val="Consolas"/>
        <family val="3"/>
      </rPr>
      <t>/</t>
    </r>
    <r>
      <rPr>
        <sz val="11"/>
        <rFont val="游ゴシック Medium"/>
        <family val="3"/>
        <charset val="128"/>
      </rPr>
      <t>辞書付</t>
    </r>
    <rPh sb="3" eb="4">
      <t>アル</t>
    </rPh>
    <rPh sb="7" eb="9">
      <t>エイゴ</t>
    </rPh>
    <rPh sb="10" eb="12">
      <t>ジユウ</t>
    </rPh>
    <rPh sb="12" eb="14">
      <t>ジザイ</t>
    </rPh>
    <rPh sb="15" eb="17">
      <t>ジショ</t>
    </rPh>
    <rPh sb="17" eb="18">
      <t>ツキ</t>
    </rPh>
    <phoneticPr fontId="1"/>
  </si>
  <si>
    <r>
      <rPr>
        <sz val="11"/>
        <rFont val="游ゴシック Medium"/>
        <family val="3"/>
        <charset val="128"/>
      </rPr>
      <t>ひとり歩きの会話集</t>
    </r>
    <r>
      <rPr>
        <sz val="11"/>
        <rFont val="Consolas"/>
        <family val="3"/>
      </rPr>
      <t xml:space="preserve"> 1</t>
    </r>
    <rPh sb="3" eb="4">
      <t>アル</t>
    </rPh>
    <rPh sb="6" eb="8">
      <t>カイワ</t>
    </rPh>
    <rPh sb="8" eb="9">
      <t>シュウ</t>
    </rPh>
    <phoneticPr fontId="1"/>
  </si>
  <si>
    <r>
      <rPr>
        <sz val="10"/>
        <rFont val="游ゴシック Medium"/>
        <family val="3"/>
        <charset val="128"/>
      </rPr>
      <t>ひとり歩きの</t>
    </r>
    <r>
      <rPr>
        <sz val="11"/>
        <rFont val="Consolas"/>
        <family val="3"/>
      </rPr>
      <t xml:space="preserve"> </t>
    </r>
    <r>
      <rPr>
        <sz val="11"/>
        <rFont val="游ゴシック Medium"/>
        <family val="3"/>
        <charset val="128"/>
      </rPr>
      <t>韓国語</t>
    </r>
    <r>
      <rPr>
        <sz val="11"/>
        <rFont val="Consolas"/>
        <family val="3"/>
      </rPr>
      <t xml:space="preserve"> </t>
    </r>
    <r>
      <rPr>
        <sz val="11"/>
        <rFont val="游ゴシック Medium"/>
        <family val="3"/>
        <charset val="128"/>
      </rPr>
      <t>自遊自在</t>
    </r>
    <r>
      <rPr>
        <sz val="11"/>
        <rFont val="Consolas"/>
        <family val="3"/>
      </rPr>
      <t>/</t>
    </r>
    <r>
      <rPr>
        <sz val="11"/>
        <rFont val="游ゴシック Medium"/>
        <family val="3"/>
        <charset val="128"/>
      </rPr>
      <t>辞書付</t>
    </r>
    <rPh sb="3" eb="4">
      <t>アル</t>
    </rPh>
    <rPh sb="7" eb="10">
      <t>カンコクゴ</t>
    </rPh>
    <rPh sb="11" eb="13">
      <t>ジユウ</t>
    </rPh>
    <rPh sb="13" eb="15">
      <t>ジザイ</t>
    </rPh>
    <rPh sb="16" eb="18">
      <t>ジショ</t>
    </rPh>
    <rPh sb="18" eb="19">
      <t>ツキ</t>
    </rPh>
    <phoneticPr fontId="1"/>
  </si>
  <si>
    <r>
      <rPr>
        <sz val="11"/>
        <rFont val="游ゴシック Medium"/>
        <family val="3"/>
        <charset val="128"/>
      </rPr>
      <t>ひとり歩きの会話集</t>
    </r>
    <r>
      <rPr>
        <sz val="11"/>
        <rFont val="Consolas"/>
        <family val="3"/>
      </rPr>
      <t xml:space="preserve"> 6/Rb </t>
    </r>
    <r>
      <rPr>
        <sz val="11"/>
        <rFont val="游ゴシック Medium"/>
        <family val="3"/>
        <charset val="128"/>
      </rPr>
      <t>るるぶ</t>
    </r>
    <rPh sb="3" eb="4">
      <t>アル</t>
    </rPh>
    <rPh sb="6" eb="8">
      <t>カイワ</t>
    </rPh>
    <rPh sb="8" eb="9">
      <t>シュウ</t>
    </rPh>
    <phoneticPr fontId="1"/>
  </si>
  <si>
    <r>
      <rPr>
        <sz val="10"/>
        <rFont val="游ゴシック Medium"/>
        <family val="3"/>
        <charset val="128"/>
      </rPr>
      <t>ひとり歩きの</t>
    </r>
    <r>
      <rPr>
        <sz val="10"/>
        <rFont val="Consolas"/>
        <family val="3"/>
      </rPr>
      <t xml:space="preserve"> Indone'sie</t>
    </r>
    <r>
      <rPr>
        <sz val="10"/>
        <rFont val="游ゴシック Medium"/>
        <family val="3"/>
        <charset val="128"/>
      </rPr>
      <t>語</t>
    </r>
    <r>
      <rPr>
        <sz val="10"/>
        <rFont val="Consolas"/>
        <family val="3"/>
      </rPr>
      <t xml:space="preserve"> </t>
    </r>
    <r>
      <rPr>
        <sz val="10"/>
        <rFont val="游ゴシック Medium"/>
        <family val="3"/>
        <charset val="128"/>
      </rPr>
      <t>自遊自在</t>
    </r>
    <r>
      <rPr>
        <sz val="10"/>
        <rFont val="Consolas"/>
        <family val="3"/>
      </rPr>
      <t>/</t>
    </r>
    <r>
      <rPr>
        <sz val="10"/>
        <rFont val="游ゴシック Medium"/>
        <family val="3"/>
        <charset val="128"/>
      </rPr>
      <t>辞書付</t>
    </r>
    <rPh sb="3" eb="4">
      <t>アル</t>
    </rPh>
    <rPh sb="7" eb="17">
      <t>インドネシア</t>
    </rPh>
    <rPh sb="17" eb="18">
      <t>ゴ</t>
    </rPh>
    <rPh sb="19" eb="21">
      <t>ジユウ</t>
    </rPh>
    <rPh sb="21" eb="23">
      <t>ジザイ</t>
    </rPh>
    <rPh sb="24" eb="26">
      <t>ジショ</t>
    </rPh>
    <rPh sb="26" eb="27">
      <t>ツキ</t>
    </rPh>
    <phoneticPr fontId="1"/>
  </si>
  <si>
    <r>
      <rPr>
        <sz val="11"/>
        <rFont val="游ゴシック Medium"/>
        <family val="3"/>
        <charset val="128"/>
      </rPr>
      <t>ひとり歩きの会話集</t>
    </r>
    <r>
      <rPr>
        <sz val="11"/>
        <rFont val="Consolas"/>
        <family val="3"/>
      </rPr>
      <t xml:space="preserve"> 7</t>
    </r>
    <rPh sb="3" eb="4">
      <t>アル</t>
    </rPh>
    <rPh sb="6" eb="8">
      <t>カイワ</t>
    </rPh>
    <rPh sb="8" eb="9">
      <t>シュウ</t>
    </rPh>
    <phoneticPr fontId="1"/>
  </si>
  <si>
    <r>
      <rPr>
        <sz val="11"/>
        <rFont val="游ゴシック Medium"/>
        <family val="3"/>
        <charset val="128"/>
      </rPr>
      <t>辞典</t>
    </r>
    <r>
      <rPr>
        <sz val="11"/>
        <rFont val="Consolas"/>
        <family val="3"/>
      </rPr>
      <t>/</t>
    </r>
    <r>
      <rPr>
        <sz val="11"/>
        <rFont val="游ゴシック Medium"/>
        <family val="3"/>
        <charset val="128"/>
      </rPr>
      <t>文庫</t>
    </r>
    <rPh sb="0" eb="2">
      <t>ジテン</t>
    </rPh>
    <rPh sb="3" eb="5">
      <t>ブンコ</t>
    </rPh>
    <phoneticPr fontId="1"/>
  </si>
  <si>
    <r>
      <t>art/</t>
    </r>
    <r>
      <rPr>
        <sz val="11"/>
        <rFont val="游ゴシック Medium"/>
        <family val="3"/>
        <charset val="128"/>
      </rPr>
      <t>身内</t>
    </r>
    <rPh sb="4" eb="6">
      <t>ミウチ</t>
    </rPh>
    <phoneticPr fontId="1"/>
  </si>
  <si>
    <r>
      <rPr>
        <sz val="11"/>
        <rFont val="游ゴシック Medium"/>
        <family val="3"/>
        <charset val="128"/>
      </rPr>
      <t>中ザワヒデキ</t>
    </r>
    <rPh sb="0" eb="1">
      <t>ナカ</t>
    </rPh>
    <phoneticPr fontId="1"/>
  </si>
  <si>
    <r>
      <rPr>
        <sz val="11"/>
        <rFont val="游ゴシック Medium"/>
        <family val="3"/>
        <charset val="128"/>
      </rPr>
      <t>近代美術史</t>
    </r>
    <r>
      <rPr>
        <sz val="11"/>
        <rFont val="Consolas"/>
        <family val="3"/>
      </rPr>
      <t>Text</t>
    </r>
    <r>
      <rPr>
        <sz val="11"/>
        <rFont val="游ゴシック Medium"/>
        <family val="3"/>
        <charset val="128"/>
      </rPr>
      <t>─印象派から</t>
    </r>
    <r>
      <rPr>
        <sz val="11"/>
        <rFont val="Consolas"/>
        <family val="3"/>
      </rPr>
      <t xml:space="preserve">Post </t>
    </r>
    <r>
      <rPr>
        <sz val="11"/>
        <rFont val="游ゴシック Medium"/>
        <family val="3"/>
        <charset val="128"/>
      </rPr>
      <t>ヘタうま</t>
    </r>
    <r>
      <rPr>
        <sz val="11"/>
        <rFont val="Consolas"/>
        <family val="3"/>
      </rPr>
      <t xml:space="preserve"> Illustration</t>
    </r>
    <r>
      <rPr>
        <sz val="11"/>
        <rFont val="游ゴシック Medium"/>
        <family val="3"/>
        <charset val="128"/>
      </rPr>
      <t>まで─</t>
    </r>
    <rPh sb="0" eb="5">
      <t>キンダイビジュツシ</t>
    </rPh>
    <rPh sb="5" eb="9">
      <t>テキスト</t>
    </rPh>
    <rPh sb="10" eb="13">
      <t>インショウハ</t>
    </rPh>
    <rPh sb="15" eb="19">
      <t>ポスト</t>
    </rPh>
    <rPh sb="25" eb="37">
      <t>イラストレーション</t>
    </rPh>
    <phoneticPr fontId="1"/>
  </si>
  <si>
    <r>
      <rPr>
        <sz val="11"/>
        <rFont val="游ゴシック Medium"/>
        <family val="3"/>
        <charset val="128"/>
      </rPr>
      <t>トムズボックス</t>
    </r>
    <phoneticPr fontId="1"/>
  </si>
  <si>
    <r>
      <rPr>
        <sz val="11"/>
        <rFont val="游ゴシック Medium"/>
        <family val="3"/>
        <charset val="128"/>
      </rPr>
      <t>日本音響家協会</t>
    </r>
    <rPh sb="0" eb="2">
      <t>ニホン</t>
    </rPh>
    <rPh sb="2" eb="4">
      <t>オンキョウ</t>
    </rPh>
    <rPh sb="4" eb="5">
      <t>カ</t>
    </rPh>
    <rPh sb="5" eb="7">
      <t>キョウカイ</t>
    </rPh>
    <phoneticPr fontId="1"/>
  </si>
  <si>
    <r>
      <t>Pro</t>
    </r>
    <r>
      <rPr>
        <sz val="11"/>
        <rFont val="游ゴシック Medium"/>
        <family val="3"/>
        <charset val="128"/>
      </rPr>
      <t>音響</t>
    </r>
    <r>
      <rPr>
        <sz val="11"/>
        <rFont val="Consolas"/>
        <family val="3"/>
      </rPr>
      <t>DataBook</t>
    </r>
    <rPh sb="0" eb="3">
      <t>プロ</t>
    </rPh>
    <rPh sb="3" eb="5">
      <t>オンキョウ</t>
    </rPh>
    <rPh sb="5" eb="9">
      <t>データ</t>
    </rPh>
    <rPh sb="9" eb="13">
      <t>ブック</t>
    </rPh>
    <phoneticPr fontId="1"/>
  </si>
  <si>
    <r>
      <rPr>
        <sz val="11"/>
        <rFont val="游ゴシック Medium"/>
        <family val="3"/>
        <charset val="128"/>
      </rPr>
      <t>村西利夫</t>
    </r>
    <rPh sb="0" eb="2">
      <t>ムラニシ</t>
    </rPh>
    <rPh sb="2" eb="4">
      <t>トシオ</t>
    </rPh>
    <phoneticPr fontId="1"/>
  </si>
  <si>
    <r>
      <rPr>
        <sz val="11"/>
        <rFont val="游ゴシック Medium"/>
        <family val="3"/>
        <charset val="128"/>
      </rPr>
      <t>日本漢字学会理事長</t>
    </r>
    <rPh sb="0" eb="2">
      <t>ニホン</t>
    </rPh>
    <rPh sb="2" eb="4">
      <t>カンジ</t>
    </rPh>
    <rPh sb="4" eb="6">
      <t>ガッカイ</t>
    </rPh>
    <rPh sb="6" eb="9">
      <t>リジチョウ</t>
    </rPh>
    <phoneticPr fontId="1"/>
  </si>
  <si>
    <r>
      <rPr>
        <sz val="10"/>
        <rFont val="游ゴシック Medium"/>
        <family val="3"/>
        <charset val="128"/>
      </rPr>
      <t>出る漢</t>
    </r>
    <rPh sb="0" eb="1">
      <t>デ</t>
    </rPh>
    <rPh sb="2" eb="3">
      <t>カン</t>
    </rPh>
    <phoneticPr fontId="1"/>
  </si>
  <si>
    <r>
      <rPr>
        <sz val="11"/>
        <rFont val="游ゴシック Medium"/>
        <family val="3"/>
        <charset val="128"/>
      </rPr>
      <t>下村</t>
    </r>
    <r>
      <rPr>
        <sz val="11"/>
        <rFont val="Consolas"/>
        <family val="3"/>
      </rPr>
      <t xml:space="preserve"> </t>
    </r>
    <r>
      <rPr>
        <sz val="11"/>
        <rFont val="游ゴシック Medium"/>
        <family val="3"/>
        <charset val="128"/>
      </rPr>
      <t>昇</t>
    </r>
    <rPh sb="0" eb="2">
      <t>シモムラ</t>
    </rPh>
    <rPh sb="3" eb="4">
      <t>ノボル</t>
    </rPh>
    <phoneticPr fontId="1"/>
  </si>
  <si>
    <r>
      <rPr>
        <sz val="10"/>
        <rFont val="游ゴシック Medium"/>
        <family val="3"/>
        <charset val="128"/>
      </rPr>
      <t>教育</t>
    </r>
    <r>
      <rPr>
        <sz val="11"/>
        <rFont val="游ゴシック Medium"/>
        <family val="3"/>
        <charset val="128"/>
      </rPr>
      <t>漢字学習字典</t>
    </r>
    <rPh sb="0" eb="2">
      <t>キョウイク</t>
    </rPh>
    <rPh sb="2" eb="4">
      <t>カンジ</t>
    </rPh>
    <rPh sb="4" eb="6">
      <t>ガクシュウ</t>
    </rPh>
    <rPh sb="6" eb="8">
      <t>ジテン</t>
    </rPh>
    <phoneticPr fontId="1"/>
  </si>
  <si>
    <r>
      <rPr>
        <sz val="11"/>
        <rFont val="游ゴシック Medium"/>
        <family val="3"/>
        <charset val="128"/>
      </rPr>
      <t>学林書院</t>
    </r>
    <r>
      <rPr>
        <sz val="11"/>
        <rFont val="Consolas"/>
        <family val="3"/>
      </rPr>
      <t>/</t>
    </r>
    <r>
      <rPr>
        <sz val="11"/>
        <rFont val="游ゴシック Medium"/>
        <family val="3"/>
        <charset val="128"/>
      </rPr>
      <t>㈱</t>
    </r>
    <rPh sb="0" eb="1">
      <t>ガク</t>
    </rPh>
    <rPh sb="1" eb="2">
      <t>リン</t>
    </rPh>
    <rPh sb="2" eb="4">
      <t>ショイン</t>
    </rPh>
    <phoneticPr fontId="1"/>
  </si>
  <si>
    <r>
      <rPr>
        <sz val="11"/>
        <rFont val="游ゴシック Medium"/>
        <family val="3"/>
        <charset val="128"/>
      </rPr>
      <t>全国社会福祉協議会</t>
    </r>
    <rPh sb="0" eb="2">
      <t>ゼンコク</t>
    </rPh>
    <rPh sb="2" eb="4">
      <t>シャカイ</t>
    </rPh>
    <rPh sb="4" eb="9">
      <t>フクシキョウギカイ</t>
    </rPh>
    <phoneticPr fontId="1"/>
  </si>
  <si>
    <r>
      <rPr>
        <sz val="10"/>
        <rFont val="游ゴシック Medium"/>
        <family val="3"/>
        <charset val="128"/>
      </rPr>
      <t>最新</t>
    </r>
    <r>
      <rPr>
        <sz val="11"/>
        <rFont val="游ゴシック Medium"/>
        <family val="3"/>
        <charset val="128"/>
      </rPr>
      <t>詳解全国保母試験問題集</t>
    </r>
    <rPh sb="0" eb="2">
      <t>サイシン</t>
    </rPh>
    <rPh sb="4" eb="6">
      <t>ゼンコク</t>
    </rPh>
    <rPh sb="6" eb="8">
      <t>ホボ</t>
    </rPh>
    <rPh sb="8" eb="10">
      <t>シケン</t>
    </rPh>
    <rPh sb="10" eb="13">
      <t>モンダイシュウ</t>
    </rPh>
    <phoneticPr fontId="1"/>
  </si>
  <si>
    <r>
      <rPr>
        <sz val="11"/>
        <rFont val="游ゴシック Medium"/>
        <family val="3"/>
        <charset val="128"/>
      </rPr>
      <t>外来語辞典</t>
    </r>
    <rPh sb="0" eb="5">
      <t>ガイライゴジテン</t>
    </rPh>
    <phoneticPr fontId="1"/>
  </si>
  <si>
    <r>
      <rPr>
        <sz val="11"/>
        <rFont val="游ゴシック Medium"/>
        <family val="3"/>
        <charset val="128"/>
      </rPr>
      <t>東京都区分地図</t>
    </r>
    <r>
      <rPr>
        <sz val="11"/>
        <rFont val="Consolas"/>
        <family val="3"/>
      </rPr>
      <t>/24/23</t>
    </r>
    <r>
      <rPr>
        <sz val="11"/>
        <rFont val="游ゴシック Medium"/>
        <family val="3"/>
        <charset val="128"/>
      </rPr>
      <t>区全図</t>
    </r>
    <r>
      <rPr>
        <sz val="11"/>
        <rFont val="Consolas"/>
        <family val="3"/>
      </rPr>
      <t>/1:45000/</t>
    </r>
    <r>
      <rPr>
        <sz val="11"/>
        <rFont val="游ゴシック Medium"/>
        <family val="3"/>
        <charset val="128"/>
      </rPr>
      <t>町名索引･施設索引付</t>
    </r>
    <rPh sb="0" eb="3">
      <t>トウキョウト</t>
    </rPh>
    <rPh sb="3" eb="5">
      <t>クブン</t>
    </rPh>
    <rPh sb="5" eb="7">
      <t>チズ</t>
    </rPh>
    <rPh sb="11" eb="14">
      <t>２３ク</t>
    </rPh>
    <rPh sb="14" eb="16">
      <t>ゼンズ</t>
    </rPh>
    <rPh sb="25" eb="27">
      <t>チョウメイ</t>
    </rPh>
    <rPh sb="27" eb="29">
      <t>サクイン</t>
    </rPh>
    <rPh sb="30" eb="32">
      <t>シセツ</t>
    </rPh>
    <rPh sb="32" eb="34">
      <t>サクイン</t>
    </rPh>
    <rPh sb="34" eb="35">
      <t>ツキ</t>
    </rPh>
    <phoneticPr fontId="1"/>
  </si>
  <si>
    <r>
      <rPr>
        <sz val="11"/>
        <rFont val="游ゴシック Medium"/>
        <family val="3"/>
        <charset val="128"/>
      </rPr>
      <t>東京</t>
    </r>
    <r>
      <rPr>
        <sz val="11"/>
        <rFont val="Consolas"/>
        <family val="3"/>
      </rPr>
      <t xml:space="preserve"> </t>
    </r>
    <r>
      <rPr>
        <sz val="11"/>
        <rFont val="游ゴシック Medium"/>
        <family val="3"/>
        <charset val="128"/>
      </rPr>
      <t>区分・都市図</t>
    </r>
    <r>
      <rPr>
        <sz val="11"/>
        <rFont val="Consolas"/>
        <family val="3"/>
      </rPr>
      <t>/</t>
    </r>
    <r>
      <rPr>
        <sz val="11"/>
        <rFont val="游ゴシック Medium"/>
        <family val="3"/>
        <charset val="128"/>
      </rPr>
      <t>文庫版</t>
    </r>
    <rPh sb="0" eb="2">
      <t>トウキョウ</t>
    </rPh>
    <rPh sb="3" eb="5">
      <t>クブン</t>
    </rPh>
    <rPh sb="6" eb="8">
      <t>トシ</t>
    </rPh>
    <rPh sb="8" eb="9">
      <t>ズ</t>
    </rPh>
    <rPh sb="10" eb="12">
      <t>ブンコ</t>
    </rPh>
    <rPh sb="12" eb="13">
      <t>バン</t>
    </rPh>
    <phoneticPr fontId="1"/>
  </si>
  <si>
    <r>
      <rPr>
        <sz val="11"/>
        <rFont val="游ゴシック Medium"/>
        <family val="3"/>
        <charset val="128"/>
      </rPr>
      <t>豊島の坂</t>
    </r>
    <rPh sb="0" eb="2">
      <t>トシマ</t>
    </rPh>
    <rPh sb="3" eb="4">
      <t>サカ</t>
    </rPh>
    <phoneticPr fontId="1"/>
  </si>
  <si>
    <r>
      <rPr>
        <sz val="11"/>
        <rFont val="游ゴシック Medium"/>
        <family val="3"/>
        <charset val="128"/>
      </rPr>
      <t>豊島の散歩道</t>
    </r>
    <rPh sb="0" eb="2">
      <t>トシマ</t>
    </rPh>
    <rPh sb="3" eb="6">
      <t>サンポミチ</t>
    </rPh>
    <phoneticPr fontId="1"/>
  </si>
  <si>
    <r>
      <rPr>
        <u/>
        <sz val="11"/>
        <color indexed="12"/>
        <rFont val="游ゴシック Medium"/>
        <family val="3"/>
        <charset val="128"/>
      </rPr>
      <t>金沢・能登</t>
    </r>
    <r>
      <rPr>
        <u/>
        <sz val="11"/>
        <color indexed="12"/>
        <rFont val="Consolas"/>
        <family val="3"/>
      </rPr>
      <t xml:space="preserve"> </t>
    </r>
    <r>
      <rPr>
        <u/>
        <sz val="11"/>
        <color indexed="12"/>
        <rFont val="游ゴシック Medium"/>
        <family val="3"/>
        <charset val="128"/>
      </rPr>
      <t>マップル</t>
    </r>
    <r>
      <rPr>
        <u/>
        <sz val="11"/>
        <color indexed="12"/>
        <rFont val="Consolas"/>
        <family val="3"/>
      </rPr>
      <t xml:space="preserve"> Guide 5</t>
    </r>
    <rPh sb="0" eb="2">
      <t>カナザワ</t>
    </rPh>
    <rPh sb="3" eb="5">
      <t>ノト</t>
    </rPh>
    <rPh sb="11" eb="16">
      <t>ガイド</t>
    </rPh>
    <phoneticPr fontId="1"/>
  </si>
  <si>
    <r>
      <rPr>
        <sz val="11"/>
        <rFont val="游ゴシック Medium"/>
        <family val="3"/>
        <charset val="128"/>
      </rPr>
      <t>あるっく社</t>
    </r>
    <rPh sb="4" eb="5">
      <t>シャ</t>
    </rPh>
    <phoneticPr fontId="1"/>
  </si>
  <si>
    <r>
      <rPr>
        <sz val="11"/>
        <rFont val="游ゴシック Medium"/>
        <family val="3"/>
        <charset val="128"/>
      </rPr>
      <t>京都</t>
    </r>
    <r>
      <rPr>
        <sz val="11"/>
        <rFont val="Consolas"/>
        <family val="3"/>
      </rPr>
      <t xml:space="preserve"> </t>
    </r>
    <r>
      <rPr>
        <sz val="11"/>
        <rFont val="游ゴシック Medium"/>
        <family val="3"/>
        <charset val="128"/>
      </rPr>
      <t>歩く地図</t>
    </r>
    <r>
      <rPr>
        <sz val="11"/>
        <rFont val="Consolas"/>
        <family val="3"/>
      </rPr>
      <t xml:space="preserve"> S 18</t>
    </r>
    <rPh sb="0" eb="2">
      <t>キョウト</t>
    </rPh>
    <rPh sb="3" eb="4">
      <t>アル</t>
    </rPh>
    <rPh sb="5" eb="7">
      <t>チズ</t>
    </rPh>
    <phoneticPr fontId="1"/>
  </si>
  <si>
    <r>
      <rPr>
        <sz val="11"/>
        <rFont val="游ゴシック Medium"/>
        <family val="3"/>
        <charset val="128"/>
      </rPr>
      <t>山と渓谷社</t>
    </r>
    <rPh sb="0" eb="1">
      <t>ヤマ</t>
    </rPh>
    <rPh sb="2" eb="4">
      <t>ケイコク</t>
    </rPh>
    <rPh sb="4" eb="5">
      <t>シャ</t>
    </rPh>
    <phoneticPr fontId="1"/>
  </si>
  <si>
    <r>
      <t xml:space="preserve">Venaley-Les Laumes </t>
    </r>
    <r>
      <rPr>
        <sz val="11"/>
        <rFont val="游ゴシック Medium"/>
        <family val="3"/>
        <charset val="128"/>
      </rPr>
      <t>の</t>
    </r>
    <r>
      <rPr>
        <sz val="11"/>
        <rFont val="Consolas"/>
        <family val="3"/>
      </rPr>
      <t xml:space="preserve"> tourism</t>
    </r>
    <phoneticPr fontId="1"/>
  </si>
  <si>
    <r>
      <rPr>
        <sz val="11"/>
        <rFont val="游ゴシック Medium"/>
        <family val="3"/>
        <charset val="128"/>
      </rPr>
      <t>地図</t>
    </r>
    <rPh sb="0" eb="2">
      <t>チズ</t>
    </rPh>
    <phoneticPr fontId="1"/>
  </si>
  <si>
    <r>
      <t xml:space="preserve">Republic of Bulgaria / </t>
    </r>
    <r>
      <rPr>
        <sz val="11"/>
        <rFont val="游ゴシック Medium"/>
        <family val="3"/>
        <charset val="128"/>
      </rPr>
      <t>ブルガリア共和国</t>
    </r>
    <rPh sb="28" eb="31">
      <t>キョウワコク</t>
    </rPh>
    <phoneticPr fontId="1"/>
  </si>
  <si>
    <r>
      <t xml:space="preserve">The Bulgarian Holydays and Regional Cuisine / </t>
    </r>
    <r>
      <rPr>
        <sz val="11"/>
        <rFont val="游ゴシック Medium"/>
        <family val="3"/>
        <charset val="128"/>
      </rPr>
      <t>ブルガリアの祭事と地方料理</t>
    </r>
    <rPh sb="52" eb="54">
      <t>サイジ</t>
    </rPh>
    <rPh sb="55" eb="57">
      <t>チホウ</t>
    </rPh>
    <rPh sb="57" eb="59">
      <t>リョウリ</t>
    </rPh>
    <phoneticPr fontId="1"/>
  </si>
  <si>
    <r>
      <rPr>
        <sz val="11"/>
        <rFont val="游ゴシック Medium"/>
        <family val="3"/>
        <charset val="128"/>
      </rPr>
      <t>自由旅行の達人</t>
    </r>
    <rPh sb="0" eb="2">
      <t>ジユウ</t>
    </rPh>
    <rPh sb="2" eb="4">
      <t>リョコウ</t>
    </rPh>
    <rPh sb="5" eb="7">
      <t>タツジン</t>
    </rPh>
    <phoneticPr fontId="1"/>
  </si>
  <si>
    <r>
      <t>Thaii</t>
    </r>
    <r>
      <rPr>
        <sz val="11"/>
        <rFont val="游ゴシック Medium"/>
        <family val="3"/>
        <charset val="128"/>
      </rPr>
      <t>･</t>
    </r>
    <r>
      <rPr>
        <sz val="11"/>
        <rFont val="Consolas"/>
        <family val="3"/>
      </rPr>
      <t>Malaysia</t>
    </r>
    <rPh sb="0" eb="5">
      <t>タイ</t>
    </rPh>
    <rPh sb="6" eb="14">
      <t>マレーシア</t>
    </rPh>
    <phoneticPr fontId="1"/>
  </si>
  <si>
    <r>
      <t>Singapour</t>
    </r>
    <r>
      <rPr>
        <sz val="11"/>
        <rFont val="游ゴシック Medium"/>
        <family val="3"/>
        <charset val="128"/>
      </rPr>
      <t>･</t>
    </r>
    <r>
      <rPr>
        <sz val="11"/>
        <rFont val="Consolas"/>
        <family val="3"/>
      </rPr>
      <t>Bali</t>
    </r>
    <r>
      <rPr>
        <sz val="11"/>
        <rFont val="游ゴシック Medium"/>
        <family val="3"/>
        <charset val="128"/>
      </rPr>
      <t>島</t>
    </r>
    <rPh sb="0" eb="9">
      <t>シンガポール</t>
    </rPh>
    <rPh sb="10" eb="15">
      <t>バリトウ</t>
    </rPh>
    <phoneticPr fontId="1"/>
  </si>
  <si>
    <r>
      <rPr>
        <sz val="11"/>
        <rFont val="游ゴシック Medium"/>
        <family val="3"/>
        <charset val="128"/>
      </rPr>
      <t>個人旅行</t>
    </r>
    <r>
      <rPr>
        <sz val="11"/>
        <rFont val="Consolas"/>
        <family val="3"/>
      </rPr>
      <t>/20</t>
    </r>
    <rPh sb="0" eb="2">
      <t>コジン</t>
    </rPh>
    <rPh sb="2" eb="4">
      <t>リョコウ</t>
    </rPh>
    <phoneticPr fontId="1"/>
  </si>
  <si>
    <r>
      <rPr>
        <sz val="11"/>
        <rFont val="游ゴシック Medium"/>
        <family val="3"/>
        <charset val="128"/>
      </rPr>
      <t>エアリアガイド海外</t>
    </r>
    <r>
      <rPr>
        <sz val="11"/>
        <rFont val="Consolas"/>
        <family val="3"/>
      </rPr>
      <t>/22/Area Guide</t>
    </r>
    <rPh sb="7" eb="9">
      <t>カイガイ</t>
    </rPh>
    <phoneticPr fontId="1"/>
  </si>
  <si>
    <r>
      <rPr>
        <sz val="11"/>
        <rFont val="游ゴシック Medium"/>
        <family val="3"/>
        <charset val="128"/>
      </rPr>
      <t>芳林堂</t>
    </r>
    <rPh sb="0" eb="3">
      <t>ホウリンドウ</t>
    </rPh>
    <phoneticPr fontId="1"/>
  </si>
  <si>
    <r>
      <t>EURO-ROAD ATLAS 1:300,000/</t>
    </r>
    <r>
      <rPr>
        <sz val="11"/>
        <rFont val="游ゴシック Medium"/>
        <family val="3"/>
        <charset val="128"/>
      </rPr>
      <t>洋書</t>
    </r>
    <rPh sb="26" eb="28">
      <t>ヨウショ</t>
    </rPh>
    <phoneticPr fontId="1"/>
  </si>
  <si>
    <r>
      <t>JTB</t>
    </r>
    <r>
      <rPr>
        <sz val="11"/>
        <rFont val="游ゴシック Medium"/>
        <family val="3"/>
        <charset val="128"/>
      </rPr>
      <t>のポケットガイド</t>
    </r>
    <r>
      <rPr>
        <sz val="11"/>
        <rFont val="Consolas"/>
        <family val="3"/>
      </rPr>
      <t>/142/JTB's Pochet Guide</t>
    </r>
    <phoneticPr fontId="1"/>
  </si>
  <si>
    <r>
      <t>12</t>
    </r>
    <r>
      <rPr>
        <sz val="11"/>
        <rFont val="游ゴシック Medium"/>
        <family val="3"/>
        <charset val="128"/>
      </rPr>
      <t>版</t>
    </r>
    <rPh sb="2" eb="3">
      <t>ハン</t>
    </rPh>
    <phoneticPr fontId="1"/>
  </si>
  <si>
    <r>
      <rPr>
        <sz val="11"/>
        <rFont val="游ゴシック Medium"/>
        <family val="3"/>
        <charset val="128"/>
      </rPr>
      <t>地球の歩き方</t>
    </r>
    <r>
      <rPr>
        <sz val="11"/>
        <rFont val="Consolas"/>
        <family val="3"/>
      </rPr>
      <t xml:space="preserve"> BY TRAIN</t>
    </r>
    <rPh sb="0" eb="2">
      <t>チキュウ</t>
    </rPh>
    <rPh sb="3" eb="4">
      <t>アル</t>
    </rPh>
    <rPh sb="5" eb="6">
      <t>カタ</t>
    </rPh>
    <phoneticPr fontId="1"/>
  </si>
  <si>
    <r>
      <t>Travelling by Train/</t>
    </r>
    <r>
      <rPr>
        <sz val="11"/>
        <rFont val="游ゴシック Medium"/>
        <family val="3"/>
        <charset val="128"/>
      </rPr>
      <t>イタリア</t>
    </r>
    <r>
      <rPr>
        <sz val="11"/>
        <rFont val="Consolas"/>
        <family val="3"/>
      </rPr>
      <t xml:space="preserve"> </t>
    </r>
    <r>
      <rPr>
        <sz val="11"/>
        <rFont val="游ゴシック Medium"/>
        <family val="3"/>
        <charset val="128"/>
      </rPr>
      <t>鉄道の旅</t>
    </r>
    <rPh sb="25" eb="27">
      <t>テツドウ</t>
    </rPh>
    <rPh sb="28" eb="29">
      <t>タビ</t>
    </rPh>
    <phoneticPr fontId="1"/>
  </si>
  <si>
    <r>
      <rPr>
        <sz val="11"/>
        <rFont val="游ゴシック Medium"/>
        <family val="3"/>
        <charset val="128"/>
      </rPr>
      <t>ダイヤモンド社</t>
    </r>
    <r>
      <rPr>
        <sz val="11"/>
        <rFont val="Consolas"/>
        <family val="3"/>
      </rPr>
      <t>/</t>
    </r>
    <r>
      <rPr>
        <sz val="11"/>
        <rFont val="游ゴシック Medium"/>
        <family val="3"/>
        <charset val="128"/>
      </rPr>
      <t>ダイヤモンド・ビッグ社</t>
    </r>
    <rPh sb="6" eb="7">
      <t>シャ</t>
    </rPh>
    <rPh sb="18" eb="19">
      <t>シャ</t>
    </rPh>
    <phoneticPr fontId="1"/>
  </si>
  <si>
    <r>
      <t>Libro</t>
    </r>
    <r>
      <rPr>
        <sz val="11"/>
        <rFont val="游ゴシック Medium"/>
        <family val="3"/>
        <charset val="128"/>
      </rPr>
      <t>東池袋店</t>
    </r>
    <rPh sb="0" eb="5">
      <t>リブロ</t>
    </rPh>
    <rPh sb="5" eb="8">
      <t>ヒガシイケブクロ</t>
    </rPh>
    <rPh sb="8" eb="9">
      <t>テン</t>
    </rPh>
    <phoneticPr fontId="1"/>
  </si>
  <si>
    <r>
      <rPr>
        <sz val="11"/>
        <rFont val="游ゴシック Medium"/>
        <family val="3"/>
        <charset val="128"/>
      </rPr>
      <t>地球の歩き方</t>
    </r>
    <rPh sb="0" eb="2">
      <t>チキュウ</t>
    </rPh>
    <rPh sb="3" eb="4">
      <t>アル</t>
    </rPh>
    <rPh sb="5" eb="6">
      <t>カタ</t>
    </rPh>
    <phoneticPr fontId="1"/>
  </si>
  <si>
    <r>
      <rPr>
        <sz val="11"/>
        <rFont val="游ゴシック Medium"/>
        <family val="3"/>
        <charset val="128"/>
      </rPr>
      <t>イタリア</t>
    </r>
    <phoneticPr fontId="1"/>
  </si>
  <si>
    <r>
      <rPr>
        <sz val="11"/>
        <rFont val="游ゴシック Medium"/>
        <family val="3"/>
        <charset val="128"/>
      </rPr>
      <t>ぴあ</t>
    </r>
    <r>
      <rPr>
        <sz val="11"/>
        <rFont val="Consolas"/>
        <family val="3"/>
      </rPr>
      <t>map Hawaii</t>
    </r>
    <rPh sb="2" eb="5">
      <t>マップ</t>
    </rPh>
    <rPh sb="6" eb="12">
      <t>ハワイ</t>
    </rPh>
    <phoneticPr fontId="1"/>
  </si>
  <si>
    <r>
      <t>map</t>
    </r>
    <r>
      <rPr>
        <sz val="11"/>
        <rFont val="游ゴシック Medium"/>
        <family val="3"/>
        <charset val="128"/>
      </rPr>
      <t>ちゃん</t>
    </r>
    <r>
      <rPr>
        <sz val="11"/>
        <rFont val="Consolas"/>
        <family val="3"/>
      </rPr>
      <t>Hawaii</t>
    </r>
    <rPh sb="0" eb="3">
      <t>マップ</t>
    </rPh>
    <rPh sb="6" eb="12">
      <t>ハワイ</t>
    </rPh>
    <phoneticPr fontId="1"/>
  </si>
  <si>
    <r>
      <rPr>
        <sz val="11"/>
        <rFont val="游ゴシック Medium"/>
        <family val="3"/>
        <charset val="128"/>
      </rPr>
      <t>トラベルパーツメニュー</t>
    </r>
    <phoneticPr fontId="1"/>
  </si>
  <si>
    <r>
      <rPr>
        <sz val="11"/>
        <rFont val="游ゴシック Medium"/>
        <family val="3"/>
        <charset val="128"/>
      </rPr>
      <t>世界のホテル料金表</t>
    </r>
    <r>
      <rPr>
        <sz val="11"/>
        <rFont val="Consolas"/>
        <family val="3"/>
      </rPr>
      <t>/</t>
    </r>
    <r>
      <rPr>
        <sz val="11"/>
        <rFont val="游ゴシック Medium"/>
        <family val="3"/>
        <charset val="128"/>
      </rPr>
      <t>ヨーロッパ</t>
    </r>
    <rPh sb="0" eb="2">
      <t>セカイ</t>
    </rPh>
    <rPh sb="6" eb="8">
      <t>リョウキン</t>
    </rPh>
    <rPh sb="8" eb="9">
      <t>ヒョウ</t>
    </rPh>
    <phoneticPr fontId="1"/>
  </si>
  <si>
    <r>
      <rPr>
        <sz val="11"/>
        <rFont val="游ゴシック Medium"/>
        <family val="3"/>
        <charset val="128"/>
      </rPr>
      <t>全国安い宿情報</t>
    </r>
    <rPh sb="0" eb="2">
      <t>ゼンコク</t>
    </rPh>
    <rPh sb="2" eb="3">
      <t>ヤス</t>
    </rPh>
    <rPh sb="4" eb="5">
      <t>ヤド</t>
    </rPh>
    <rPh sb="5" eb="7">
      <t>ジョウホウ</t>
    </rPh>
    <phoneticPr fontId="1"/>
  </si>
  <si>
    <r>
      <rPr>
        <sz val="11"/>
        <rFont val="游ゴシック Medium"/>
        <family val="3"/>
        <charset val="128"/>
      </rPr>
      <t>林檎</t>
    </r>
    <r>
      <rPr>
        <sz val="11"/>
        <rFont val="Consolas"/>
        <family val="3"/>
      </rPr>
      <t>Promotion/</t>
    </r>
    <r>
      <rPr>
        <sz val="11"/>
        <rFont val="游ゴシック Medium"/>
        <family val="3"/>
        <charset val="128"/>
      </rPr>
      <t>㈱</t>
    </r>
    <rPh sb="0" eb="2">
      <t>リンゴ</t>
    </rPh>
    <rPh sb="2" eb="11">
      <t>プロモーション</t>
    </rPh>
    <phoneticPr fontId="1"/>
  </si>
  <si>
    <r>
      <rPr>
        <strike/>
        <sz val="11"/>
        <rFont val="游ゴシック Medium"/>
        <family val="3"/>
        <charset val="128"/>
      </rPr>
      <t>ぴあ</t>
    </r>
    <r>
      <rPr>
        <strike/>
        <sz val="11"/>
        <rFont val="Consolas"/>
        <family val="3"/>
      </rPr>
      <t>map</t>
    </r>
    <r>
      <rPr>
        <strike/>
        <sz val="11"/>
        <rFont val="游ゴシック Medium"/>
        <family val="3"/>
        <charset val="128"/>
      </rPr>
      <t>遊園地</t>
    </r>
    <rPh sb="2" eb="5">
      <t>マップ</t>
    </rPh>
    <rPh sb="5" eb="8">
      <t>ユウエンチ</t>
    </rPh>
    <phoneticPr fontId="1"/>
  </si>
  <si>
    <r>
      <rPr>
        <strike/>
        <sz val="11"/>
        <rFont val="游ゴシック Medium"/>
        <family val="3"/>
        <charset val="128"/>
      </rPr>
      <t>ぴあ</t>
    </r>
    <r>
      <rPr>
        <strike/>
        <sz val="11"/>
        <rFont val="Consolas"/>
        <family val="3"/>
      </rPr>
      <t>map</t>
    </r>
    <r>
      <rPr>
        <strike/>
        <sz val="11"/>
        <rFont val="游ゴシック Medium"/>
        <family val="3"/>
        <charset val="128"/>
      </rPr>
      <t>東京･神奈川･千葉･埼玉</t>
    </r>
    <r>
      <rPr>
        <strike/>
        <sz val="11"/>
        <rFont val="Consolas"/>
        <family val="3"/>
      </rPr>
      <t>2001-2002</t>
    </r>
    <rPh sb="2" eb="5">
      <t>マップ</t>
    </rPh>
    <rPh sb="5" eb="7">
      <t>トウキョウ</t>
    </rPh>
    <rPh sb="8" eb="11">
      <t>カナガワ</t>
    </rPh>
    <rPh sb="12" eb="14">
      <t>チバ</t>
    </rPh>
    <rPh sb="15" eb="17">
      <t>サイタマ</t>
    </rPh>
    <phoneticPr fontId="1"/>
  </si>
  <si>
    <r>
      <rPr>
        <strike/>
        <sz val="11"/>
        <rFont val="游ゴシック Medium"/>
        <family val="3"/>
        <charset val="128"/>
      </rPr>
      <t>ぴあ</t>
    </r>
    <r>
      <rPr>
        <strike/>
        <sz val="11"/>
        <rFont val="Consolas"/>
        <family val="3"/>
      </rPr>
      <t>map</t>
    </r>
    <r>
      <rPr>
        <strike/>
        <sz val="11"/>
        <rFont val="游ゴシック Medium"/>
        <family val="3"/>
        <charset val="128"/>
      </rPr>
      <t>シティ</t>
    </r>
    <r>
      <rPr>
        <strike/>
        <sz val="11"/>
        <rFont val="Consolas"/>
        <family val="3"/>
      </rPr>
      <t>Series</t>
    </r>
    <rPh sb="2" eb="5">
      <t>マップ</t>
    </rPh>
    <rPh sb="8" eb="14">
      <t>シリーズ</t>
    </rPh>
    <phoneticPr fontId="1"/>
  </si>
  <si>
    <r>
      <rPr>
        <strike/>
        <sz val="11"/>
        <rFont val="游ゴシック Medium"/>
        <family val="3"/>
        <charset val="128"/>
      </rPr>
      <t>ジュンク堂</t>
    </r>
    <rPh sb="4" eb="5">
      <t>ドウ</t>
    </rPh>
    <phoneticPr fontId="1"/>
  </si>
  <si>
    <r>
      <rPr>
        <strike/>
        <sz val="11"/>
        <rFont val="游ゴシック Medium"/>
        <family val="3"/>
        <charset val="128"/>
      </rPr>
      <t>ぴあ</t>
    </r>
    <r>
      <rPr>
        <strike/>
        <sz val="11"/>
        <rFont val="Consolas"/>
        <family val="3"/>
      </rPr>
      <t>map</t>
    </r>
    <r>
      <rPr>
        <strike/>
        <sz val="11"/>
        <rFont val="游ゴシック Medium"/>
        <family val="3"/>
        <charset val="128"/>
      </rPr>
      <t>東京｜横浜</t>
    </r>
    <r>
      <rPr>
        <strike/>
        <sz val="11"/>
        <rFont val="Consolas"/>
        <family val="3"/>
      </rPr>
      <t>1995</t>
    </r>
    <rPh sb="2" eb="5">
      <t>マップ</t>
    </rPh>
    <rPh sb="5" eb="7">
      <t>トウキョウ</t>
    </rPh>
    <rPh sb="8" eb="10">
      <t>ヨコハマ</t>
    </rPh>
    <phoneticPr fontId="1"/>
  </si>
  <si>
    <r>
      <rPr>
        <strike/>
        <sz val="11"/>
        <rFont val="游ゴシック Medium"/>
        <family val="3"/>
        <charset val="128"/>
      </rPr>
      <t>辞典</t>
    </r>
    <r>
      <rPr>
        <strike/>
        <sz val="11"/>
        <rFont val="Consolas"/>
        <family val="3"/>
      </rPr>
      <t>/</t>
    </r>
    <r>
      <rPr>
        <strike/>
        <sz val="11"/>
        <rFont val="游ゴシック Medium"/>
        <family val="3"/>
        <charset val="128"/>
      </rPr>
      <t>文庫</t>
    </r>
    <rPh sb="0" eb="2">
      <t>ジテン</t>
    </rPh>
    <rPh sb="3" eb="5">
      <t>ブンコ</t>
    </rPh>
    <phoneticPr fontId="1"/>
  </si>
  <si>
    <r>
      <rPr>
        <strike/>
        <sz val="11"/>
        <rFont val="游ゴシック Medium"/>
        <family val="3"/>
        <charset val="128"/>
      </rPr>
      <t>ぴあ</t>
    </r>
    <r>
      <rPr>
        <strike/>
        <sz val="11"/>
        <rFont val="Consolas"/>
        <family val="3"/>
      </rPr>
      <t>map</t>
    </r>
    <r>
      <rPr>
        <strike/>
        <sz val="11"/>
        <rFont val="游ゴシック Medium"/>
        <family val="3"/>
        <charset val="128"/>
      </rPr>
      <t>文庫</t>
    </r>
    <r>
      <rPr>
        <strike/>
        <sz val="11"/>
        <rFont val="Consolas"/>
        <family val="3"/>
      </rPr>
      <t>1995</t>
    </r>
    <rPh sb="2" eb="5">
      <t>マップ</t>
    </rPh>
    <rPh sb="5" eb="7">
      <t>ブンコ</t>
    </rPh>
    <phoneticPr fontId="1"/>
  </si>
  <si>
    <r>
      <rPr>
        <strike/>
        <sz val="11"/>
        <rFont val="游ゴシック Medium"/>
        <family val="3"/>
        <charset val="128"/>
      </rPr>
      <t>ぴあ</t>
    </r>
    <r>
      <rPr>
        <strike/>
        <sz val="11"/>
        <rFont val="Consolas"/>
        <family val="3"/>
      </rPr>
      <t>map</t>
    </r>
    <r>
      <rPr>
        <strike/>
        <sz val="11"/>
        <rFont val="游ゴシック Medium"/>
        <family val="3"/>
        <charset val="128"/>
      </rPr>
      <t>文庫</t>
    </r>
    <r>
      <rPr>
        <strike/>
        <sz val="11"/>
        <rFont val="Consolas"/>
        <family val="3"/>
      </rPr>
      <t xml:space="preserve"> </t>
    </r>
    <r>
      <rPr>
        <strike/>
        <sz val="11"/>
        <rFont val="游ゴシック Medium"/>
        <family val="3"/>
        <charset val="128"/>
      </rPr>
      <t>愛知</t>
    </r>
    <r>
      <rPr>
        <strike/>
        <sz val="11"/>
        <rFont val="Consolas"/>
        <family val="3"/>
      </rPr>
      <t>|</t>
    </r>
    <r>
      <rPr>
        <strike/>
        <sz val="11"/>
        <rFont val="游ゴシック Medium"/>
        <family val="3"/>
        <charset val="128"/>
      </rPr>
      <t>岐阜</t>
    </r>
    <r>
      <rPr>
        <strike/>
        <sz val="11"/>
        <rFont val="Consolas"/>
        <family val="3"/>
      </rPr>
      <t>|</t>
    </r>
    <r>
      <rPr>
        <strike/>
        <sz val="11"/>
        <rFont val="游ゴシック Medium"/>
        <family val="3"/>
        <charset val="128"/>
      </rPr>
      <t>三重</t>
    </r>
    <r>
      <rPr>
        <strike/>
        <sz val="11"/>
        <rFont val="Consolas"/>
        <family val="3"/>
      </rPr>
      <t xml:space="preserve"> 1996-1997</t>
    </r>
    <rPh sb="2" eb="5">
      <t>マップ</t>
    </rPh>
    <rPh sb="5" eb="7">
      <t>ブンコ</t>
    </rPh>
    <rPh sb="8" eb="10">
      <t>アイチ</t>
    </rPh>
    <rPh sb="11" eb="13">
      <t>ギフ</t>
    </rPh>
    <rPh sb="14" eb="16">
      <t>ミエ</t>
    </rPh>
    <phoneticPr fontId="1"/>
  </si>
  <si>
    <r>
      <rPr>
        <strike/>
        <sz val="11"/>
        <rFont val="游ゴシック Medium"/>
        <family val="3"/>
        <charset val="128"/>
      </rPr>
      <t>ぴあ</t>
    </r>
    <r>
      <rPr>
        <strike/>
        <sz val="11"/>
        <rFont val="Consolas"/>
        <family val="3"/>
      </rPr>
      <t>map</t>
    </r>
    <r>
      <rPr>
        <strike/>
        <sz val="11"/>
        <rFont val="游ゴシック Medium"/>
        <family val="3"/>
        <charset val="128"/>
      </rPr>
      <t>グルメ文庫</t>
    </r>
    <r>
      <rPr>
        <strike/>
        <sz val="11"/>
        <rFont val="Consolas"/>
        <family val="3"/>
      </rPr>
      <t>1991</t>
    </r>
    <rPh sb="2" eb="5">
      <t>マップ</t>
    </rPh>
    <rPh sb="8" eb="10">
      <t>ブンコ</t>
    </rPh>
    <phoneticPr fontId="1"/>
  </si>
  <si>
    <r>
      <rPr>
        <sz val="11"/>
        <rFont val="游ゴシック Medium"/>
        <family val="3"/>
        <charset val="128"/>
      </rPr>
      <t>辞典</t>
    </r>
    <r>
      <rPr>
        <sz val="11"/>
        <rFont val="Consolas"/>
        <family val="3"/>
      </rPr>
      <t/>
    </r>
    <rPh sb="0" eb="2">
      <t>ジテン</t>
    </rPh>
    <phoneticPr fontId="1"/>
  </si>
  <si>
    <r>
      <rPr>
        <sz val="11"/>
        <rFont val="游ゴシック Medium"/>
        <family val="3"/>
        <charset val="128"/>
      </rPr>
      <t>奈良おさんぽマップ</t>
    </r>
    <rPh sb="0" eb="2">
      <t>ナラ</t>
    </rPh>
    <phoneticPr fontId="1"/>
  </si>
  <si>
    <r>
      <rPr>
        <sz val="11"/>
        <rFont val="游ゴシック Medium"/>
        <family val="3"/>
        <charset val="128"/>
      </rPr>
      <t>ブルーガイド・ムック</t>
    </r>
    <phoneticPr fontId="1"/>
  </si>
  <si>
    <r>
      <rPr>
        <sz val="11"/>
        <rFont val="游ゴシック Medium"/>
        <family val="3"/>
        <charset val="128"/>
      </rPr>
      <t>実業之日本社</t>
    </r>
    <rPh sb="0" eb="6">
      <t>ジツギョウノニホンシャ</t>
    </rPh>
    <phoneticPr fontId="1"/>
  </si>
  <si>
    <r>
      <t xml:space="preserve">MILLION HANDY </t>
    </r>
    <r>
      <rPr>
        <sz val="11"/>
        <rFont val="游ゴシック Medium"/>
        <family val="3"/>
        <charset val="128"/>
      </rPr>
      <t>名古屋</t>
    </r>
    <rPh sb="0" eb="13">
      <t>ミリオン　ハンディ</t>
    </rPh>
    <rPh sb="14" eb="17">
      <t>ナゴヤ</t>
    </rPh>
    <phoneticPr fontId="1"/>
  </si>
  <si>
    <r>
      <rPr>
        <sz val="11"/>
        <rFont val="游ゴシック Medium"/>
        <family val="3"/>
        <charset val="128"/>
      </rPr>
      <t>東京地図出版</t>
    </r>
    <rPh sb="0" eb="2">
      <t>トウキョウ</t>
    </rPh>
    <rPh sb="2" eb="4">
      <t>チズ</t>
    </rPh>
    <rPh sb="4" eb="6">
      <t>シュッパン</t>
    </rPh>
    <phoneticPr fontId="1"/>
  </si>
  <si>
    <r>
      <rPr>
        <sz val="11"/>
        <rFont val="游ゴシック Medium"/>
        <family val="3"/>
        <charset val="128"/>
      </rPr>
      <t>文庫版</t>
    </r>
    <r>
      <rPr>
        <sz val="11"/>
        <rFont val="Consolas"/>
        <family val="3"/>
      </rPr>
      <t xml:space="preserve"> </t>
    </r>
    <r>
      <rPr>
        <sz val="11"/>
        <rFont val="游ゴシック Medium"/>
        <family val="3"/>
        <charset val="128"/>
      </rPr>
      <t>東京</t>
    </r>
    <r>
      <rPr>
        <sz val="11"/>
        <rFont val="Consolas"/>
        <family val="3"/>
      </rPr>
      <t xml:space="preserve"> </t>
    </r>
    <r>
      <rPr>
        <sz val="11"/>
        <rFont val="游ゴシック Medium"/>
        <family val="3"/>
        <charset val="128"/>
      </rPr>
      <t>都市図</t>
    </r>
    <rPh sb="0" eb="2">
      <t>ブンコ</t>
    </rPh>
    <rPh sb="2" eb="3">
      <t>バン</t>
    </rPh>
    <rPh sb="4" eb="6">
      <t>トウキョウ</t>
    </rPh>
    <rPh sb="7" eb="9">
      <t>トシ</t>
    </rPh>
    <rPh sb="9" eb="10">
      <t>ズ</t>
    </rPh>
    <phoneticPr fontId="1"/>
  </si>
  <si>
    <r>
      <rPr>
        <sz val="11"/>
        <rFont val="游ゴシック Medium"/>
        <family val="3"/>
        <charset val="128"/>
      </rPr>
      <t>エアリアマップ</t>
    </r>
    <r>
      <rPr>
        <sz val="11"/>
        <rFont val="Consolas"/>
        <family val="3"/>
      </rPr>
      <t>/SiMAP</t>
    </r>
    <rPh sb="8" eb="13">
      <t>サイマップ</t>
    </rPh>
    <phoneticPr fontId="1"/>
  </si>
  <si>
    <r>
      <rPr>
        <sz val="11"/>
        <rFont val="游ゴシック Medium"/>
        <family val="3"/>
        <charset val="128"/>
      </rPr>
      <t>首都圏</t>
    </r>
    <r>
      <rPr>
        <sz val="11"/>
        <rFont val="Consolas"/>
        <family val="3"/>
      </rPr>
      <t xml:space="preserve"> 1/3</t>
    </r>
    <r>
      <rPr>
        <sz val="11"/>
        <rFont val="游ゴシック Medium"/>
        <family val="3"/>
        <charset val="128"/>
      </rPr>
      <t>万</t>
    </r>
    <r>
      <rPr>
        <sz val="11"/>
        <rFont val="Consolas"/>
        <family val="3"/>
      </rPr>
      <t xml:space="preserve"> </t>
    </r>
    <r>
      <rPr>
        <sz val="11"/>
        <rFont val="游ゴシック Medium"/>
        <family val="3"/>
        <charset val="128"/>
      </rPr>
      <t>文庫版</t>
    </r>
    <r>
      <rPr>
        <sz val="11"/>
        <rFont val="Consolas"/>
        <family val="3"/>
      </rPr>
      <t xml:space="preserve"> </t>
    </r>
    <r>
      <rPr>
        <sz val="11"/>
        <rFont val="游ゴシック Medium"/>
        <family val="3"/>
        <charset val="128"/>
      </rPr>
      <t>東京・神奈川・千葉・埼玉</t>
    </r>
    <rPh sb="0" eb="3">
      <t>シュトケン</t>
    </rPh>
    <rPh sb="7" eb="8">
      <t>マン</t>
    </rPh>
    <rPh sb="9" eb="11">
      <t>ブンコ</t>
    </rPh>
    <rPh sb="11" eb="12">
      <t>バン</t>
    </rPh>
    <rPh sb="13" eb="15">
      <t>トウキョウ</t>
    </rPh>
    <rPh sb="16" eb="19">
      <t>カナガワ</t>
    </rPh>
    <rPh sb="20" eb="22">
      <t>チバ</t>
    </rPh>
    <rPh sb="23" eb="25">
      <t>サイタマ</t>
    </rPh>
    <phoneticPr fontId="1"/>
  </si>
  <si>
    <r>
      <t>1</t>
    </r>
    <r>
      <rPr>
        <sz val="11"/>
        <rFont val="游ゴシック Medium"/>
        <family val="3"/>
        <charset val="128"/>
      </rPr>
      <t>版</t>
    </r>
    <r>
      <rPr>
        <sz val="11"/>
        <rFont val="Consolas"/>
        <family val="3"/>
      </rPr>
      <t>12</t>
    </r>
    <r>
      <rPr>
        <sz val="11"/>
        <rFont val="游ゴシック Medium"/>
        <family val="3"/>
        <charset val="128"/>
      </rPr>
      <t>刷</t>
    </r>
    <r>
      <rPr>
        <sz val="11"/>
        <rFont val="Consolas"/>
        <family val="3"/>
      </rPr>
      <t>/</t>
    </r>
    <r>
      <rPr>
        <sz val="11"/>
        <rFont val="游ゴシック Medium"/>
        <family val="3"/>
        <charset val="128"/>
      </rPr>
      <t>エアリアマップ</t>
    </r>
    <r>
      <rPr>
        <sz val="11"/>
        <rFont val="Consolas"/>
        <family val="3"/>
      </rPr>
      <t>/SiMAP</t>
    </r>
    <rPh sb="1" eb="2">
      <t>パン</t>
    </rPh>
    <rPh sb="4" eb="5">
      <t>サツ</t>
    </rPh>
    <rPh sb="14" eb="19">
      <t>サイマップ</t>
    </rPh>
    <phoneticPr fontId="1"/>
  </si>
  <si>
    <r>
      <t>Turkey/Andalousie</t>
    </r>
    <r>
      <rPr>
        <sz val="11"/>
        <rFont val="游ゴシック Medium"/>
        <family val="3"/>
        <charset val="128"/>
      </rPr>
      <t>と地中海沿岸地域</t>
    </r>
    <rPh sb="0" eb="6">
      <t>トルコ</t>
    </rPh>
    <rPh sb="7" eb="17">
      <t>アンダルシア</t>
    </rPh>
    <rPh sb="18" eb="23">
      <t>チチュウカイエンガン</t>
    </rPh>
    <rPh sb="23" eb="25">
      <t>チイキ</t>
    </rPh>
    <phoneticPr fontId="1"/>
  </si>
  <si>
    <r>
      <rPr>
        <sz val="11"/>
        <rFont val="游ゴシック Medium"/>
        <family val="3"/>
        <charset val="128"/>
      </rPr>
      <t>小倉百人一首</t>
    </r>
    <rPh sb="0" eb="2">
      <t>オグラ</t>
    </rPh>
    <rPh sb="2" eb="6">
      <t>ヒャクニンイッシュ</t>
    </rPh>
    <phoneticPr fontId="1"/>
  </si>
  <si>
    <r>
      <rPr>
        <sz val="11"/>
        <rFont val="游ゴシック Medium"/>
        <family val="3"/>
        <charset val="128"/>
      </rPr>
      <t>南風</t>
    </r>
    <r>
      <rPr>
        <sz val="11"/>
        <rFont val="Consolas"/>
        <family val="3"/>
      </rPr>
      <t xml:space="preserve"> </t>
    </r>
    <r>
      <rPr>
        <sz val="11"/>
        <rFont val="游ゴシック Medium"/>
        <family val="3"/>
        <charset val="128"/>
      </rPr>
      <t>椎</t>
    </r>
    <rPh sb="0" eb="2">
      <t>ハエ</t>
    </rPh>
    <rPh sb="3" eb="4">
      <t>シイ</t>
    </rPh>
    <phoneticPr fontId="1"/>
  </si>
  <si>
    <r>
      <rPr>
        <u/>
        <sz val="11"/>
        <color indexed="12"/>
        <rFont val="游ゴシック Medium"/>
        <family val="3"/>
        <charset val="128"/>
      </rPr>
      <t>町田志津子</t>
    </r>
    <rPh sb="0" eb="2">
      <t>マチダ</t>
    </rPh>
    <rPh sb="2" eb="4">
      <t>シヅ</t>
    </rPh>
    <rPh sb="4" eb="5">
      <t>コ</t>
    </rPh>
    <phoneticPr fontId="1"/>
  </si>
  <si>
    <r>
      <rPr>
        <b/>
        <u/>
        <sz val="11"/>
        <color indexed="12"/>
        <rFont val="游ゴシック Medium"/>
        <family val="3"/>
        <charset val="128"/>
      </rPr>
      <t>幽界通信</t>
    </r>
    <rPh sb="0" eb="2">
      <t>ユウカイ</t>
    </rPh>
    <rPh sb="2" eb="4">
      <t>ツウシン</t>
    </rPh>
    <phoneticPr fontId="1"/>
  </si>
  <si>
    <r>
      <rPr>
        <sz val="11"/>
        <rFont val="游ゴシック Medium"/>
        <family val="3"/>
        <charset val="128"/>
      </rPr>
      <t>時間社</t>
    </r>
    <rPh sb="0" eb="2">
      <t>ジカン</t>
    </rPh>
    <rPh sb="2" eb="3">
      <t>シャ</t>
    </rPh>
    <phoneticPr fontId="1"/>
  </si>
  <si>
    <r>
      <rPr>
        <u/>
        <sz val="11"/>
        <color indexed="12"/>
        <rFont val="游ゴシック Medium"/>
        <family val="3"/>
        <charset val="128"/>
      </rPr>
      <t>重い河</t>
    </r>
    <rPh sb="0" eb="1">
      <t>オモ</t>
    </rPh>
    <rPh sb="2" eb="3">
      <t>カワ</t>
    </rPh>
    <phoneticPr fontId="1"/>
  </si>
  <si>
    <r>
      <rPr>
        <u/>
        <sz val="11"/>
        <color indexed="12"/>
        <rFont val="游ゴシック Medium"/>
        <family val="3"/>
        <charset val="128"/>
      </rPr>
      <t>飛天</t>
    </r>
    <rPh sb="0" eb="2">
      <t>ヒテン</t>
    </rPh>
    <phoneticPr fontId="1"/>
  </si>
  <si>
    <r>
      <rPr>
        <u/>
        <sz val="11"/>
        <color indexed="12"/>
        <rFont val="游ゴシック Medium"/>
        <family val="3"/>
        <charset val="128"/>
      </rPr>
      <t>町田志津子詩集</t>
    </r>
    <rPh sb="0" eb="2">
      <t>マチダ</t>
    </rPh>
    <rPh sb="2" eb="5">
      <t>シヅコ</t>
    </rPh>
    <rPh sb="5" eb="7">
      <t>シシュウ</t>
    </rPh>
    <phoneticPr fontId="1"/>
  </si>
  <si>
    <r>
      <rPr>
        <u/>
        <sz val="11"/>
        <color indexed="12"/>
        <rFont val="游ゴシック Medium"/>
        <family val="3"/>
        <charset val="128"/>
      </rPr>
      <t>詩集･海峡</t>
    </r>
    <rPh sb="0" eb="2">
      <t>シシュウ</t>
    </rPh>
    <rPh sb="3" eb="5">
      <t>カイキョウ</t>
    </rPh>
    <phoneticPr fontId="1"/>
  </si>
  <si>
    <r>
      <rPr>
        <u/>
        <sz val="11"/>
        <color indexed="12"/>
        <rFont val="游ゴシック Medium"/>
        <family val="3"/>
        <charset val="128"/>
      </rPr>
      <t>随筆・海から海へ</t>
    </r>
    <rPh sb="0" eb="2">
      <t>ズイヒツ</t>
    </rPh>
    <rPh sb="3" eb="4">
      <t>ウミ</t>
    </rPh>
    <rPh sb="6" eb="7">
      <t>ウミ</t>
    </rPh>
    <phoneticPr fontId="1"/>
  </si>
  <si>
    <r>
      <rPr>
        <u/>
        <sz val="11"/>
        <color indexed="12"/>
        <rFont val="游ゴシック Medium"/>
        <family val="3"/>
        <charset val="128"/>
      </rPr>
      <t>ボスボラスのかもめ</t>
    </r>
    <phoneticPr fontId="1"/>
  </si>
  <si>
    <r>
      <rPr>
        <u/>
        <sz val="11"/>
        <color indexed="12"/>
        <rFont val="游ゴシック Medium"/>
        <family val="3"/>
        <charset val="128"/>
      </rPr>
      <t>短編集・梢からの声</t>
    </r>
    <rPh sb="0" eb="3">
      <t>タンペンシュウ</t>
    </rPh>
    <rPh sb="4" eb="5">
      <t>コズエ</t>
    </rPh>
    <rPh sb="8" eb="9">
      <t>コエ</t>
    </rPh>
    <phoneticPr fontId="1"/>
  </si>
  <si>
    <r>
      <rPr>
        <u/>
        <sz val="11"/>
        <color indexed="12"/>
        <rFont val="游ゴシック Medium"/>
        <family val="3"/>
        <charset val="128"/>
      </rPr>
      <t>瞬きのあいだに</t>
    </r>
    <rPh sb="0" eb="1">
      <t>マタタ</t>
    </rPh>
    <phoneticPr fontId="1"/>
  </si>
  <si>
    <r>
      <rPr>
        <u/>
        <sz val="11"/>
        <color indexed="12"/>
        <rFont val="游ゴシック Medium"/>
        <family val="3"/>
        <charset val="128"/>
      </rPr>
      <t>随想集・古いアルバムから</t>
    </r>
    <rPh sb="0" eb="3">
      <t>ズイソウシュウ</t>
    </rPh>
    <rPh sb="4" eb="5">
      <t>フル</t>
    </rPh>
    <phoneticPr fontId="1"/>
  </si>
  <si>
    <r>
      <rPr>
        <u/>
        <sz val="11"/>
        <color indexed="12"/>
        <rFont val="游ゴシック Medium"/>
        <family val="3"/>
        <charset val="128"/>
      </rPr>
      <t>潮の華</t>
    </r>
    <rPh sb="0" eb="1">
      <t>シオ</t>
    </rPh>
    <rPh sb="2" eb="3">
      <t>ハナ</t>
    </rPh>
    <phoneticPr fontId="1"/>
  </si>
  <si>
    <r>
      <rPr>
        <u/>
        <sz val="11"/>
        <color indexed="12"/>
        <rFont val="游ゴシック Medium"/>
        <family val="3"/>
        <charset val="128"/>
      </rPr>
      <t>雅歌</t>
    </r>
    <rPh sb="0" eb="2">
      <t>ガカ</t>
    </rPh>
    <phoneticPr fontId="1"/>
  </si>
  <si>
    <r>
      <rPr>
        <u/>
        <sz val="11"/>
        <color indexed="12"/>
        <rFont val="游ゴシック Medium"/>
        <family val="3"/>
        <charset val="128"/>
      </rPr>
      <t>作品リスト</t>
    </r>
    <rPh sb="0" eb="2">
      <t>サクヒン</t>
    </rPh>
    <phoneticPr fontId="1"/>
  </si>
  <si>
    <r>
      <rPr>
        <u/>
        <sz val="11"/>
        <color indexed="12"/>
        <rFont val="游ゴシック Medium"/>
        <family val="3"/>
        <charset val="128"/>
      </rPr>
      <t>町田志津子</t>
    </r>
    <r>
      <rPr>
        <u/>
        <sz val="11"/>
        <color indexed="12"/>
        <rFont val="Consolas"/>
        <family val="3"/>
      </rPr>
      <t>/</t>
    </r>
    <r>
      <rPr>
        <u/>
        <sz val="11"/>
        <color indexed="12"/>
        <rFont val="游ゴシック Medium"/>
        <family val="3"/>
        <charset val="128"/>
      </rPr>
      <t>他</t>
    </r>
    <rPh sb="0" eb="2">
      <t>マチダ</t>
    </rPh>
    <rPh sb="2" eb="4">
      <t>シヅ</t>
    </rPh>
    <rPh sb="4" eb="5">
      <t>コ</t>
    </rPh>
    <rPh sb="6" eb="7">
      <t>ホカ</t>
    </rPh>
    <phoneticPr fontId="1"/>
  </si>
  <si>
    <r>
      <rPr>
        <u/>
        <sz val="11"/>
        <color indexed="12"/>
        <rFont val="游ゴシック Medium"/>
        <family val="3"/>
        <charset val="128"/>
      </rPr>
      <t>女性詩</t>
    </r>
    <rPh sb="0" eb="2">
      <t>ジョセイ</t>
    </rPh>
    <rPh sb="2" eb="3">
      <t>シ</t>
    </rPh>
    <phoneticPr fontId="1"/>
  </si>
  <si>
    <r>
      <rPr>
        <sz val="11"/>
        <rFont val="游ゴシック Medium"/>
        <family val="3"/>
        <charset val="128"/>
      </rPr>
      <t>日本女詩人会</t>
    </r>
    <rPh sb="0" eb="2">
      <t>ニホン</t>
    </rPh>
    <rPh sb="2" eb="3">
      <t>オンナ</t>
    </rPh>
    <rPh sb="3" eb="5">
      <t>シジン</t>
    </rPh>
    <rPh sb="5" eb="6">
      <t>カイ</t>
    </rPh>
    <phoneticPr fontId="1"/>
  </si>
  <si>
    <r>
      <rPr>
        <u/>
        <sz val="11"/>
        <color indexed="12"/>
        <rFont val="游ゴシック Medium"/>
        <family val="3"/>
        <charset val="128"/>
      </rPr>
      <t>時間詩集</t>
    </r>
    <r>
      <rPr>
        <u/>
        <sz val="11"/>
        <color indexed="12"/>
        <rFont val="Consolas"/>
        <family val="3"/>
      </rPr>
      <t>/1950-1952</t>
    </r>
    <rPh sb="0" eb="2">
      <t>ジカン</t>
    </rPh>
    <rPh sb="2" eb="4">
      <t>シシュウ</t>
    </rPh>
    <phoneticPr fontId="1"/>
  </si>
  <si>
    <r>
      <rPr>
        <sz val="11"/>
        <rFont val="游ゴシック Medium"/>
        <family val="3"/>
        <charset val="128"/>
      </rPr>
      <t>飯島書店</t>
    </r>
    <rPh sb="0" eb="2">
      <t>イイジマ</t>
    </rPh>
    <rPh sb="2" eb="4">
      <t>ショテン</t>
    </rPh>
    <phoneticPr fontId="1"/>
  </si>
  <si>
    <r>
      <rPr>
        <sz val="11"/>
        <rFont val="游ゴシック Medium"/>
        <family val="3"/>
        <charset val="128"/>
      </rPr>
      <t>萩原恭次郎</t>
    </r>
    <rPh sb="0" eb="2">
      <t>ハギワラ</t>
    </rPh>
    <rPh sb="2" eb="5">
      <t>キョウジロウ</t>
    </rPh>
    <phoneticPr fontId="1"/>
  </si>
  <si>
    <r>
      <rPr>
        <sz val="11"/>
        <rFont val="游ゴシック Medium"/>
        <family val="3"/>
        <charset val="128"/>
      </rPr>
      <t>死刑宣告</t>
    </r>
    <rPh sb="0" eb="2">
      <t>シケイ</t>
    </rPh>
    <rPh sb="2" eb="4">
      <t>センコク</t>
    </rPh>
    <phoneticPr fontId="1"/>
  </si>
  <si>
    <r>
      <rPr>
        <sz val="11"/>
        <rFont val="游ゴシック Medium"/>
        <family val="3"/>
        <charset val="128"/>
      </rPr>
      <t>西脇順三郎</t>
    </r>
    <rPh sb="0" eb="2">
      <t>ニシワキ</t>
    </rPh>
    <rPh sb="2" eb="5">
      <t>ジュンザブロウ</t>
    </rPh>
    <phoneticPr fontId="1"/>
  </si>
  <si>
    <r>
      <rPr>
        <sz val="11"/>
        <rFont val="游ゴシック Medium"/>
        <family val="3"/>
        <charset val="128"/>
      </rPr>
      <t>復刻版・</t>
    </r>
    <r>
      <rPr>
        <sz val="11"/>
        <rFont val="Consolas"/>
        <family val="3"/>
      </rPr>
      <t>Ambarvalia</t>
    </r>
    <rPh sb="0" eb="2">
      <t>フッコク</t>
    </rPh>
    <rPh sb="2" eb="3">
      <t>バン</t>
    </rPh>
    <phoneticPr fontId="1"/>
  </si>
  <si>
    <r>
      <rPr>
        <sz val="11"/>
        <rFont val="游ゴシック Medium"/>
        <family val="3"/>
        <charset val="128"/>
      </rPr>
      <t>限定</t>
    </r>
    <r>
      <rPr>
        <sz val="11"/>
        <rFont val="Consolas"/>
        <family val="3"/>
      </rPr>
      <t>1000</t>
    </r>
    <r>
      <rPr>
        <sz val="11"/>
        <rFont val="游ゴシック Medium"/>
        <family val="3"/>
        <charset val="128"/>
      </rPr>
      <t>部</t>
    </r>
    <rPh sb="0" eb="2">
      <t>ゲンテイ</t>
    </rPh>
    <rPh sb="6" eb="7">
      <t>ブ</t>
    </rPh>
    <phoneticPr fontId="1"/>
  </si>
  <si>
    <r>
      <rPr>
        <sz val="11"/>
        <rFont val="游ゴシック Medium"/>
        <family val="3"/>
        <charset val="128"/>
      </rPr>
      <t>恒文社</t>
    </r>
    <rPh sb="0" eb="3">
      <t>コウブンシャ</t>
    </rPh>
    <phoneticPr fontId="1"/>
  </si>
  <si>
    <r>
      <rPr>
        <sz val="11"/>
        <rFont val="游ゴシック Medium"/>
        <family val="3"/>
        <charset val="128"/>
      </rPr>
      <t>那珂太郎･入沢康夫</t>
    </r>
    <rPh sb="0" eb="4">
      <t>ナカタロウ</t>
    </rPh>
    <phoneticPr fontId="1"/>
  </si>
  <si>
    <r>
      <rPr>
        <sz val="11"/>
        <rFont val="游ゴシック Medium"/>
        <family val="3"/>
        <charset val="128"/>
      </rPr>
      <t>重奏形式による詩の試み､相互改作</t>
    </r>
    <r>
      <rPr>
        <sz val="11"/>
        <rFont val="Consolas"/>
        <family val="3"/>
      </rPr>
      <t>/</t>
    </r>
    <r>
      <rPr>
        <sz val="11"/>
        <rFont val="游ゴシック Medium"/>
        <family val="3"/>
        <charset val="128"/>
      </rPr>
      <t>｢わが出雲｣｢はかた｣</t>
    </r>
    <rPh sb="0" eb="2">
      <t>ジュウソウ</t>
    </rPh>
    <rPh sb="2" eb="4">
      <t>ケイシキ</t>
    </rPh>
    <rPh sb="7" eb="8">
      <t>シ</t>
    </rPh>
    <rPh sb="9" eb="10">
      <t>ココロ</t>
    </rPh>
    <rPh sb="12" eb="14">
      <t>ソウゴ</t>
    </rPh>
    <rPh sb="14" eb="16">
      <t>カイサク</t>
    </rPh>
    <rPh sb="20" eb="22">
      <t>イズモ</t>
    </rPh>
    <phoneticPr fontId="1"/>
  </si>
  <si>
    <r>
      <rPr>
        <sz val="11"/>
        <rFont val="游ゴシック Medium"/>
        <family val="3"/>
        <charset val="128"/>
      </rPr>
      <t>書肆山田</t>
    </r>
    <rPh sb="0" eb="2">
      <t>ショシ</t>
    </rPh>
    <rPh sb="2" eb="4">
      <t>ヤマダ</t>
    </rPh>
    <phoneticPr fontId="1"/>
  </si>
  <si>
    <r>
      <rPr>
        <sz val="11"/>
        <rFont val="游ゴシック Medium"/>
        <family val="3"/>
        <charset val="128"/>
      </rPr>
      <t>塚本邦雄</t>
    </r>
    <rPh sb="0" eb="2">
      <t>ツカモト</t>
    </rPh>
    <rPh sb="2" eb="4">
      <t>クニオ</t>
    </rPh>
    <phoneticPr fontId="1"/>
  </si>
  <si>
    <r>
      <rPr>
        <sz val="11"/>
        <rFont val="游ゴシック Medium"/>
        <family val="3"/>
        <charset val="128"/>
      </rPr>
      <t>加藤俊彦</t>
    </r>
    <rPh sb="0" eb="2">
      <t>カトウ</t>
    </rPh>
    <rPh sb="2" eb="4">
      <t>トシヒコ</t>
    </rPh>
    <phoneticPr fontId="1"/>
  </si>
  <si>
    <r>
      <rPr>
        <sz val="11"/>
        <rFont val="游ゴシック Medium"/>
        <family val="3"/>
        <charset val="128"/>
      </rPr>
      <t>魔笛</t>
    </r>
    <rPh sb="0" eb="2">
      <t>マテキ</t>
    </rPh>
    <phoneticPr fontId="1"/>
  </si>
  <si>
    <r>
      <rPr>
        <sz val="11"/>
        <rFont val="游ゴシック Medium"/>
        <family val="3"/>
        <charset val="128"/>
      </rPr>
      <t>谺</t>
    </r>
    <r>
      <rPr>
        <sz val="11"/>
        <rFont val="Consolas"/>
        <family val="3"/>
      </rPr>
      <t xml:space="preserve"> </t>
    </r>
    <r>
      <rPr>
        <sz val="11"/>
        <rFont val="游ゴシック Medium"/>
        <family val="3"/>
        <charset val="128"/>
      </rPr>
      <t>雄二</t>
    </r>
    <rPh sb="0" eb="1">
      <t>コダマ</t>
    </rPh>
    <rPh sb="2" eb="4">
      <t>ユウジ</t>
    </rPh>
    <phoneticPr fontId="1"/>
  </si>
  <si>
    <r>
      <rPr>
        <sz val="11"/>
        <rFont val="游ゴシック Medium"/>
        <family val="3"/>
        <charset val="128"/>
      </rPr>
      <t>趙</t>
    </r>
    <r>
      <rPr>
        <sz val="11"/>
        <rFont val="Consolas"/>
        <family val="3"/>
      </rPr>
      <t xml:space="preserve"> </t>
    </r>
    <r>
      <rPr>
        <sz val="11"/>
        <rFont val="游ゴシック Medium"/>
        <family val="3"/>
        <charset val="128"/>
      </rPr>
      <t>根在</t>
    </r>
    <rPh sb="0" eb="1">
      <t>チョウ</t>
    </rPh>
    <rPh sb="2" eb="4">
      <t>クンジェ</t>
    </rPh>
    <phoneticPr fontId="1"/>
  </si>
  <si>
    <r>
      <rPr>
        <sz val="11"/>
        <rFont val="游ゴシック Medium"/>
        <family val="3"/>
        <charset val="128"/>
      </rPr>
      <t>ライは長い旅だから</t>
    </r>
    <rPh sb="3" eb="4">
      <t>ナガ</t>
    </rPh>
    <rPh sb="5" eb="6">
      <t>タビ</t>
    </rPh>
    <phoneticPr fontId="1"/>
  </si>
  <si>
    <r>
      <rPr>
        <sz val="11"/>
        <rFont val="游ゴシック Medium"/>
        <family val="3"/>
        <charset val="128"/>
      </rPr>
      <t>皓星社</t>
    </r>
    <rPh sb="0" eb="3">
      <t>コウセイシャ</t>
    </rPh>
    <phoneticPr fontId="1"/>
  </si>
  <si>
    <r>
      <rPr>
        <b/>
        <sz val="11"/>
        <color indexed="33"/>
        <rFont val="游ゴシック Medium"/>
        <family val="3"/>
        <charset val="128"/>
      </rPr>
      <t>日本のダダ</t>
    </r>
    <rPh sb="0" eb="2">
      <t>ニホン</t>
    </rPh>
    <phoneticPr fontId="1"/>
  </si>
  <si>
    <r>
      <rPr>
        <strike/>
        <sz val="11"/>
        <rFont val="游ゴシック Medium"/>
        <family val="3"/>
        <charset val="128"/>
      </rPr>
      <t>高橋新吉</t>
    </r>
    <rPh sb="0" eb="2">
      <t>タカハシ</t>
    </rPh>
    <rPh sb="2" eb="4">
      <t>シンキチ</t>
    </rPh>
    <phoneticPr fontId="1"/>
  </si>
  <si>
    <r>
      <rPr>
        <strike/>
        <sz val="11"/>
        <rFont val="游ゴシック Medium"/>
        <family val="3"/>
        <charset val="128"/>
      </rPr>
      <t>女釣り</t>
    </r>
    <r>
      <rPr>
        <strike/>
        <sz val="11"/>
        <rFont val="Consolas"/>
        <family val="3"/>
      </rPr>
      <t xml:space="preserve"> </t>
    </r>
    <r>
      <rPr>
        <strike/>
        <sz val="11"/>
        <rFont val="游ゴシック Medium"/>
        <family val="3"/>
        <charset val="128"/>
      </rPr>
      <t>─</t>
    </r>
    <r>
      <rPr>
        <strike/>
        <sz val="11"/>
        <rFont val="Consolas"/>
        <family val="3"/>
      </rPr>
      <t xml:space="preserve"> </t>
    </r>
    <r>
      <rPr>
        <strike/>
        <sz val="11"/>
        <rFont val="游ゴシック Medium"/>
        <family val="3"/>
        <charset val="128"/>
      </rPr>
      <t>強盗亀のこと</t>
    </r>
    <r>
      <rPr>
        <strike/>
        <sz val="11"/>
        <rFont val="Consolas"/>
        <family val="3"/>
      </rPr>
      <t xml:space="preserve"> </t>
    </r>
    <r>
      <rPr>
        <strike/>
        <sz val="11"/>
        <rFont val="游ゴシック Medium"/>
        <family val="3"/>
        <charset val="128"/>
      </rPr>
      <t>─</t>
    </r>
    <rPh sb="0" eb="1">
      <t>オンナ</t>
    </rPh>
    <rPh sb="1" eb="2">
      <t>ツ</t>
    </rPh>
    <rPh sb="6" eb="8">
      <t>ゴウトウ</t>
    </rPh>
    <rPh sb="8" eb="9">
      <t>カメ</t>
    </rPh>
    <phoneticPr fontId="1"/>
  </si>
  <si>
    <r>
      <rPr>
        <strike/>
        <sz val="11"/>
        <rFont val="游ゴシック Medium"/>
        <family val="3"/>
        <charset val="128"/>
      </rPr>
      <t>古本</t>
    </r>
    <rPh sb="0" eb="2">
      <t>フルホン</t>
    </rPh>
    <phoneticPr fontId="1"/>
  </si>
  <si>
    <r>
      <rPr>
        <strike/>
        <sz val="11"/>
        <rFont val="游ゴシック Medium"/>
        <family val="3"/>
        <charset val="128"/>
      </rPr>
      <t>カス</t>
    </r>
    <phoneticPr fontId="1"/>
  </si>
  <si>
    <r>
      <rPr>
        <b/>
        <sz val="11"/>
        <color indexed="33"/>
        <rFont val="游ゴシック Medium"/>
        <family val="3"/>
        <charset val="128"/>
      </rPr>
      <t>那珂太郎</t>
    </r>
    <rPh sb="0" eb="2">
      <t>ナカ</t>
    </rPh>
    <rPh sb="2" eb="4">
      <t>タロウ</t>
    </rPh>
    <phoneticPr fontId="1"/>
  </si>
  <si>
    <r>
      <rPr>
        <sz val="11"/>
        <rFont val="游ゴシック Medium"/>
        <family val="3"/>
        <charset val="128"/>
      </rPr>
      <t>西脇順三郎･寺田</t>
    </r>
    <r>
      <rPr>
        <sz val="11"/>
        <rFont val="Consolas"/>
        <family val="3"/>
      </rPr>
      <t xml:space="preserve"> </t>
    </r>
    <r>
      <rPr>
        <sz val="11"/>
        <rFont val="游ゴシック Medium"/>
        <family val="3"/>
        <charset val="128"/>
      </rPr>
      <t>透･淸岡卓行･大岡</t>
    </r>
    <r>
      <rPr>
        <sz val="11"/>
        <rFont val="Consolas"/>
        <family val="3"/>
      </rPr>
      <t xml:space="preserve"> </t>
    </r>
    <r>
      <rPr>
        <sz val="11"/>
        <rFont val="游ゴシック Medium"/>
        <family val="3"/>
        <charset val="128"/>
      </rPr>
      <t>信･粟津則雄</t>
    </r>
    <rPh sb="0" eb="2">
      <t>ニシワキ</t>
    </rPh>
    <rPh sb="2" eb="5">
      <t>ジュンザブロウ</t>
    </rPh>
    <rPh sb="6" eb="8">
      <t>テラダ</t>
    </rPh>
    <rPh sb="9" eb="10">
      <t>トオル</t>
    </rPh>
    <rPh sb="11" eb="13">
      <t>キヨオカ</t>
    </rPh>
    <rPh sb="13" eb="15">
      <t>タクユキ</t>
    </rPh>
    <rPh sb="16" eb="18">
      <t>オオオカ</t>
    </rPh>
    <rPh sb="19" eb="20">
      <t>シン</t>
    </rPh>
    <rPh sb="21" eb="23">
      <t>アワツ</t>
    </rPh>
    <rPh sb="23" eb="25">
      <t>ノリオ</t>
    </rPh>
    <phoneticPr fontId="1"/>
  </si>
  <si>
    <r>
      <rPr>
        <sz val="11"/>
        <rFont val="游ゴシック Medium"/>
        <family val="3"/>
        <charset val="128"/>
      </rPr>
      <t>付録</t>
    </r>
    <r>
      <rPr>
        <sz val="11"/>
        <rFont val="Consolas"/>
        <family val="3"/>
      </rPr>
      <t>1978-7</t>
    </r>
    <rPh sb="0" eb="2">
      <t>フロク</t>
    </rPh>
    <phoneticPr fontId="1"/>
  </si>
  <si>
    <r>
      <rPr>
        <b/>
        <sz val="11"/>
        <color indexed="33"/>
        <rFont val="游ゴシック Medium"/>
        <family val="3"/>
        <charset val="128"/>
      </rPr>
      <t>那珂太郎</t>
    </r>
    <r>
      <rPr>
        <b/>
        <sz val="11"/>
        <color indexed="33"/>
        <rFont val="Consolas"/>
        <family val="3"/>
      </rPr>
      <t xml:space="preserve"> </t>
    </r>
    <r>
      <rPr>
        <b/>
        <sz val="11"/>
        <color indexed="33"/>
        <rFont val="游ゴシック Medium"/>
        <family val="3"/>
        <charset val="128"/>
      </rPr>
      <t>詩集</t>
    </r>
    <r>
      <rPr>
        <b/>
        <sz val="11"/>
        <color indexed="33"/>
        <rFont val="Consolas"/>
        <family val="3"/>
      </rPr>
      <t>/</t>
    </r>
    <r>
      <rPr>
        <b/>
        <sz val="11"/>
        <color indexed="33"/>
        <rFont val="游ゴシック Medium"/>
        <family val="3"/>
        <charset val="128"/>
      </rPr>
      <t>定本</t>
    </r>
    <rPh sb="0" eb="2">
      <t>ナカ</t>
    </rPh>
    <rPh sb="2" eb="4">
      <t>タロウ</t>
    </rPh>
    <rPh sb="5" eb="7">
      <t>シシュウ</t>
    </rPh>
    <rPh sb="8" eb="10">
      <t>テイホン</t>
    </rPh>
    <phoneticPr fontId="1"/>
  </si>
  <si>
    <r>
      <rPr>
        <sz val="11"/>
        <rFont val="游ゴシック Medium"/>
        <family val="3"/>
        <charset val="128"/>
      </rPr>
      <t>限定</t>
    </r>
    <r>
      <rPr>
        <sz val="11"/>
        <rFont val="Consolas"/>
        <family val="3"/>
      </rPr>
      <t>980</t>
    </r>
    <r>
      <rPr>
        <sz val="11"/>
        <rFont val="游ゴシック Medium"/>
        <family val="3"/>
        <charset val="128"/>
      </rPr>
      <t>部</t>
    </r>
    <r>
      <rPr>
        <sz val="11"/>
        <rFont val="Consolas"/>
        <family val="3"/>
      </rPr>
      <t>/</t>
    </r>
    <r>
      <rPr>
        <sz val="11"/>
        <rFont val="游ゴシック Medium"/>
        <family val="3"/>
        <charset val="128"/>
      </rPr>
      <t>うち</t>
    </r>
    <r>
      <rPr>
        <sz val="11"/>
        <rFont val="Consolas"/>
        <family val="3"/>
      </rPr>
      <t>799</t>
    </r>
    <r>
      <rPr>
        <sz val="11"/>
        <rFont val="游ゴシック Medium"/>
        <family val="3"/>
        <charset val="128"/>
      </rPr>
      <t>番</t>
    </r>
    <r>
      <rPr>
        <sz val="11"/>
        <rFont val="Consolas"/>
        <family val="3"/>
      </rPr>
      <t>/</t>
    </r>
    <r>
      <rPr>
        <sz val="11"/>
        <rFont val="游ゴシック Medium"/>
        <family val="3"/>
        <charset val="128"/>
      </rPr>
      <t>著者署名入り</t>
    </r>
    <rPh sb="0" eb="2">
      <t>ゲンテイ</t>
    </rPh>
    <rPh sb="5" eb="6">
      <t>ブ</t>
    </rPh>
    <rPh sb="12" eb="13">
      <t>バン</t>
    </rPh>
    <rPh sb="14" eb="16">
      <t>チョシャ</t>
    </rPh>
    <rPh sb="16" eb="18">
      <t>ショメイ</t>
    </rPh>
    <rPh sb="18" eb="19">
      <t>イ</t>
    </rPh>
    <phoneticPr fontId="1"/>
  </si>
  <si>
    <r>
      <rPr>
        <sz val="11"/>
        <rFont val="游ゴシック Medium"/>
        <family val="3"/>
        <charset val="128"/>
      </rPr>
      <t>小澤書店</t>
    </r>
    <rPh sb="0" eb="2">
      <t>オザワ</t>
    </rPh>
    <rPh sb="2" eb="4">
      <t>ショテン</t>
    </rPh>
    <phoneticPr fontId="1"/>
  </si>
  <si>
    <r>
      <t>ancient/</t>
    </r>
    <r>
      <rPr>
        <sz val="11"/>
        <rFont val="游ゴシック Medium"/>
        <family val="3"/>
        <charset val="128"/>
      </rPr>
      <t>散文</t>
    </r>
    <rPh sb="8" eb="10">
      <t>サンブン</t>
    </rPh>
    <phoneticPr fontId="1"/>
  </si>
  <si>
    <r>
      <rPr>
        <sz val="11"/>
        <rFont val="游ゴシック Medium"/>
        <family val="3"/>
        <charset val="128"/>
      </rPr>
      <t>兼好法師</t>
    </r>
    <r>
      <rPr>
        <sz val="11"/>
        <rFont val="Consolas"/>
        <family val="3"/>
      </rPr>
      <t>,</t>
    </r>
    <r>
      <rPr>
        <sz val="11"/>
        <rFont val="游ゴシック Medium"/>
        <family val="3"/>
        <charset val="128"/>
      </rPr>
      <t>吉田</t>
    </r>
    <rPh sb="0" eb="2">
      <t>ケンコウ</t>
    </rPh>
    <rPh sb="2" eb="4">
      <t>ホウシ</t>
    </rPh>
    <rPh sb="5" eb="7">
      <t>ヨシダ</t>
    </rPh>
    <phoneticPr fontId="1"/>
  </si>
  <si>
    <r>
      <rPr>
        <sz val="11"/>
        <rFont val="游ゴシック Medium"/>
        <family val="3"/>
        <charset val="128"/>
      </rPr>
      <t>木藤才蔵</t>
    </r>
    <rPh sb="0" eb="2">
      <t>キドウ</t>
    </rPh>
    <rPh sb="2" eb="4">
      <t>サイゾウ</t>
    </rPh>
    <phoneticPr fontId="1"/>
  </si>
  <si>
    <r>
      <rPr>
        <sz val="11"/>
        <rFont val="游ゴシック Medium"/>
        <family val="3"/>
        <charset val="128"/>
      </rPr>
      <t>校注</t>
    </r>
    <rPh sb="0" eb="2">
      <t>コウチュウ</t>
    </rPh>
    <phoneticPr fontId="1"/>
  </si>
  <si>
    <r>
      <rPr>
        <sz val="11"/>
        <rFont val="游ゴシック Medium"/>
        <family val="3"/>
        <charset val="128"/>
      </rPr>
      <t>徒然草</t>
    </r>
    <rPh sb="0" eb="3">
      <t>ツレヅレグサ</t>
    </rPh>
    <phoneticPr fontId="1"/>
  </si>
  <si>
    <r>
      <rPr>
        <sz val="11"/>
        <rFont val="游ゴシック Medium"/>
        <family val="3"/>
        <charset val="128"/>
      </rPr>
      <t>新潮日本古典集成</t>
    </r>
    <r>
      <rPr>
        <sz val="11"/>
        <rFont val="Consolas"/>
        <family val="3"/>
      </rPr>
      <t>/10/</t>
    </r>
    <r>
      <rPr>
        <sz val="11"/>
        <rFont val="游ゴシック Medium"/>
        <family val="3"/>
        <charset val="128"/>
      </rPr>
      <t>創立八十年記念出版</t>
    </r>
    <rPh sb="0" eb="2">
      <t>シンチョウ</t>
    </rPh>
    <rPh sb="2" eb="4">
      <t>ニホン</t>
    </rPh>
    <rPh sb="4" eb="6">
      <t>コテン</t>
    </rPh>
    <rPh sb="6" eb="8">
      <t>シュウセイ</t>
    </rPh>
    <rPh sb="12" eb="14">
      <t>ソウリツ</t>
    </rPh>
    <rPh sb="14" eb="17">
      <t>ハチジュウネン</t>
    </rPh>
    <rPh sb="17" eb="21">
      <t>キネンシュッパン</t>
    </rPh>
    <phoneticPr fontId="1"/>
  </si>
  <si>
    <r>
      <rPr>
        <sz val="11"/>
        <rFont val="游ゴシック Medium"/>
        <family val="3"/>
        <charset val="128"/>
      </rPr>
      <t>桜井勝美</t>
    </r>
    <rPh sb="0" eb="2">
      <t>サクライ</t>
    </rPh>
    <rPh sb="2" eb="4">
      <t>カツミ</t>
    </rPh>
    <phoneticPr fontId="1"/>
  </si>
  <si>
    <r>
      <rPr>
        <sz val="11"/>
        <rFont val="游ゴシック Medium"/>
        <family val="3"/>
        <charset val="128"/>
      </rPr>
      <t>北川冬彦</t>
    </r>
    <rPh sb="0" eb="2">
      <t>キタガワ</t>
    </rPh>
    <rPh sb="2" eb="4">
      <t>フユヒコ</t>
    </rPh>
    <phoneticPr fontId="1"/>
  </si>
  <si>
    <r>
      <rPr>
        <sz val="11"/>
        <rFont val="游ゴシック Medium"/>
        <family val="3"/>
        <charset val="128"/>
      </rPr>
      <t>北川冬彦の世界</t>
    </r>
    <rPh sb="0" eb="4">
      <t>キタガワフユヒコ</t>
    </rPh>
    <rPh sb="5" eb="7">
      <t>セカイ</t>
    </rPh>
    <phoneticPr fontId="1"/>
  </si>
  <si>
    <r>
      <rPr>
        <sz val="11"/>
        <rFont val="游ゴシック Medium"/>
        <family val="3"/>
        <charset val="128"/>
      </rPr>
      <t>宝文館出版</t>
    </r>
    <rPh sb="0" eb="3">
      <t>ホウブンカン</t>
    </rPh>
    <rPh sb="3" eb="5">
      <t>シュッパン</t>
    </rPh>
    <phoneticPr fontId="1"/>
  </si>
  <si>
    <r>
      <t>*/</t>
    </r>
    <r>
      <rPr>
        <sz val="11"/>
        <rFont val="游ゴシック Medium"/>
        <family val="3"/>
        <charset val="128"/>
      </rPr>
      <t>清水書店</t>
    </r>
    <rPh sb="2" eb="4">
      <t>シミズ</t>
    </rPh>
    <rPh sb="4" eb="6">
      <t>ショテン</t>
    </rPh>
    <phoneticPr fontId="1"/>
  </si>
  <si>
    <r>
      <rPr>
        <sz val="11"/>
        <rFont val="游ゴシック Medium"/>
        <family val="3"/>
        <charset val="128"/>
      </rPr>
      <t>高橋新吉</t>
    </r>
    <rPh sb="0" eb="2">
      <t>タカハシ</t>
    </rPh>
    <rPh sb="2" eb="4">
      <t>シンキチ</t>
    </rPh>
    <phoneticPr fontId="1"/>
  </si>
  <si>
    <r>
      <rPr>
        <sz val="11"/>
        <rFont val="游ゴシック Medium"/>
        <family val="3"/>
        <charset val="128"/>
      </rPr>
      <t>參禪随筆</t>
    </r>
    <rPh sb="0" eb="2">
      <t>サンゼン</t>
    </rPh>
    <rPh sb="2" eb="4">
      <t>ズイヒツ</t>
    </rPh>
    <phoneticPr fontId="1"/>
  </si>
  <si>
    <r>
      <rPr>
        <sz val="11"/>
        <rFont val="游ゴシック Medium"/>
        <family val="3"/>
        <charset val="128"/>
      </rPr>
      <t>著者署名入り</t>
    </r>
    <rPh sb="0" eb="2">
      <t>チョシャ</t>
    </rPh>
    <rPh sb="2" eb="4">
      <t>ショメイ</t>
    </rPh>
    <rPh sb="4" eb="5">
      <t>イ</t>
    </rPh>
    <phoneticPr fontId="1"/>
  </si>
  <si>
    <r>
      <rPr>
        <sz val="11"/>
        <rFont val="游ゴシック Medium"/>
        <family val="3"/>
        <charset val="128"/>
      </rPr>
      <t>宝文館</t>
    </r>
    <rPh sb="0" eb="3">
      <t>ホウブンカン</t>
    </rPh>
    <phoneticPr fontId="1"/>
  </si>
  <si>
    <r>
      <rPr>
        <sz val="11"/>
        <rFont val="游ゴシック Medium"/>
        <family val="3"/>
        <charset val="128"/>
      </rPr>
      <t>伊藤比呂美</t>
    </r>
    <rPh sb="0" eb="2">
      <t>イトウ</t>
    </rPh>
    <rPh sb="2" eb="5">
      <t>ヒロミ</t>
    </rPh>
    <phoneticPr fontId="1"/>
  </si>
  <si>
    <r>
      <rPr>
        <sz val="11"/>
        <rFont val="游ゴシック Medium"/>
        <family val="3"/>
        <charset val="128"/>
      </rPr>
      <t>上野千鶴子</t>
    </r>
    <rPh sb="0" eb="2">
      <t>ウエノ</t>
    </rPh>
    <rPh sb="2" eb="5">
      <t>チヅコ</t>
    </rPh>
    <phoneticPr fontId="1"/>
  </si>
  <si>
    <r>
      <rPr>
        <sz val="11"/>
        <rFont val="游ゴシック Medium"/>
        <family val="3"/>
        <charset val="128"/>
      </rPr>
      <t>のろとさらわ</t>
    </r>
    <phoneticPr fontId="1"/>
  </si>
  <si>
    <r>
      <rPr>
        <sz val="11"/>
        <rFont val="游ゴシック Medium"/>
        <family val="3"/>
        <charset val="128"/>
      </rPr>
      <t>石内</t>
    </r>
    <r>
      <rPr>
        <sz val="11"/>
        <rFont val="Consolas"/>
        <family val="3"/>
      </rPr>
      <t xml:space="preserve"> </t>
    </r>
    <r>
      <rPr>
        <sz val="11"/>
        <rFont val="游ゴシック Medium"/>
        <family val="3"/>
        <charset val="128"/>
      </rPr>
      <t>都</t>
    </r>
    <rPh sb="0" eb="2">
      <t>イシウチ</t>
    </rPh>
    <rPh sb="3" eb="4">
      <t>ミヤコ</t>
    </rPh>
    <phoneticPr fontId="1"/>
  </si>
  <si>
    <r>
      <rPr>
        <sz val="11"/>
        <rFont val="游ゴシック Medium"/>
        <family val="3"/>
        <charset val="128"/>
      </rPr>
      <t>手･足･肉･体</t>
    </r>
    <r>
      <rPr>
        <sz val="11"/>
        <rFont val="Consolas"/>
        <family val="3"/>
      </rPr>
      <t>/Hiromi 1955</t>
    </r>
    <rPh sb="0" eb="1">
      <t>テ</t>
    </rPh>
    <rPh sb="2" eb="3">
      <t>アシ</t>
    </rPh>
    <rPh sb="4" eb="5">
      <t>ニク</t>
    </rPh>
    <rPh sb="6" eb="7">
      <t>カラダ</t>
    </rPh>
    <phoneticPr fontId="1"/>
  </si>
  <si>
    <r>
      <rPr>
        <sz val="11"/>
        <rFont val="游ゴシック Medium"/>
        <family val="3"/>
        <charset val="128"/>
      </rPr>
      <t>筑摩書房</t>
    </r>
    <rPh sb="0" eb="2">
      <t>チクマ</t>
    </rPh>
    <rPh sb="2" eb="4">
      <t>ショボウ</t>
    </rPh>
    <phoneticPr fontId="1"/>
  </si>
  <si>
    <r>
      <rPr>
        <sz val="11"/>
        <rFont val="游ゴシック Medium"/>
        <family val="3"/>
        <charset val="128"/>
      </rPr>
      <t>河原荒草</t>
    </r>
    <rPh sb="0" eb="2">
      <t>カワラ</t>
    </rPh>
    <rPh sb="2" eb="3">
      <t>アレ</t>
    </rPh>
    <rPh sb="3" eb="4">
      <t>クサ</t>
    </rPh>
    <phoneticPr fontId="1"/>
  </si>
  <si>
    <r>
      <rPr>
        <sz val="11"/>
        <rFont val="游ゴシック Medium"/>
        <family val="3"/>
        <charset val="128"/>
      </rPr>
      <t>村田兼一</t>
    </r>
    <rPh sb="0" eb="2">
      <t>ムラタ</t>
    </rPh>
    <rPh sb="2" eb="4">
      <t>ケンイチ</t>
    </rPh>
    <phoneticPr fontId="1"/>
  </si>
  <si>
    <r>
      <rPr>
        <sz val="11"/>
        <rFont val="游ゴシック Medium"/>
        <family val="3"/>
        <charset val="128"/>
      </rPr>
      <t>赤い魚</t>
    </r>
    <r>
      <rPr>
        <sz val="11"/>
        <rFont val="Consolas"/>
        <family val="3"/>
      </rPr>
      <t>/</t>
    </r>
    <r>
      <rPr>
        <sz val="11"/>
        <rFont val="游ゴシック Medium"/>
        <family val="3"/>
        <charset val="128"/>
      </rPr>
      <t>写真詩集</t>
    </r>
    <r>
      <rPr>
        <sz val="11"/>
        <rFont val="Consolas"/>
        <family val="3"/>
      </rPr>
      <t>/</t>
    </r>
    <r>
      <rPr>
        <sz val="11"/>
        <rFont val="游ゴシック Medium"/>
        <family val="3"/>
        <charset val="128"/>
      </rPr>
      <t>世紀末至上の</t>
    </r>
    <r>
      <rPr>
        <sz val="11"/>
        <rFont val="Consolas"/>
        <family val="3"/>
      </rPr>
      <t>Eroticism</t>
    </r>
    <rPh sb="0" eb="1">
      <t>アカ</t>
    </rPh>
    <rPh sb="2" eb="3">
      <t>サカナ</t>
    </rPh>
    <rPh sb="4" eb="6">
      <t>シャシン</t>
    </rPh>
    <rPh sb="6" eb="8">
      <t>シシュウ</t>
    </rPh>
    <rPh sb="9" eb="12">
      <t>セイキマツ</t>
    </rPh>
    <rPh sb="12" eb="14">
      <t>シジョウ</t>
    </rPh>
    <rPh sb="15" eb="24">
      <t>エロチシズム</t>
    </rPh>
    <phoneticPr fontId="1"/>
  </si>
  <si>
    <r>
      <rPr>
        <sz val="11"/>
        <rFont val="游ゴシック Medium"/>
        <family val="3"/>
        <charset val="128"/>
      </rPr>
      <t>成星出版</t>
    </r>
    <rPh sb="2" eb="4">
      <t>シュッパン</t>
    </rPh>
    <phoneticPr fontId="1"/>
  </si>
  <si>
    <r>
      <rPr>
        <sz val="11"/>
        <rFont val="游ゴシック Medium"/>
        <family val="3"/>
        <charset val="128"/>
      </rPr>
      <t>尾崎放哉</t>
    </r>
    <rPh sb="0" eb="2">
      <t>オザキ</t>
    </rPh>
    <rPh sb="2" eb="3">
      <t>ホウ</t>
    </rPh>
    <rPh sb="3" eb="4">
      <t>サイ</t>
    </rPh>
    <phoneticPr fontId="1"/>
  </si>
  <si>
    <r>
      <rPr>
        <sz val="11"/>
        <rFont val="游ゴシック Medium"/>
        <family val="3"/>
        <charset val="128"/>
      </rPr>
      <t>伊藤完吾・小玉石水</t>
    </r>
    <rPh sb="0" eb="2">
      <t>イトウ</t>
    </rPh>
    <rPh sb="2" eb="4">
      <t>カンゴ</t>
    </rPh>
    <rPh sb="5" eb="7">
      <t>コダマ</t>
    </rPh>
    <rPh sb="7" eb="9">
      <t>セキスイ</t>
    </rPh>
    <phoneticPr fontId="1"/>
  </si>
  <si>
    <r>
      <rPr>
        <sz val="11"/>
        <rFont val="游ゴシック Medium"/>
        <family val="3"/>
        <charset val="128"/>
      </rPr>
      <t>尾崎放哉</t>
    </r>
    <r>
      <rPr>
        <sz val="11"/>
        <rFont val="Consolas"/>
        <family val="3"/>
      </rPr>
      <t xml:space="preserve"> </t>
    </r>
    <r>
      <rPr>
        <sz val="11"/>
        <rFont val="游ゴシック Medium"/>
        <family val="3"/>
        <charset val="128"/>
      </rPr>
      <t>全句集</t>
    </r>
    <r>
      <rPr>
        <sz val="11"/>
        <rFont val="Consolas"/>
        <family val="3"/>
      </rPr>
      <t>&lt;</t>
    </r>
    <r>
      <rPr>
        <sz val="11"/>
        <rFont val="游ゴシック Medium"/>
        <family val="3"/>
        <charset val="128"/>
      </rPr>
      <t>決定版</t>
    </r>
    <r>
      <rPr>
        <sz val="11"/>
        <rFont val="Consolas"/>
        <family val="3"/>
      </rPr>
      <t>&gt;</t>
    </r>
    <rPh sb="0" eb="2">
      <t>オザキ</t>
    </rPh>
    <rPh sb="2" eb="3">
      <t>ホウ</t>
    </rPh>
    <rPh sb="3" eb="4">
      <t>サイ</t>
    </rPh>
    <rPh sb="5" eb="6">
      <t>ゼン</t>
    </rPh>
    <rPh sb="6" eb="8">
      <t>クシュウ</t>
    </rPh>
    <rPh sb="9" eb="11">
      <t>ケッテイ</t>
    </rPh>
    <rPh sb="11" eb="12">
      <t>バン</t>
    </rPh>
    <phoneticPr fontId="1"/>
  </si>
  <si>
    <r>
      <rPr>
        <sz val="11"/>
        <rFont val="游ゴシック Medium"/>
        <family val="3"/>
        <charset val="128"/>
      </rPr>
      <t>俳魔人の会</t>
    </r>
    <rPh sb="0" eb="3">
      <t>ハイマジン</t>
    </rPh>
    <rPh sb="4" eb="5">
      <t>カイ</t>
    </rPh>
    <phoneticPr fontId="1"/>
  </si>
  <si>
    <r>
      <rPr>
        <b/>
        <sz val="11"/>
        <color indexed="33"/>
        <rFont val="游ゴシック Medium"/>
        <family val="3"/>
        <charset val="128"/>
      </rPr>
      <t>悪魔の俳句辞典</t>
    </r>
    <rPh sb="0" eb="2">
      <t>アクマ</t>
    </rPh>
    <rPh sb="3" eb="5">
      <t>ハイク</t>
    </rPh>
    <rPh sb="5" eb="7">
      <t>ジテン</t>
    </rPh>
    <phoneticPr fontId="1"/>
  </si>
  <si>
    <r>
      <rPr>
        <sz val="11"/>
        <rFont val="游ゴシック Medium"/>
        <family val="3"/>
        <charset val="128"/>
      </rPr>
      <t>邑書林</t>
    </r>
    <rPh sb="0" eb="1">
      <t>ユウ</t>
    </rPh>
    <rPh sb="1" eb="2">
      <t>ショ</t>
    </rPh>
    <rPh sb="2" eb="3">
      <t>リン</t>
    </rPh>
    <phoneticPr fontId="1"/>
  </si>
  <si>
    <r>
      <rPr>
        <sz val="11"/>
        <rFont val="游ゴシック Medium"/>
        <family val="3"/>
        <charset val="128"/>
      </rPr>
      <t>金子みすゞ</t>
    </r>
    <rPh sb="0" eb="2">
      <t>カネコ</t>
    </rPh>
    <phoneticPr fontId="1"/>
  </si>
  <si>
    <r>
      <rPr>
        <sz val="11"/>
        <rFont val="游ゴシック Medium"/>
        <family val="3"/>
        <charset val="128"/>
      </rPr>
      <t>わたしと小鳥とすずと</t>
    </r>
    <r>
      <rPr>
        <sz val="11"/>
        <rFont val="Consolas"/>
        <family val="3"/>
      </rPr>
      <t>/</t>
    </r>
    <r>
      <rPr>
        <sz val="11"/>
        <rFont val="游ゴシック Medium"/>
        <family val="3"/>
        <charset val="128"/>
      </rPr>
      <t>金子みすゞ童謡集</t>
    </r>
    <rPh sb="4" eb="6">
      <t>コトリ</t>
    </rPh>
    <rPh sb="11" eb="13">
      <t>カネコ</t>
    </rPh>
    <rPh sb="16" eb="19">
      <t>ドウヨウシュウ</t>
    </rPh>
    <phoneticPr fontId="1"/>
  </si>
  <si>
    <r>
      <t>JULA</t>
    </r>
    <r>
      <rPr>
        <sz val="11"/>
        <rFont val="游ゴシック Medium"/>
        <family val="3"/>
        <charset val="128"/>
      </rPr>
      <t>出版局</t>
    </r>
    <rPh sb="4" eb="7">
      <t>シュッパンキョク</t>
    </rPh>
    <phoneticPr fontId="1"/>
  </si>
  <si>
    <r>
      <rPr>
        <sz val="11"/>
        <rFont val="游ゴシック Medium"/>
        <family val="3"/>
        <charset val="128"/>
      </rPr>
      <t>もうない。知らずに</t>
    </r>
    <r>
      <rPr>
        <sz val="11"/>
        <rFont val="Consolas"/>
        <family val="3"/>
      </rPr>
      <t xml:space="preserve"> Yoko</t>
    </r>
    <r>
      <rPr>
        <sz val="11"/>
        <rFont val="游ゴシック Medium"/>
        <family val="3"/>
        <charset val="128"/>
      </rPr>
      <t>、</t>
    </r>
    <r>
      <rPr>
        <sz val="11"/>
        <rFont val="Consolas"/>
        <family val="3"/>
      </rPr>
      <t xml:space="preserve">2005/11 </t>
    </r>
    <r>
      <rPr>
        <sz val="11"/>
        <rFont val="游ゴシック Medium"/>
        <family val="3"/>
        <charset val="128"/>
      </rPr>
      <t>に</t>
    </r>
    <r>
      <rPr>
        <sz val="11"/>
        <rFont val="Consolas"/>
        <family val="3"/>
      </rPr>
      <t xml:space="preserve"> \520 </t>
    </r>
    <r>
      <rPr>
        <sz val="11"/>
        <rFont val="游ゴシック Medium"/>
        <family val="3"/>
        <charset val="128"/>
      </rPr>
      <t>で往来座で購入</t>
    </r>
    <rPh sb="5" eb="6">
      <t>シ</t>
    </rPh>
    <rPh sb="31" eb="33">
      <t>オウライ</t>
    </rPh>
    <rPh sb="33" eb="34">
      <t>ザ</t>
    </rPh>
    <rPh sb="35" eb="37">
      <t>コウニュウ</t>
    </rPh>
    <phoneticPr fontId="1"/>
  </si>
  <si>
    <r>
      <rPr>
        <sz val="11"/>
        <rFont val="游ゴシック Medium"/>
        <family val="3"/>
        <charset val="128"/>
      </rPr>
      <t>西東三鬼</t>
    </r>
    <rPh sb="0" eb="2">
      <t>サイトウ</t>
    </rPh>
    <rPh sb="2" eb="4">
      <t>サンキ</t>
    </rPh>
    <phoneticPr fontId="1"/>
  </si>
  <si>
    <r>
      <rPr>
        <sz val="11"/>
        <rFont val="游ゴシック Medium"/>
        <family val="3"/>
        <charset val="128"/>
      </rPr>
      <t>西東三鬼の世界</t>
    </r>
    <rPh sb="0" eb="2">
      <t>サイトウ</t>
    </rPh>
    <rPh sb="2" eb="4">
      <t>サンキ</t>
    </rPh>
    <rPh sb="5" eb="7">
      <t>セカイ</t>
    </rPh>
    <phoneticPr fontId="1"/>
  </si>
  <si>
    <r>
      <rPr>
        <sz val="11"/>
        <rFont val="游ゴシック Medium"/>
        <family val="3"/>
        <charset val="128"/>
      </rPr>
      <t>俳句四季一月号増刊</t>
    </r>
    <r>
      <rPr>
        <sz val="11"/>
        <rFont val="Consolas"/>
        <family val="3"/>
      </rPr>
      <t>/</t>
    </r>
    <r>
      <rPr>
        <sz val="11"/>
        <rFont val="游ゴシック Medium"/>
        <family val="3"/>
        <charset val="128"/>
      </rPr>
      <t>保存版</t>
    </r>
    <rPh sb="0" eb="2">
      <t>ハイク</t>
    </rPh>
    <rPh sb="2" eb="4">
      <t>シキ</t>
    </rPh>
    <rPh sb="4" eb="7">
      <t>イチガツゴウ</t>
    </rPh>
    <rPh sb="7" eb="9">
      <t>ゾウカン</t>
    </rPh>
    <rPh sb="10" eb="13">
      <t>ホゾンバン</t>
    </rPh>
    <phoneticPr fontId="1"/>
  </si>
  <si>
    <r>
      <rPr>
        <sz val="11"/>
        <rFont val="游ゴシック Medium"/>
        <family val="3"/>
        <charset val="128"/>
      </rPr>
      <t>東京四季出版</t>
    </r>
    <rPh sb="0" eb="2">
      <t>トウキョウ</t>
    </rPh>
    <rPh sb="2" eb="4">
      <t>シキ</t>
    </rPh>
    <rPh sb="4" eb="6">
      <t>シュッパン</t>
    </rPh>
    <phoneticPr fontId="1"/>
  </si>
  <si>
    <r>
      <rPr>
        <sz val="11"/>
        <rFont val="游ゴシック Medium"/>
        <family val="3"/>
        <charset val="128"/>
      </rPr>
      <t>吉行エイスケ</t>
    </r>
    <rPh sb="0" eb="2">
      <t>ヨシユキ</t>
    </rPh>
    <phoneticPr fontId="1"/>
  </si>
  <si>
    <r>
      <rPr>
        <sz val="11"/>
        <rFont val="游ゴシック Medium"/>
        <family val="3"/>
        <charset val="128"/>
      </rPr>
      <t>吉行和子</t>
    </r>
    <rPh sb="0" eb="2">
      <t>ヨシユキ</t>
    </rPh>
    <rPh sb="2" eb="4">
      <t>カズコ</t>
    </rPh>
    <phoneticPr fontId="1"/>
  </si>
  <si>
    <r>
      <rPr>
        <sz val="11"/>
        <rFont val="游ゴシック Medium"/>
        <family val="3"/>
        <charset val="128"/>
      </rPr>
      <t>吉行エイスケとその時代</t>
    </r>
    <r>
      <rPr>
        <sz val="11"/>
        <rFont val="Consolas"/>
        <family val="3"/>
      </rPr>
      <t>/</t>
    </r>
    <r>
      <rPr>
        <sz val="11"/>
        <rFont val="游ゴシック Medium"/>
        <family val="3"/>
        <charset val="128"/>
      </rPr>
      <t>モダン都市の光と影</t>
    </r>
    <rPh sb="0" eb="2">
      <t>ヨシユキ</t>
    </rPh>
    <rPh sb="9" eb="11">
      <t>ジダイ</t>
    </rPh>
    <rPh sb="15" eb="17">
      <t>トシ</t>
    </rPh>
    <rPh sb="18" eb="19">
      <t>ヒカリ</t>
    </rPh>
    <rPh sb="20" eb="21">
      <t>カゲ</t>
    </rPh>
    <phoneticPr fontId="1"/>
  </si>
  <si>
    <r>
      <rPr>
        <sz val="11"/>
        <rFont val="游ゴシック Medium"/>
        <family val="3"/>
        <charset val="128"/>
      </rPr>
      <t>詩</t>
    </r>
    <r>
      <rPr>
        <sz val="11"/>
        <rFont val="Consolas"/>
        <family val="3"/>
      </rPr>
      <t>/</t>
    </r>
    <r>
      <rPr>
        <sz val="11"/>
        <rFont val="游ゴシック Medium"/>
        <family val="3"/>
        <charset val="128"/>
      </rPr>
      <t>雑誌</t>
    </r>
    <rPh sb="0" eb="1">
      <t>シ</t>
    </rPh>
    <rPh sb="2" eb="4">
      <t>ザッシ</t>
    </rPh>
    <phoneticPr fontId="1"/>
  </si>
  <si>
    <r>
      <rPr>
        <sz val="11"/>
        <rFont val="游ゴシック Medium"/>
        <family val="3"/>
        <charset val="128"/>
      </rPr>
      <t>山下</t>
    </r>
    <r>
      <rPr>
        <sz val="11"/>
        <rFont val="Consolas"/>
        <family val="3"/>
      </rPr>
      <t xml:space="preserve"> </t>
    </r>
    <r>
      <rPr>
        <sz val="11"/>
        <rFont val="游ゴシック Medium"/>
        <family val="3"/>
        <charset val="128"/>
      </rPr>
      <t>徹</t>
    </r>
    <r>
      <rPr>
        <sz val="11"/>
        <rFont val="Consolas"/>
        <family val="3"/>
      </rPr>
      <t>/</t>
    </r>
    <r>
      <rPr>
        <sz val="11"/>
        <rFont val="游ゴシック Medium"/>
        <family val="3"/>
        <charset val="128"/>
      </rPr>
      <t>野間</t>
    </r>
    <r>
      <rPr>
        <sz val="11"/>
        <rFont val="Consolas"/>
        <family val="3"/>
      </rPr>
      <t xml:space="preserve"> </t>
    </r>
    <r>
      <rPr>
        <sz val="11"/>
        <rFont val="游ゴシック Medium"/>
        <family val="3"/>
        <charset val="128"/>
      </rPr>
      <t>明子</t>
    </r>
    <r>
      <rPr>
        <sz val="11"/>
        <rFont val="Consolas"/>
        <family val="3"/>
      </rPr>
      <t>/</t>
    </r>
    <r>
      <rPr>
        <sz val="11"/>
        <rFont val="游ゴシック Medium"/>
        <family val="3"/>
        <charset val="128"/>
      </rPr>
      <t>榎本</t>
    </r>
    <r>
      <rPr>
        <sz val="11"/>
        <rFont val="Consolas"/>
        <family val="3"/>
      </rPr>
      <t xml:space="preserve"> </t>
    </r>
    <r>
      <rPr>
        <sz val="11"/>
        <rFont val="游ゴシック Medium"/>
        <family val="3"/>
        <charset val="128"/>
      </rPr>
      <t>三知子</t>
    </r>
    <r>
      <rPr>
        <sz val="11"/>
        <rFont val="Consolas"/>
        <family val="3"/>
      </rPr>
      <t>/</t>
    </r>
    <r>
      <rPr>
        <sz val="11"/>
        <rFont val="游ゴシック Medium"/>
        <family val="3"/>
        <charset val="128"/>
      </rPr>
      <t>スミレ</t>
    </r>
    <r>
      <rPr>
        <sz val="11"/>
        <rFont val="Consolas"/>
        <family val="3"/>
      </rPr>
      <t>/</t>
    </r>
    <r>
      <rPr>
        <sz val="11"/>
        <rFont val="游ゴシック Medium"/>
        <family val="3"/>
        <charset val="128"/>
      </rPr>
      <t>山中</t>
    </r>
    <r>
      <rPr>
        <sz val="11"/>
        <rFont val="Consolas"/>
        <family val="3"/>
      </rPr>
      <t xml:space="preserve"> </t>
    </r>
    <r>
      <rPr>
        <sz val="11"/>
        <rFont val="游ゴシック Medium"/>
        <family val="3"/>
        <charset val="128"/>
      </rPr>
      <t>従子</t>
    </r>
    <rPh sb="0" eb="2">
      <t>ヤマシタ</t>
    </rPh>
    <rPh sb="3" eb="4">
      <t>トオル</t>
    </rPh>
    <rPh sb="5" eb="7">
      <t>ノマ</t>
    </rPh>
    <rPh sb="8" eb="10">
      <t>ハルコ</t>
    </rPh>
    <rPh sb="11" eb="13">
      <t>エノモト</t>
    </rPh>
    <rPh sb="14" eb="17">
      <t>ミチコ</t>
    </rPh>
    <rPh sb="22" eb="24">
      <t>ヤマナカ</t>
    </rPh>
    <rPh sb="25" eb="27">
      <t>ヨリコ</t>
    </rPh>
    <phoneticPr fontId="1"/>
  </si>
  <si>
    <r>
      <rPr>
        <sz val="11"/>
        <rFont val="游ゴシック Medium"/>
        <family val="3"/>
        <charset val="128"/>
      </rPr>
      <t>芦屋芸術</t>
    </r>
    <r>
      <rPr>
        <sz val="11"/>
        <rFont val="Consolas"/>
        <family val="3"/>
      </rPr>
      <t xml:space="preserve"> 17</t>
    </r>
    <r>
      <rPr>
        <sz val="11"/>
        <rFont val="游ゴシック Medium"/>
        <family val="3"/>
        <charset val="128"/>
      </rPr>
      <t>号</t>
    </r>
    <rPh sb="0" eb="2">
      <t>アシヤ</t>
    </rPh>
    <rPh sb="2" eb="4">
      <t>ゲイジュツ</t>
    </rPh>
    <rPh sb="7" eb="8">
      <t>ゴウ</t>
    </rPh>
    <phoneticPr fontId="1"/>
  </si>
  <si>
    <r>
      <rPr>
        <sz val="11"/>
        <rFont val="游ゴシック Medium"/>
        <family val="3"/>
        <charset val="128"/>
      </rPr>
      <t>芦屋芸術</t>
    </r>
    <rPh sb="0" eb="2">
      <t>アシヤ</t>
    </rPh>
    <rPh sb="2" eb="4">
      <t>ゲイジュツ</t>
    </rPh>
    <phoneticPr fontId="1"/>
  </si>
  <si>
    <r>
      <rPr>
        <sz val="11"/>
        <rFont val="游ゴシック Medium"/>
        <family val="3"/>
        <charset val="128"/>
      </rPr>
      <t>野間</t>
    </r>
    <r>
      <rPr>
        <sz val="11"/>
        <rFont val="Consolas"/>
        <family val="3"/>
      </rPr>
      <t xml:space="preserve"> </t>
    </r>
    <r>
      <rPr>
        <sz val="11"/>
        <rFont val="游ゴシック Medium"/>
        <family val="3"/>
        <charset val="128"/>
      </rPr>
      <t>明子</t>
    </r>
    <r>
      <rPr>
        <sz val="11"/>
        <rFont val="Consolas"/>
        <family val="3"/>
      </rPr>
      <t xml:space="preserve"> </t>
    </r>
    <r>
      <rPr>
        <sz val="11"/>
        <rFont val="游ゴシック Medium"/>
        <family val="3"/>
        <charset val="128"/>
      </rPr>
      <t>から贈呈</t>
    </r>
    <rPh sb="0" eb="2">
      <t>ノマ</t>
    </rPh>
    <rPh sb="3" eb="5">
      <t>ハルコ</t>
    </rPh>
    <rPh sb="8" eb="10">
      <t>ゾウテイ</t>
    </rPh>
    <phoneticPr fontId="1"/>
  </si>
  <si>
    <r>
      <rPr>
        <sz val="11"/>
        <rFont val="游ゴシック Medium"/>
        <family val="3"/>
        <charset val="128"/>
      </rPr>
      <t>高島</t>
    </r>
    <r>
      <rPr>
        <sz val="11"/>
        <rFont val="Consolas"/>
        <family val="3"/>
      </rPr>
      <t xml:space="preserve"> </t>
    </r>
    <r>
      <rPr>
        <sz val="11"/>
        <rFont val="游ゴシック Medium"/>
        <family val="3"/>
        <charset val="128"/>
      </rPr>
      <t>誠</t>
    </r>
    <rPh sb="0" eb="2">
      <t>タカシマ</t>
    </rPh>
    <rPh sb="3" eb="4">
      <t>マコト</t>
    </rPh>
    <phoneticPr fontId="1"/>
  </si>
  <si>
    <r>
      <rPr>
        <sz val="11"/>
        <rFont val="游ゴシック Medium"/>
        <family val="3"/>
        <charset val="128"/>
      </rPr>
      <t>訳編</t>
    </r>
    <rPh sb="0" eb="1">
      <t>ヤク</t>
    </rPh>
    <rPh sb="1" eb="2">
      <t>ヘン</t>
    </rPh>
    <phoneticPr fontId="1"/>
  </si>
  <si>
    <r>
      <rPr>
        <sz val="11"/>
        <rFont val="游ゴシック Medium"/>
        <family val="3"/>
        <charset val="128"/>
      </rPr>
      <t>白いかたびら</t>
    </r>
    <r>
      <rPr>
        <sz val="11"/>
        <rFont val="Consolas"/>
        <family val="3"/>
      </rPr>
      <t>/Ginsberg</t>
    </r>
    <r>
      <rPr>
        <sz val="11"/>
        <rFont val="游ゴシック Medium"/>
        <family val="3"/>
        <charset val="128"/>
      </rPr>
      <t>詩集</t>
    </r>
    <r>
      <rPr>
        <sz val="11"/>
        <rFont val="Consolas"/>
        <family val="3"/>
      </rPr>
      <t>/White Shroud</t>
    </r>
    <rPh sb="0" eb="1">
      <t>シロ</t>
    </rPh>
    <rPh sb="7" eb="15">
      <t>ギンズバーグ</t>
    </rPh>
    <rPh sb="15" eb="17">
      <t>シシュウ</t>
    </rPh>
    <phoneticPr fontId="1"/>
  </si>
  <si>
    <r>
      <t>1991</t>
    </r>
    <r>
      <rPr>
        <sz val="11"/>
        <rFont val="游ゴシック Medium"/>
        <family val="3"/>
        <charset val="128"/>
      </rPr>
      <t>初版</t>
    </r>
    <rPh sb="4" eb="6">
      <t>ショハン</t>
    </rPh>
    <phoneticPr fontId="1"/>
  </si>
  <si>
    <r>
      <t>Comic</t>
    </r>
    <r>
      <rPr>
        <sz val="11"/>
        <rFont val="游ゴシック Medium"/>
        <family val="3"/>
        <charset val="128"/>
      </rPr>
      <t>カンカン</t>
    </r>
    <rPh sb="0" eb="5">
      <t>コミック</t>
    </rPh>
    <phoneticPr fontId="1"/>
  </si>
  <si>
    <r>
      <rPr>
        <sz val="11"/>
        <rFont val="游ゴシック Medium"/>
        <family val="3"/>
        <charset val="128"/>
      </rPr>
      <t>諏訪</t>
    </r>
    <r>
      <rPr>
        <sz val="11"/>
        <rFont val="Consolas"/>
        <family val="3"/>
      </rPr>
      <t xml:space="preserve"> </t>
    </r>
    <r>
      <rPr>
        <sz val="11"/>
        <rFont val="游ゴシック Medium"/>
        <family val="3"/>
        <charset val="128"/>
      </rPr>
      <t>優</t>
    </r>
    <rPh sb="0" eb="2">
      <t>スワ</t>
    </rPh>
    <rPh sb="3" eb="4">
      <t>ユウ</t>
    </rPh>
    <phoneticPr fontId="1"/>
  </si>
  <si>
    <r>
      <t>Ginsberg</t>
    </r>
    <r>
      <rPr>
        <sz val="11"/>
        <rFont val="游ゴシック Medium"/>
        <family val="3"/>
        <charset val="128"/>
      </rPr>
      <t>詩集</t>
    </r>
    <r>
      <rPr>
        <sz val="11"/>
        <rFont val="Consolas"/>
        <family val="3"/>
      </rPr>
      <t>/</t>
    </r>
    <r>
      <rPr>
        <sz val="11"/>
        <rFont val="游ゴシック Medium"/>
        <family val="3"/>
        <charset val="128"/>
      </rPr>
      <t>増補改訂版</t>
    </r>
    <r>
      <rPr>
        <sz val="11"/>
        <rFont val="Consolas"/>
        <family val="3"/>
      </rPr>
      <t>/Selected Poems of Allen Ginsberg</t>
    </r>
    <rPh sb="0" eb="8">
      <t>ギンズバーグ</t>
    </rPh>
    <rPh sb="8" eb="10">
      <t>シシュウ</t>
    </rPh>
    <rPh sb="11" eb="13">
      <t>ゾウホ</t>
    </rPh>
    <rPh sb="13" eb="16">
      <t>カイテイバン</t>
    </rPh>
    <rPh sb="32" eb="34">
      <t>オブ</t>
    </rPh>
    <rPh sb="35" eb="49">
      <t>アレン　ギンズバーグ</t>
    </rPh>
    <phoneticPr fontId="1"/>
  </si>
  <si>
    <r>
      <rPr>
        <sz val="11"/>
        <rFont val="游ゴシック Medium"/>
        <family val="3"/>
        <charset val="128"/>
      </rPr>
      <t>中島</t>
    </r>
    <r>
      <rPr>
        <sz val="11"/>
        <rFont val="Consolas"/>
        <family val="3"/>
      </rPr>
      <t xml:space="preserve"> </t>
    </r>
    <r>
      <rPr>
        <sz val="11"/>
        <rFont val="游ゴシック Medium"/>
        <family val="3"/>
        <charset val="128"/>
      </rPr>
      <t>登</t>
    </r>
    <rPh sb="0" eb="2">
      <t>ナカジマ</t>
    </rPh>
    <rPh sb="3" eb="4">
      <t>ノボル</t>
    </rPh>
    <phoneticPr fontId="1"/>
  </si>
  <si>
    <r>
      <t>Jean Genet</t>
    </r>
    <r>
      <rPr>
        <sz val="11"/>
        <rFont val="游ゴシック Medium"/>
        <family val="3"/>
        <charset val="128"/>
      </rPr>
      <t>詩集</t>
    </r>
    <r>
      <rPr>
        <sz val="11"/>
        <rFont val="Consolas"/>
        <family val="3"/>
      </rPr>
      <t>/Poemes,L'Arbalete</t>
    </r>
    <rPh sb="0" eb="10">
      <t>ジャン　ジュネ</t>
    </rPh>
    <rPh sb="10" eb="12">
      <t>シシュウ</t>
    </rPh>
    <phoneticPr fontId="1"/>
  </si>
  <si>
    <r>
      <rPr>
        <sz val="11"/>
        <rFont val="游ゴシック Medium"/>
        <family val="3"/>
        <charset val="128"/>
      </rPr>
      <t>国文社</t>
    </r>
    <rPh sb="0" eb="2">
      <t>コクブン</t>
    </rPh>
    <rPh sb="2" eb="3">
      <t>シャ</t>
    </rPh>
    <phoneticPr fontId="1"/>
  </si>
  <si>
    <r>
      <rPr>
        <sz val="11"/>
        <rFont val="游ゴシック Medium"/>
        <family val="3"/>
        <charset val="128"/>
      </rPr>
      <t>散文</t>
    </r>
    <r>
      <rPr>
        <sz val="11"/>
        <rFont val="Consolas"/>
        <family val="3"/>
      </rPr>
      <t>/</t>
    </r>
    <r>
      <rPr>
        <sz val="11"/>
        <rFont val="游ゴシック Medium"/>
        <family val="3"/>
        <charset val="128"/>
      </rPr>
      <t>詩</t>
    </r>
    <rPh sb="0" eb="2">
      <t>サンブン</t>
    </rPh>
    <rPh sb="3" eb="4">
      <t>シ</t>
    </rPh>
    <phoneticPr fontId="1"/>
  </si>
  <si>
    <r>
      <rPr>
        <sz val="11"/>
        <rFont val="游ゴシック Medium"/>
        <family val="3"/>
        <charset val="128"/>
      </rPr>
      <t>宮原庸太郎</t>
    </r>
    <rPh sb="0" eb="2">
      <t>ミヤハラ</t>
    </rPh>
    <rPh sb="2" eb="5">
      <t>ヨウタロウ</t>
    </rPh>
    <phoneticPr fontId="1"/>
  </si>
  <si>
    <r>
      <rPr>
        <sz val="11"/>
        <rFont val="游ゴシック Medium"/>
        <family val="3"/>
        <charset val="128"/>
      </rPr>
      <t>セリ･ポエティクⅠ</t>
    </r>
    <r>
      <rPr>
        <sz val="11"/>
        <rFont val="Consolas"/>
        <family val="3"/>
      </rPr>
      <t>/</t>
    </r>
    <r>
      <rPr>
        <sz val="11"/>
        <rFont val="游ゴシック Medium"/>
        <family val="3"/>
        <charset val="128"/>
      </rPr>
      <t>今日の詩人双書</t>
    </r>
    <rPh sb="10" eb="12">
      <t>コンニチ</t>
    </rPh>
    <rPh sb="13" eb="15">
      <t>シジン</t>
    </rPh>
    <rPh sb="15" eb="17">
      <t>ソウショ</t>
    </rPh>
    <phoneticPr fontId="1"/>
  </si>
  <si>
    <r>
      <rPr>
        <sz val="11"/>
        <rFont val="游ゴシック Medium"/>
        <family val="3"/>
        <charset val="128"/>
      </rPr>
      <t>詩</t>
    </r>
    <r>
      <rPr>
        <sz val="11"/>
        <rFont val="Consolas"/>
        <family val="3"/>
      </rPr>
      <t>/ethnic</t>
    </r>
    <rPh sb="0" eb="1">
      <t>シ</t>
    </rPh>
    <phoneticPr fontId="1"/>
  </si>
  <si>
    <r>
      <rPr>
        <sz val="11"/>
        <rFont val="游ゴシック Medium"/>
        <family val="3"/>
        <charset val="128"/>
      </rPr>
      <t>荻田政之助･高野太郎</t>
    </r>
    <rPh sb="0" eb="2">
      <t>オギタ</t>
    </rPh>
    <rPh sb="2" eb="5">
      <t>マサノスケ</t>
    </rPh>
    <rPh sb="6" eb="8">
      <t>タカノ</t>
    </rPh>
    <rPh sb="8" eb="10">
      <t>タロウ</t>
    </rPh>
    <phoneticPr fontId="1"/>
  </si>
  <si>
    <r>
      <rPr>
        <sz val="11"/>
        <rFont val="游ゴシック Medium"/>
        <family val="3"/>
        <charset val="128"/>
      </rPr>
      <t>編訳</t>
    </r>
    <rPh sb="0" eb="2">
      <t>ヘンヤク</t>
    </rPh>
    <phoneticPr fontId="1"/>
  </si>
  <si>
    <r>
      <t>Chontal</t>
    </r>
    <r>
      <rPr>
        <sz val="11"/>
        <rFont val="游ゴシック Medium"/>
        <family val="3"/>
        <charset val="128"/>
      </rPr>
      <t>の詩</t>
    </r>
    <r>
      <rPr>
        <sz val="11"/>
        <rFont val="Consolas"/>
        <family val="3"/>
      </rPr>
      <t xml:space="preserve">/Mexico </t>
    </r>
    <r>
      <rPr>
        <sz val="11"/>
        <rFont val="游ゴシック Medium"/>
        <family val="3"/>
        <charset val="128"/>
      </rPr>
      <t>インディオ古謡</t>
    </r>
    <rPh sb="0" eb="7">
      <t>チョンタル</t>
    </rPh>
    <rPh sb="8" eb="9">
      <t>ウタ</t>
    </rPh>
    <rPh sb="10" eb="16">
      <t>メキシコ</t>
    </rPh>
    <rPh sb="22" eb="24">
      <t>コヨウ</t>
    </rPh>
    <phoneticPr fontId="1"/>
  </si>
  <si>
    <r>
      <rPr>
        <b/>
        <sz val="11"/>
        <color indexed="33"/>
        <rFont val="游ゴシック Medium"/>
        <family val="3"/>
        <charset val="128"/>
      </rPr>
      <t>井田俊隆</t>
    </r>
    <rPh sb="0" eb="2">
      <t>イダ</t>
    </rPh>
    <rPh sb="2" eb="4">
      <t>トシタカ</t>
    </rPh>
    <phoneticPr fontId="1"/>
  </si>
  <si>
    <r>
      <t>Rubaiyat/Omar Khayyam</t>
    </r>
    <r>
      <rPr>
        <b/>
        <sz val="11"/>
        <color indexed="33"/>
        <rFont val="游ゴシック Medium"/>
        <family val="3"/>
        <charset val="128"/>
      </rPr>
      <t>四行詩集</t>
    </r>
    <rPh sb="0" eb="8">
      <t>ルバイヤート</t>
    </rPh>
    <rPh sb="9" eb="21">
      <t>オウマ･カイヤム</t>
    </rPh>
    <rPh sb="21" eb="23">
      <t>ヨンギョウ</t>
    </rPh>
    <rPh sb="23" eb="25">
      <t>シシュウ</t>
    </rPh>
    <phoneticPr fontId="1"/>
  </si>
  <si>
    <r>
      <rPr>
        <sz val="11"/>
        <rFont val="游ゴシック Medium"/>
        <family val="3"/>
        <charset val="128"/>
      </rPr>
      <t>南雲堂</t>
    </r>
    <rPh sb="0" eb="3">
      <t>ナンウンドウ</t>
    </rPh>
    <phoneticPr fontId="1"/>
  </si>
  <si>
    <r>
      <rPr>
        <sz val="11"/>
        <rFont val="游ゴシック Medium"/>
        <family val="3"/>
        <charset val="128"/>
      </rPr>
      <t>栗田</t>
    </r>
    <r>
      <rPr>
        <sz val="11"/>
        <rFont val="Consolas"/>
        <family val="3"/>
      </rPr>
      <t xml:space="preserve"> </t>
    </r>
    <r>
      <rPr>
        <sz val="11"/>
        <rFont val="游ゴシック Medium"/>
        <family val="3"/>
        <charset val="128"/>
      </rPr>
      <t>勇</t>
    </r>
    <rPh sb="0" eb="2">
      <t>クリタ</t>
    </rPh>
    <rPh sb="3" eb="4">
      <t>イサム</t>
    </rPh>
    <phoneticPr fontId="1"/>
  </si>
  <si>
    <r>
      <t>Maldoror</t>
    </r>
    <r>
      <rPr>
        <sz val="11"/>
        <rFont val="游ゴシック Medium"/>
        <family val="3"/>
        <charset val="128"/>
      </rPr>
      <t>の歌</t>
    </r>
    <r>
      <rPr>
        <sz val="11"/>
        <rFont val="Consolas"/>
        <family val="3"/>
      </rPr>
      <t>/Les Chants de Maldoror</t>
    </r>
    <rPh sb="0" eb="8">
      <t>マルドロール</t>
    </rPh>
    <rPh sb="9" eb="10">
      <t>ウタ</t>
    </rPh>
    <rPh sb="25" eb="33">
      <t>マルドロール</t>
    </rPh>
    <phoneticPr fontId="1"/>
  </si>
  <si>
    <r>
      <t>Nerval</t>
    </r>
    <r>
      <rPr>
        <sz val="11"/>
        <rFont val="游ゴシック Medium"/>
        <family val="3"/>
        <charset val="128"/>
      </rPr>
      <t>全詩</t>
    </r>
    <r>
      <rPr>
        <sz val="11"/>
        <rFont val="Consolas"/>
        <family val="3"/>
      </rPr>
      <t>/Poe'sies</t>
    </r>
    <rPh sb="0" eb="6">
      <t>ネルヴァル</t>
    </rPh>
    <rPh sb="6" eb="7">
      <t>ゼン</t>
    </rPh>
    <rPh sb="7" eb="8">
      <t>シ</t>
    </rPh>
    <phoneticPr fontId="1"/>
  </si>
  <si>
    <r>
      <rPr>
        <sz val="11"/>
        <rFont val="游ゴシック Medium"/>
        <family val="3"/>
        <charset val="128"/>
      </rPr>
      <t>吉本素子</t>
    </r>
    <rPh sb="0" eb="2">
      <t>ヨシモト</t>
    </rPh>
    <rPh sb="2" eb="4">
      <t>モトコ</t>
    </rPh>
    <phoneticPr fontId="1"/>
  </si>
  <si>
    <r>
      <t xml:space="preserve">Vissotsky </t>
    </r>
    <r>
      <rPr>
        <sz val="11"/>
        <rFont val="游ゴシック Medium"/>
        <family val="3"/>
        <charset val="128"/>
      </rPr>
      <t>あるいは、さえぎられた歌</t>
    </r>
    <r>
      <rPr>
        <sz val="11"/>
        <rFont val="Consolas"/>
        <family val="3"/>
      </rPr>
      <t>/Vladimir ou le Vol Arrete</t>
    </r>
    <rPh sb="0" eb="9">
      <t>ヴィソツキー</t>
    </rPh>
    <rPh sb="21" eb="22">
      <t>ウタ</t>
    </rPh>
    <rPh sb="23" eb="31">
      <t>ウラジーミル</t>
    </rPh>
    <phoneticPr fontId="1"/>
  </si>
  <si>
    <r>
      <rPr>
        <strike/>
        <sz val="11"/>
        <rFont val="游ゴシック Medium"/>
        <family val="3"/>
        <charset val="128"/>
      </rPr>
      <t>村上光彦</t>
    </r>
    <rPh sb="0" eb="2">
      <t>ムラカミ</t>
    </rPh>
    <rPh sb="2" eb="4">
      <t>ミツヒコ</t>
    </rPh>
    <phoneticPr fontId="1"/>
  </si>
  <si>
    <r>
      <rPr>
        <strike/>
        <sz val="11"/>
        <rFont val="游ゴシック Medium"/>
        <family val="3"/>
        <charset val="128"/>
      </rPr>
      <t>引き裂かれた自己</t>
    </r>
    <rPh sb="0" eb="1">
      <t>ヒ</t>
    </rPh>
    <rPh sb="2" eb="3">
      <t>サ</t>
    </rPh>
    <rPh sb="6" eb="8">
      <t>ジコ</t>
    </rPh>
    <phoneticPr fontId="1"/>
  </si>
  <si>
    <r>
      <rPr>
        <strike/>
        <sz val="11"/>
        <rFont val="游ゴシック Medium"/>
        <family val="3"/>
        <charset val="128"/>
      </rPr>
      <t>みすず書房</t>
    </r>
    <rPh sb="3" eb="5">
      <t>ショボウ</t>
    </rPh>
    <phoneticPr fontId="1"/>
  </si>
  <si>
    <r>
      <rPr>
        <strike/>
        <sz val="11"/>
        <rFont val="游ゴシック Medium"/>
        <family val="3"/>
        <charset val="128"/>
      </rPr>
      <t>自己と他者</t>
    </r>
    <rPh sb="0" eb="2">
      <t>ジコ</t>
    </rPh>
    <rPh sb="3" eb="5">
      <t>タシャ</t>
    </rPh>
    <phoneticPr fontId="1"/>
  </si>
  <si>
    <r>
      <rPr>
        <sz val="11"/>
        <rFont val="游ゴシック Medium"/>
        <family val="3"/>
        <charset val="128"/>
      </rPr>
      <t>詩</t>
    </r>
    <r>
      <rPr>
        <sz val="11"/>
        <rFont val="Consolas"/>
        <family val="3"/>
      </rPr>
      <t>/psychology</t>
    </r>
    <rPh sb="0" eb="1">
      <t>シ</t>
    </rPh>
    <phoneticPr fontId="1"/>
  </si>
  <si>
    <r>
      <rPr>
        <sz val="11"/>
        <rFont val="游ゴシック Medium"/>
        <family val="3"/>
        <charset val="128"/>
      </rPr>
      <t>村上光彦</t>
    </r>
    <rPh sb="0" eb="2">
      <t>ムラカミ</t>
    </rPh>
    <rPh sb="2" eb="4">
      <t>ミツヒコ</t>
    </rPh>
    <phoneticPr fontId="1"/>
  </si>
  <si>
    <r>
      <rPr>
        <sz val="11"/>
        <rFont val="游ゴシック Medium"/>
        <family val="3"/>
        <charset val="128"/>
      </rPr>
      <t>結ぼれ</t>
    </r>
    <r>
      <rPr>
        <sz val="11"/>
        <rFont val="Consolas"/>
        <family val="3"/>
      </rPr>
      <t>/Knots</t>
    </r>
    <rPh sb="0" eb="1">
      <t>ムス</t>
    </rPh>
    <phoneticPr fontId="1"/>
  </si>
  <si>
    <r>
      <rPr>
        <sz val="11"/>
        <rFont val="游ゴシック Medium"/>
        <family val="3"/>
        <charset val="128"/>
      </rPr>
      <t>好き</t>
    </r>
    <r>
      <rPr>
        <sz val="11"/>
        <rFont val="Consolas"/>
        <family val="3"/>
      </rPr>
      <t>?</t>
    </r>
    <r>
      <rPr>
        <sz val="11"/>
        <rFont val="游ゴシック Medium"/>
        <family val="3"/>
        <charset val="128"/>
      </rPr>
      <t>好き</t>
    </r>
    <r>
      <rPr>
        <sz val="11"/>
        <rFont val="Consolas"/>
        <family val="3"/>
      </rPr>
      <t>?</t>
    </r>
    <r>
      <rPr>
        <sz val="11"/>
        <rFont val="游ゴシック Medium"/>
        <family val="3"/>
        <charset val="128"/>
      </rPr>
      <t>大好き</t>
    </r>
    <r>
      <rPr>
        <sz val="11"/>
        <rFont val="Consolas"/>
        <family val="3"/>
      </rPr>
      <t>?/Do You Love Me?</t>
    </r>
    <rPh sb="0" eb="1">
      <t>ス</t>
    </rPh>
    <rPh sb="3" eb="4">
      <t>ス</t>
    </rPh>
    <rPh sb="6" eb="8">
      <t>ダイス</t>
    </rPh>
    <phoneticPr fontId="1"/>
  </si>
  <si>
    <r>
      <rPr>
        <sz val="11"/>
        <rFont val="游ゴシック Medium"/>
        <family val="3"/>
        <charset val="128"/>
      </rPr>
      <t>彌永信美</t>
    </r>
    <rPh sb="0" eb="2">
      <t>イヤナガ</t>
    </rPh>
    <rPh sb="2" eb="4">
      <t>ノブミ</t>
    </rPh>
    <phoneticPr fontId="1"/>
  </si>
  <si>
    <r>
      <rPr>
        <sz val="11"/>
        <rFont val="游ゴシック Medium"/>
        <family val="3"/>
        <charset val="128"/>
      </rPr>
      <t>子どもとの会話</t>
    </r>
    <r>
      <rPr>
        <sz val="11"/>
        <rFont val="Consolas"/>
        <family val="3"/>
      </rPr>
      <t>/Conversations with Children</t>
    </r>
    <rPh sb="0" eb="1">
      <t>コ</t>
    </rPh>
    <rPh sb="5" eb="7">
      <t>カイワ</t>
    </rPh>
    <phoneticPr fontId="1"/>
  </si>
  <si>
    <r>
      <rPr>
        <sz val="11"/>
        <rFont val="游ゴシック Medium"/>
        <family val="3"/>
        <charset val="128"/>
      </rPr>
      <t>詩</t>
    </r>
    <r>
      <rPr>
        <sz val="11"/>
        <rFont val="Consolas"/>
        <family val="3"/>
      </rPr>
      <t>/</t>
    </r>
    <r>
      <rPr>
        <sz val="11"/>
        <rFont val="游ゴシック Medium"/>
        <family val="3"/>
        <charset val="128"/>
      </rPr>
      <t>語学</t>
    </r>
    <rPh sb="0" eb="1">
      <t>シ</t>
    </rPh>
    <rPh sb="2" eb="4">
      <t>ゴガク</t>
    </rPh>
    <phoneticPr fontId="1"/>
  </si>
  <si>
    <r>
      <rPr>
        <sz val="11"/>
        <rFont val="游ゴシック Medium"/>
        <family val="3"/>
        <charset val="128"/>
      </rPr>
      <t>望月一雄</t>
    </r>
    <rPh sb="0" eb="2">
      <t>モチヅキ</t>
    </rPh>
    <rPh sb="2" eb="4">
      <t>カズオ</t>
    </rPh>
    <phoneticPr fontId="1"/>
  </si>
  <si>
    <r>
      <rPr>
        <sz val="11"/>
        <rFont val="游ゴシック Medium"/>
        <family val="3"/>
        <charset val="128"/>
      </rPr>
      <t>大学書林語学文庫</t>
    </r>
    <r>
      <rPr>
        <sz val="11"/>
        <rFont val="Consolas"/>
        <family val="3"/>
      </rPr>
      <t>/1272</t>
    </r>
    <rPh sb="0" eb="2">
      <t>ダイガク</t>
    </rPh>
    <rPh sb="2" eb="3">
      <t>ショ</t>
    </rPh>
    <rPh sb="3" eb="4">
      <t>リン</t>
    </rPh>
    <rPh sb="4" eb="6">
      <t>ゴガク</t>
    </rPh>
    <rPh sb="6" eb="8">
      <t>ブンコ</t>
    </rPh>
    <phoneticPr fontId="1"/>
  </si>
  <si>
    <r>
      <rPr>
        <sz val="11"/>
        <rFont val="游ゴシック Medium"/>
        <family val="3"/>
        <charset val="128"/>
      </rPr>
      <t>堀</t>
    </r>
    <r>
      <rPr>
        <sz val="11"/>
        <rFont val="Consolas"/>
        <family val="3"/>
      </rPr>
      <t xml:space="preserve"> </t>
    </r>
    <r>
      <rPr>
        <sz val="11"/>
        <rFont val="游ゴシック Medium"/>
        <family val="3"/>
        <charset val="128"/>
      </rPr>
      <t>辰雄</t>
    </r>
    <rPh sb="0" eb="4">
      <t>ホリタツオ</t>
    </rPh>
    <phoneticPr fontId="1"/>
  </si>
  <si>
    <r>
      <rPr>
        <sz val="11"/>
        <rFont val="游ゴシック Medium"/>
        <family val="3"/>
        <charset val="128"/>
      </rPr>
      <t>堀</t>
    </r>
    <r>
      <rPr>
        <sz val="11"/>
        <rFont val="Consolas"/>
        <family val="3"/>
      </rPr>
      <t xml:space="preserve"> </t>
    </r>
    <r>
      <rPr>
        <sz val="11"/>
        <rFont val="游ゴシック Medium"/>
        <family val="3"/>
        <charset val="128"/>
      </rPr>
      <t>辰雄</t>
    </r>
    <r>
      <rPr>
        <sz val="11"/>
        <rFont val="Consolas"/>
        <family val="3"/>
      </rPr>
      <t xml:space="preserve"> </t>
    </r>
    <r>
      <rPr>
        <sz val="11"/>
        <rFont val="游ゴシック Medium"/>
        <family val="3"/>
        <charset val="128"/>
      </rPr>
      <t>詩集</t>
    </r>
    <rPh sb="0" eb="1">
      <t>ホリ</t>
    </rPh>
    <rPh sb="2" eb="4">
      <t>タツオ</t>
    </rPh>
    <rPh sb="5" eb="7">
      <t>シシュウ</t>
    </rPh>
    <phoneticPr fontId="1"/>
  </si>
  <si>
    <r>
      <rPr>
        <sz val="11"/>
        <rFont val="游ゴシック Medium"/>
        <family val="3"/>
        <charset val="128"/>
      </rPr>
      <t>世界の詩</t>
    </r>
    <r>
      <rPr>
        <sz val="11"/>
        <rFont val="Consolas"/>
        <family val="3"/>
      </rPr>
      <t>/38/</t>
    </r>
    <r>
      <rPr>
        <sz val="11"/>
        <rFont val="游ゴシック Medium"/>
        <family val="3"/>
        <charset val="128"/>
      </rPr>
      <t>青</t>
    </r>
    <rPh sb="0" eb="2">
      <t>セカイ</t>
    </rPh>
    <rPh sb="3" eb="4">
      <t>シ</t>
    </rPh>
    <rPh sb="8" eb="9">
      <t>アオ</t>
    </rPh>
    <phoneticPr fontId="1"/>
  </si>
  <si>
    <r>
      <rPr>
        <sz val="11"/>
        <rFont val="游ゴシック Medium"/>
        <family val="3"/>
        <charset val="128"/>
      </rPr>
      <t>彌生書房</t>
    </r>
    <rPh sb="0" eb="4">
      <t>ヤヨイショボウ</t>
    </rPh>
    <phoneticPr fontId="1"/>
  </si>
  <si>
    <r>
      <rPr>
        <sz val="11"/>
        <rFont val="游ゴシック Medium"/>
        <family val="3"/>
        <charset val="128"/>
      </rPr>
      <t>津村信夫</t>
    </r>
    <rPh sb="0" eb="2">
      <t>ツムラ</t>
    </rPh>
    <rPh sb="2" eb="4">
      <t>ノブオ</t>
    </rPh>
    <phoneticPr fontId="1"/>
  </si>
  <si>
    <r>
      <rPr>
        <sz val="11"/>
        <rFont val="游ゴシック Medium"/>
        <family val="3"/>
        <charset val="128"/>
      </rPr>
      <t>神保光太郎</t>
    </r>
    <rPh sb="0" eb="2">
      <t>ジンボウ</t>
    </rPh>
    <rPh sb="2" eb="5">
      <t>コウタロウ</t>
    </rPh>
    <phoneticPr fontId="1"/>
  </si>
  <si>
    <r>
      <rPr>
        <sz val="11"/>
        <rFont val="游ゴシック Medium"/>
        <family val="3"/>
        <charset val="128"/>
      </rPr>
      <t>津村信夫</t>
    </r>
    <r>
      <rPr>
        <sz val="11"/>
        <rFont val="Consolas"/>
        <family val="3"/>
      </rPr>
      <t xml:space="preserve"> </t>
    </r>
    <r>
      <rPr>
        <sz val="11"/>
        <rFont val="游ゴシック Medium"/>
        <family val="3"/>
        <charset val="128"/>
      </rPr>
      <t>詩集</t>
    </r>
    <rPh sb="0" eb="2">
      <t>ツムラ</t>
    </rPh>
    <rPh sb="2" eb="4">
      <t>ノブオ</t>
    </rPh>
    <rPh sb="5" eb="7">
      <t>シシュウ</t>
    </rPh>
    <phoneticPr fontId="1"/>
  </si>
  <si>
    <r>
      <rPr>
        <sz val="11"/>
        <rFont val="游ゴシック Medium"/>
        <family val="3"/>
        <charset val="128"/>
      </rPr>
      <t>青春の詩集</t>
    </r>
    <r>
      <rPr>
        <sz val="11"/>
        <rFont val="Consolas"/>
        <family val="3"/>
      </rPr>
      <t>/</t>
    </r>
    <r>
      <rPr>
        <sz val="11"/>
        <rFont val="游ゴシック Medium"/>
        <family val="3"/>
        <charset val="128"/>
      </rPr>
      <t>日本篇</t>
    </r>
    <r>
      <rPr>
        <sz val="11"/>
        <rFont val="Consolas"/>
        <family val="3"/>
      </rPr>
      <t>/13</t>
    </r>
    <rPh sb="0" eb="2">
      <t>セイシュン</t>
    </rPh>
    <rPh sb="3" eb="5">
      <t>シシュウ</t>
    </rPh>
    <rPh sb="6" eb="8">
      <t>ニホン</t>
    </rPh>
    <rPh sb="8" eb="9">
      <t>ヘン</t>
    </rPh>
    <phoneticPr fontId="1"/>
  </si>
  <si>
    <r>
      <rPr>
        <sz val="11"/>
        <rFont val="游ゴシック Medium"/>
        <family val="3"/>
        <charset val="128"/>
      </rPr>
      <t>白凰社</t>
    </r>
    <rPh sb="0" eb="3">
      <t>ハクオウシャ</t>
    </rPh>
    <phoneticPr fontId="1"/>
  </si>
  <si>
    <r>
      <rPr>
        <sz val="11"/>
        <rFont val="游ゴシック Medium"/>
        <family val="3"/>
        <charset val="128"/>
      </rPr>
      <t>北園克衛</t>
    </r>
    <rPh sb="0" eb="2">
      <t>キタゾノ</t>
    </rPh>
    <rPh sb="2" eb="4">
      <t>カツエ</t>
    </rPh>
    <phoneticPr fontId="1"/>
  </si>
  <si>
    <r>
      <rPr>
        <sz val="11"/>
        <rFont val="游ゴシック Medium"/>
        <family val="3"/>
        <charset val="128"/>
      </rPr>
      <t>藤富保男</t>
    </r>
    <r>
      <rPr>
        <sz val="11"/>
        <rFont val="Consolas"/>
        <family val="3"/>
      </rPr>
      <t>/</t>
    </r>
    <r>
      <rPr>
        <sz val="11"/>
        <rFont val="游ゴシック Medium"/>
        <family val="3"/>
        <charset val="128"/>
      </rPr>
      <t>篠田一士</t>
    </r>
    <rPh sb="0" eb="2">
      <t>フジトミ</t>
    </rPh>
    <rPh sb="2" eb="4">
      <t>ヤスオ</t>
    </rPh>
    <rPh sb="5" eb="7">
      <t>シノダ</t>
    </rPh>
    <rPh sb="7" eb="9">
      <t>カズシ</t>
    </rPh>
    <phoneticPr fontId="1"/>
  </si>
  <si>
    <r>
      <rPr>
        <sz val="11"/>
        <rFont val="游ゴシック Medium"/>
        <family val="3"/>
        <charset val="128"/>
      </rPr>
      <t>編･構成･解説</t>
    </r>
    <r>
      <rPr>
        <sz val="11"/>
        <rFont val="Consolas"/>
        <family val="3"/>
      </rPr>
      <t>/</t>
    </r>
    <r>
      <rPr>
        <sz val="11"/>
        <rFont val="游ゴシック Medium"/>
        <family val="3"/>
        <charset val="128"/>
      </rPr>
      <t>研究</t>
    </r>
    <rPh sb="0" eb="1">
      <t>ヘン</t>
    </rPh>
    <rPh sb="2" eb="4">
      <t>コウセイ</t>
    </rPh>
    <rPh sb="5" eb="7">
      <t>カイセツ</t>
    </rPh>
    <rPh sb="8" eb="10">
      <t>ケンキュウ</t>
    </rPh>
    <phoneticPr fontId="1"/>
  </si>
  <si>
    <r>
      <rPr>
        <sz val="11"/>
        <rFont val="游ゴシック Medium"/>
        <family val="3"/>
        <charset val="128"/>
      </rPr>
      <t>北園克衛</t>
    </r>
    <r>
      <rPr>
        <sz val="11"/>
        <rFont val="Consolas"/>
        <family val="3"/>
      </rPr>
      <t xml:space="preserve"> </t>
    </r>
    <r>
      <rPr>
        <sz val="11"/>
        <rFont val="游ゴシック Medium"/>
        <family val="3"/>
        <charset val="128"/>
      </rPr>
      <t>詩集</t>
    </r>
    <rPh sb="0" eb="2">
      <t>キタゾノ</t>
    </rPh>
    <rPh sb="2" eb="4">
      <t>カツエ</t>
    </rPh>
    <rPh sb="5" eb="7">
      <t>シシュウ</t>
    </rPh>
    <phoneticPr fontId="1"/>
  </si>
  <si>
    <r>
      <rPr>
        <sz val="11"/>
        <rFont val="游ゴシック Medium"/>
        <family val="3"/>
        <charset val="128"/>
      </rPr>
      <t>現代詩文庫</t>
    </r>
    <r>
      <rPr>
        <sz val="11"/>
        <rFont val="Consolas"/>
        <family val="3"/>
      </rPr>
      <t>/1023/</t>
    </r>
    <r>
      <rPr>
        <sz val="11"/>
        <rFont val="游ゴシック Medium"/>
        <family val="3"/>
        <charset val="128"/>
      </rPr>
      <t>第Ⅱ期近代詩人篇</t>
    </r>
    <rPh sb="0" eb="2">
      <t>ゲンダイ</t>
    </rPh>
    <rPh sb="2" eb="3">
      <t>シ</t>
    </rPh>
    <rPh sb="3" eb="5">
      <t>ブンコ</t>
    </rPh>
    <rPh sb="11" eb="14">
      <t>ダイニキ</t>
    </rPh>
    <rPh sb="14" eb="16">
      <t>キンダイ</t>
    </rPh>
    <rPh sb="16" eb="18">
      <t>シジン</t>
    </rPh>
    <rPh sb="18" eb="19">
      <t>ヘン</t>
    </rPh>
    <phoneticPr fontId="1"/>
  </si>
  <si>
    <r>
      <rPr>
        <b/>
        <sz val="11"/>
        <color indexed="33"/>
        <rFont val="游ゴシック Medium"/>
        <family val="3"/>
        <charset val="128"/>
      </rPr>
      <t>高橋新吉</t>
    </r>
    <rPh sb="0" eb="2">
      <t>タカハシ</t>
    </rPh>
    <rPh sb="2" eb="4">
      <t>シンキチ</t>
    </rPh>
    <phoneticPr fontId="1"/>
  </si>
  <si>
    <r>
      <rPr>
        <sz val="11"/>
        <rFont val="游ゴシック Medium"/>
        <family val="3"/>
        <charset val="128"/>
      </rPr>
      <t>飯島耕一</t>
    </r>
    <r>
      <rPr>
        <sz val="11"/>
        <rFont val="Consolas"/>
        <family val="3"/>
      </rPr>
      <t>/</t>
    </r>
    <r>
      <rPr>
        <sz val="11"/>
        <rFont val="游ゴシック Medium"/>
        <family val="3"/>
        <charset val="128"/>
      </rPr>
      <t>中原中也</t>
    </r>
    <r>
      <rPr>
        <sz val="11"/>
        <rFont val="Consolas"/>
        <family val="3"/>
      </rPr>
      <t>,</t>
    </r>
    <r>
      <rPr>
        <sz val="11"/>
        <rFont val="游ゴシック Medium"/>
        <family val="3"/>
        <charset val="128"/>
      </rPr>
      <t>他</t>
    </r>
    <rPh sb="0" eb="2">
      <t>イイジマ</t>
    </rPh>
    <rPh sb="2" eb="4">
      <t>コウイチ</t>
    </rPh>
    <rPh sb="5" eb="7">
      <t>ナカハラ</t>
    </rPh>
    <rPh sb="7" eb="9">
      <t>チュウヤ</t>
    </rPh>
    <rPh sb="10" eb="11">
      <t>ホカ</t>
    </rPh>
    <phoneticPr fontId="1"/>
  </si>
  <si>
    <r>
      <rPr>
        <sz val="11"/>
        <rFont val="游ゴシック Medium"/>
        <family val="3"/>
        <charset val="128"/>
      </rPr>
      <t>解説</t>
    </r>
    <r>
      <rPr>
        <sz val="11"/>
        <rFont val="Consolas"/>
        <family val="3"/>
      </rPr>
      <t>/</t>
    </r>
    <r>
      <rPr>
        <sz val="11"/>
        <rFont val="游ゴシック Medium"/>
        <family val="3"/>
        <charset val="128"/>
      </rPr>
      <t>研究</t>
    </r>
    <rPh sb="0" eb="2">
      <t>カイセツ</t>
    </rPh>
    <rPh sb="3" eb="5">
      <t>ケンキュウ</t>
    </rPh>
    <phoneticPr fontId="1"/>
  </si>
  <si>
    <r>
      <rPr>
        <b/>
        <sz val="11"/>
        <color indexed="33"/>
        <rFont val="游ゴシック Medium"/>
        <family val="3"/>
        <charset val="128"/>
      </rPr>
      <t>高橋新吉詩集</t>
    </r>
    <rPh sb="0" eb="2">
      <t>タカハシ</t>
    </rPh>
    <rPh sb="2" eb="4">
      <t>シンキチ</t>
    </rPh>
    <rPh sb="4" eb="6">
      <t>シシュウ</t>
    </rPh>
    <phoneticPr fontId="1"/>
  </si>
  <si>
    <r>
      <rPr>
        <sz val="11"/>
        <rFont val="游ゴシック Medium"/>
        <family val="3"/>
        <charset val="128"/>
      </rPr>
      <t>現代詩文庫</t>
    </r>
    <r>
      <rPr>
        <sz val="11"/>
        <rFont val="Consolas"/>
        <family val="3"/>
      </rPr>
      <t>/1027/</t>
    </r>
    <r>
      <rPr>
        <sz val="11"/>
        <rFont val="游ゴシック Medium"/>
        <family val="3"/>
        <charset val="128"/>
      </rPr>
      <t>第Ⅱ期近代詩人篇</t>
    </r>
    <rPh sb="0" eb="2">
      <t>ゲンダイ</t>
    </rPh>
    <rPh sb="2" eb="3">
      <t>シ</t>
    </rPh>
    <rPh sb="3" eb="5">
      <t>ブンコ</t>
    </rPh>
    <rPh sb="11" eb="14">
      <t>ダイニキ</t>
    </rPh>
    <rPh sb="14" eb="16">
      <t>キンダイ</t>
    </rPh>
    <rPh sb="16" eb="18">
      <t>シジン</t>
    </rPh>
    <rPh sb="18" eb="19">
      <t>ヘン</t>
    </rPh>
    <phoneticPr fontId="1"/>
  </si>
  <si>
    <r>
      <rPr>
        <b/>
        <sz val="11"/>
        <color indexed="33"/>
        <rFont val="游ゴシック Medium"/>
        <family val="3"/>
        <charset val="128"/>
      </rPr>
      <t>中野重治</t>
    </r>
    <rPh sb="0" eb="2">
      <t>ナカノ</t>
    </rPh>
    <rPh sb="2" eb="4">
      <t>シゲハル</t>
    </rPh>
    <phoneticPr fontId="1"/>
  </si>
  <si>
    <r>
      <rPr>
        <sz val="11"/>
        <rFont val="游ゴシック Medium"/>
        <family val="3"/>
        <charset val="128"/>
      </rPr>
      <t>北川</t>
    </r>
    <r>
      <rPr>
        <sz val="11"/>
        <rFont val="Consolas"/>
        <family val="3"/>
      </rPr>
      <t xml:space="preserve"> </t>
    </r>
    <r>
      <rPr>
        <sz val="11"/>
        <rFont val="游ゴシック Medium"/>
        <family val="3"/>
        <charset val="128"/>
      </rPr>
      <t>透</t>
    </r>
    <r>
      <rPr>
        <sz val="11"/>
        <rFont val="Consolas"/>
        <family val="3"/>
      </rPr>
      <t>/</t>
    </r>
    <r>
      <rPr>
        <sz val="11"/>
        <rFont val="游ゴシック Medium"/>
        <family val="3"/>
        <charset val="128"/>
      </rPr>
      <t>堀</t>
    </r>
    <r>
      <rPr>
        <sz val="11"/>
        <rFont val="Consolas"/>
        <family val="3"/>
      </rPr>
      <t xml:space="preserve"> </t>
    </r>
    <r>
      <rPr>
        <sz val="11"/>
        <rFont val="游ゴシック Medium"/>
        <family val="3"/>
        <charset val="128"/>
      </rPr>
      <t>辰雄･窪川鶴次郎</t>
    </r>
    <rPh sb="0" eb="2">
      <t>キタガワ</t>
    </rPh>
    <rPh sb="3" eb="4">
      <t>トオル</t>
    </rPh>
    <rPh sb="5" eb="9">
      <t>ホリタ　ツオ</t>
    </rPh>
    <rPh sb="10" eb="12">
      <t>クボカワ</t>
    </rPh>
    <rPh sb="12" eb="13">
      <t>ツル</t>
    </rPh>
    <rPh sb="13" eb="15">
      <t>ジロウ</t>
    </rPh>
    <phoneticPr fontId="1"/>
  </si>
  <si>
    <r>
      <rPr>
        <sz val="11"/>
        <rFont val="游ゴシック Medium"/>
        <family val="3"/>
        <charset val="128"/>
      </rPr>
      <t>編･解説</t>
    </r>
    <r>
      <rPr>
        <sz val="11"/>
        <rFont val="Consolas"/>
        <family val="3"/>
      </rPr>
      <t>/</t>
    </r>
    <r>
      <rPr>
        <sz val="11"/>
        <rFont val="游ゴシック Medium"/>
        <family val="3"/>
        <charset val="128"/>
      </rPr>
      <t>研究</t>
    </r>
    <rPh sb="0" eb="1">
      <t>ヘン</t>
    </rPh>
    <rPh sb="2" eb="4">
      <t>カイセツ</t>
    </rPh>
    <rPh sb="5" eb="7">
      <t>ケンキュウ</t>
    </rPh>
    <phoneticPr fontId="1"/>
  </si>
  <si>
    <r>
      <rPr>
        <b/>
        <sz val="11"/>
        <color indexed="33"/>
        <rFont val="游ゴシック Medium"/>
        <family val="3"/>
        <charset val="128"/>
      </rPr>
      <t>中野重治</t>
    </r>
    <r>
      <rPr>
        <b/>
        <sz val="11"/>
        <color indexed="33"/>
        <rFont val="Consolas"/>
        <family val="3"/>
      </rPr>
      <t xml:space="preserve"> </t>
    </r>
    <r>
      <rPr>
        <b/>
        <sz val="11"/>
        <color indexed="33"/>
        <rFont val="游ゴシック Medium"/>
        <family val="3"/>
        <charset val="128"/>
      </rPr>
      <t>詩集</t>
    </r>
    <rPh sb="0" eb="2">
      <t>ナカノ</t>
    </rPh>
    <rPh sb="2" eb="4">
      <t>シゲハル</t>
    </rPh>
    <rPh sb="5" eb="7">
      <t>シシュウ</t>
    </rPh>
    <phoneticPr fontId="1"/>
  </si>
  <si>
    <r>
      <rPr>
        <sz val="11"/>
        <rFont val="游ゴシック Medium"/>
        <family val="3"/>
        <charset val="128"/>
      </rPr>
      <t>現代詩文庫</t>
    </r>
    <r>
      <rPr>
        <sz val="11"/>
        <rFont val="Consolas"/>
        <family val="3"/>
      </rPr>
      <t>/1032/</t>
    </r>
    <r>
      <rPr>
        <sz val="11"/>
        <rFont val="游ゴシック Medium"/>
        <family val="3"/>
        <charset val="128"/>
      </rPr>
      <t>第Ⅱ期近代詩人篇</t>
    </r>
    <rPh sb="0" eb="2">
      <t>ゲンダイ</t>
    </rPh>
    <rPh sb="2" eb="3">
      <t>シ</t>
    </rPh>
    <rPh sb="3" eb="5">
      <t>ブンコ</t>
    </rPh>
    <rPh sb="11" eb="14">
      <t>ダイニキ</t>
    </rPh>
    <rPh sb="14" eb="16">
      <t>キンダイ</t>
    </rPh>
    <rPh sb="16" eb="18">
      <t>シジン</t>
    </rPh>
    <rPh sb="18" eb="19">
      <t>ヘン</t>
    </rPh>
    <phoneticPr fontId="1"/>
  </si>
  <si>
    <r>
      <rPr>
        <sz val="11"/>
        <rFont val="游ゴシック Medium"/>
        <family val="3"/>
        <charset val="128"/>
      </rPr>
      <t>詩</t>
    </r>
    <r>
      <rPr>
        <sz val="11"/>
        <rFont val="Consolas"/>
        <family val="3"/>
      </rPr>
      <t>/subculture</t>
    </r>
    <rPh sb="0" eb="1">
      <t>シ</t>
    </rPh>
    <phoneticPr fontId="1"/>
  </si>
  <si>
    <r>
      <rPr>
        <sz val="11"/>
        <rFont val="游ゴシック Medium"/>
        <family val="3"/>
        <charset val="128"/>
      </rPr>
      <t>吉岡</t>
    </r>
    <r>
      <rPr>
        <sz val="11"/>
        <rFont val="Consolas"/>
        <family val="3"/>
      </rPr>
      <t xml:space="preserve"> </t>
    </r>
    <r>
      <rPr>
        <sz val="11"/>
        <rFont val="游ゴシック Medium"/>
        <family val="3"/>
        <charset val="128"/>
      </rPr>
      <t>実</t>
    </r>
    <rPh sb="0" eb="2">
      <t>ヨシオカ</t>
    </rPh>
    <rPh sb="3" eb="4">
      <t>ミノル</t>
    </rPh>
    <phoneticPr fontId="1"/>
  </si>
  <si>
    <r>
      <rPr>
        <sz val="11"/>
        <rFont val="游ゴシック Medium"/>
        <family val="3"/>
        <charset val="128"/>
      </rPr>
      <t>飯島耕一･高橋睦郎</t>
    </r>
    <rPh sb="0" eb="2">
      <t>イイジマ</t>
    </rPh>
    <rPh sb="2" eb="4">
      <t>コウイチ</t>
    </rPh>
    <rPh sb="5" eb="7">
      <t>タカハシ</t>
    </rPh>
    <rPh sb="7" eb="9">
      <t>ムツロウ</t>
    </rPh>
    <phoneticPr fontId="1"/>
  </si>
  <si>
    <r>
      <rPr>
        <sz val="11"/>
        <rFont val="游ゴシック Medium"/>
        <family val="3"/>
        <charset val="128"/>
      </rPr>
      <t>作品論</t>
    </r>
    <rPh sb="0" eb="2">
      <t>サクヒン</t>
    </rPh>
    <rPh sb="2" eb="3">
      <t>ロン</t>
    </rPh>
    <phoneticPr fontId="1"/>
  </si>
  <si>
    <r>
      <rPr>
        <sz val="11"/>
        <rFont val="游ゴシック Medium"/>
        <family val="3"/>
        <charset val="128"/>
      </rPr>
      <t>吉岡</t>
    </r>
    <r>
      <rPr>
        <sz val="11"/>
        <rFont val="Consolas"/>
        <family val="3"/>
      </rPr>
      <t xml:space="preserve"> </t>
    </r>
    <r>
      <rPr>
        <sz val="11"/>
        <rFont val="游ゴシック Medium"/>
        <family val="3"/>
        <charset val="128"/>
      </rPr>
      <t>実</t>
    </r>
    <r>
      <rPr>
        <sz val="11"/>
        <rFont val="Consolas"/>
        <family val="3"/>
      </rPr>
      <t xml:space="preserve"> </t>
    </r>
    <r>
      <rPr>
        <sz val="11"/>
        <rFont val="游ゴシック Medium"/>
        <family val="3"/>
        <charset val="128"/>
      </rPr>
      <t>詩集</t>
    </r>
    <rPh sb="0" eb="2">
      <t>ヨシオカ</t>
    </rPh>
    <rPh sb="3" eb="4">
      <t>ミノル</t>
    </rPh>
    <rPh sb="5" eb="7">
      <t>シシュウ</t>
    </rPh>
    <phoneticPr fontId="1"/>
  </si>
  <si>
    <r>
      <rPr>
        <sz val="11"/>
        <rFont val="游ゴシック Medium"/>
        <family val="3"/>
        <charset val="128"/>
      </rPr>
      <t>現代詩文庫</t>
    </r>
    <r>
      <rPr>
        <sz val="11"/>
        <rFont val="Consolas"/>
        <family val="3"/>
      </rPr>
      <t>/14/</t>
    </r>
    <r>
      <rPr>
        <sz val="11"/>
        <rFont val="游ゴシック Medium"/>
        <family val="3"/>
        <charset val="128"/>
      </rPr>
      <t>戦後詩人篇</t>
    </r>
    <r>
      <rPr>
        <sz val="11"/>
        <rFont val="Consolas"/>
        <family val="3"/>
      </rPr>
      <t>/1968</t>
    </r>
    <rPh sb="0" eb="2">
      <t>ゲンダイ</t>
    </rPh>
    <rPh sb="2" eb="3">
      <t>シ</t>
    </rPh>
    <rPh sb="3" eb="5">
      <t>ブンコ</t>
    </rPh>
    <rPh sb="9" eb="11">
      <t>センゴ</t>
    </rPh>
    <rPh sb="11" eb="13">
      <t>シジン</t>
    </rPh>
    <rPh sb="13" eb="14">
      <t>ヘン</t>
    </rPh>
    <phoneticPr fontId="1"/>
  </si>
  <si>
    <r>
      <rPr>
        <b/>
        <sz val="11"/>
        <color indexed="33"/>
        <rFont val="游ゴシック Medium"/>
        <family val="3"/>
        <charset val="128"/>
      </rPr>
      <t>那珂太郎</t>
    </r>
    <rPh sb="0" eb="4">
      <t>ナカタロウ</t>
    </rPh>
    <phoneticPr fontId="1"/>
  </si>
  <si>
    <r>
      <rPr>
        <sz val="11"/>
        <rFont val="游ゴシック Medium"/>
        <family val="3"/>
        <charset val="128"/>
      </rPr>
      <t>平井照敏･吉原幸子</t>
    </r>
    <rPh sb="0" eb="2">
      <t>ヒライ</t>
    </rPh>
    <rPh sb="2" eb="4">
      <t>テルトシ</t>
    </rPh>
    <rPh sb="5" eb="7">
      <t>ヨシハラ</t>
    </rPh>
    <rPh sb="7" eb="9">
      <t>サチコ</t>
    </rPh>
    <phoneticPr fontId="1"/>
  </si>
  <si>
    <r>
      <rPr>
        <sz val="11"/>
        <rFont val="游ゴシック Medium"/>
        <family val="3"/>
        <charset val="128"/>
      </rPr>
      <t>研究</t>
    </r>
    <rPh sb="0" eb="2">
      <t>ケンキュウ</t>
    </rPh>
    <phoneticPr fontId="1"/>
  </si>
  <si>
    <r>
      <rPr>
        <b/>
        <sz val="11"/>
        <color indexed="33"/>
        <rFont val="游ゴシック Medium"/>
        <family val="3"/>
        <charset val="128"/>
      </rPr>
      <t>那珂太郎</t>
    </r>
    <r>
      <rPr>
        <b/>
        <sz val="11"/>
        <color indexed="33"/>
        <rFont val="Consolas"/>
        <family val="3"/>
      </rPr>
      <t xml:space="preserve"> </t>
    </r>
    <r>
      <rPr>
        <b/>
        <sz val="11"/>
        <color indexed="33"/>
        <rFont val="游ゴシック Medium"/>
        <family val="3"/>
        <charset val="128"/>
      </rPr>
      <t>詩集</t>
    </r>
    <rPh sb="0" eb="2">
      <t>ナカ</t>
    </rPh>
    <rPh sb="2" eb="4">
      <t>タロウ</t>
    </rPh>
    <rPh sb="5" eb="7">
      <t>シシュウ</t>
    </rPh>
    <phoneticPr fontId="1"/>
  </si>
  <si>
    <r>
      <rPr>
        <sz val="11"/>
        <rFont val="游ゴシック Medium"/>
        <family val="3"/>
        <charset val="128"/>
      </rPr>
      <t>現代詩文庫</t>
    </r>
    <r>
      <rPr>
        <sz val="11"/>
        <rFont val="Consolas"/>
        <family val="3"/>
      </rPr>
      <t>/16/</t>
    </r>
    <r>
      <rPr>
        <sz val="11"/>
        <rFont val="游ゴシック Medium"/>
        <family val="3"/>
        <charset val="128"/>
      </rPr>
      <t>戦後詩人篇</t>
    </r>
    <rPh sb="0" eb="2">
      <t>ゲンダイ</t>
    </rPh>
    <rPh sb="2" eb="3">
      <t>シ</t>
    </rPh>
    <rPh sb="3" eb="5">
      <t>ブンコ</t>
    </rPh>
    <rPh sb="9" eb="11">
      <t>センゴ</t>
    </rPh>
    <rPh sb="11" eb="13">
      <t>シジン</t>
    </rPh>
    <rPh sb="13" eb="14">
      <t>ヘン</t>
    </rPh>
    <phoneticPr fontId="1"/>
  </si>
  <si>
    <r>
      <rPr>
        <sz val="11"/>
        <rFont val="游ゴシック Medium"/>
        <family val="3"/>
        <charset val="128"/>
      </rPr>
      <t>渡辺武信</t>
    </r>
    <rPh sb="0" eb="2">
      <t>ワタナベ</t>
    </rPh>
    <rPh sb="2" eb="4">
      <t>タケノブ</t>
    </rPh>
    <phoneticPr fontId="1"/>
  </si>
  <si>
    <r>
      <rPr>
        <sz val="11"/>
        <rFont val="游ゴシック Medium"/>
        <family val="3"/>
        <charset val="128"/>
      </rPr>
      <t>清水</t>
    </r>
    <r>
      <rPr>
        <sz val="11"/>
        <rFont val="Consolas"/>
        <family val="3"/>
      </rPr>
      <t xml:space="preserve"> </t>
    </r>
    <r>
      <rPr>
        <sz val="11"/>
        <rFont val="游ゴシック Medium"/>
        <family val="3"/>
        <charset val="128"/>
      </rPr>
      <t>昶･長谷川</t>
    </r>
    <r>
      <rPr>
        <sz val="11"/>
        <rFont val="Consolas"/>
        <family val="3"/>
      </rPr>
      <t xml:space="preserve"> </t>
    </r>
    <r>
      <rPr>
        <sz val="11"/>
        <rFont val="游ゴシック Medium"/>
        <family val="3"/>
        <charset val="128"/>
      </rPr>
      <t>堯</t>
    </r>
    <rPh sb="0" eb="2">
      <t>シミズ</t>
    </rPh>
    <rPh sb="3" eb="4">
      <t>アキラ</t>
    </rPh>
    <rPh sb="5" eb="8">
      <t>ハセガワ</t>
    </rPh>
    <rPh sb="9" eb="10">
      <t>ギョウ</t>
    </rPh>
    <phoneticPr fontId="1"/>
  </si>
  <si>
    <r>
      <rPr>
        <sz val="11"/>
        <rFont val="游ゴシック Medium"/>
        <family val="3"/>
        <charset val="128"/>
      </rPr>
      <t>渡辺武信</t>
    </r>
    <r>
      <rPr>
        <sz val="11"/>
        <rFont val="Consolas"/>
        <family val="3"/>
      </rPr>
      <t xml:space="preserve"> </t>
    </r>
    <r>
      <rPr>
        <sz val="11"/>
        <rFont val="游ゴシック Medium"/>
        <family val="3"/>
        <charset val="128"/>
      </rPr>
      <t>詩集</t>
    </r>
    <rPh sb="0" eb="2">
      <t>ワタナベ</t>
    </rPh>
    <rPh sb="2" eb="4">
      <t>タケノブ</t>
    </rPh>
    <rPh sb="5" eb="7">
      <t>シシュウ</t>
    </rPh>
    <phoneticPr fontId="1"/>
  </si>
  <si>
    <r>
      <rPr>
        <sz val="11"/>
        <rFont val="游ゴシック Medium"/>
        <family val="3"/>
        <charset val="128"/>
      </rPr>
      <t>現代詩文庫</t>
    </r>
    <r>
      <rPr>
        <sz val="11"/>
        <rFont val="Consolas"/>
        <family val="3"/>
      </rPr>
      <t>/35/</t>
    </r>
    <r>
      <rPr>
        <sz val="11"/>
        <rFont val="游ゴシック Medium"/>
        <family val="3"/>
        <charset val="128"/>
      </rPr>
      <t>戦後詩人篇</t>
    </r>
    <rPh sb="0" eb="2">
      <t>ゲンダイ</t>
    </rPh>
    <rPh sb="2" eb="3">
      <t>シ</t>
    </rPh>
    <rPh sb="3" eb="5">
      <t>ブンコ</t>
    </rPh>
    <rPh sb="9" eb="11">
      <t>センゴ</t>
    </rPh>
    <rPh sb="11" eb="13">
      <t>シジン</t>
    </rPh>
    <rPh sb="13" eb="14">
      <t>ヘン</t>
    </rPh>
    <phoneticPr fontId="1"/>
  </si>
  <si>
    <r>
      <rPr>
        <sz val="11"/>
        <rFont val="游ゴシック Medium"/>
        <family val="3"/>
        <charset val="128"/>
      </rPr>
      <t>吉原幸子</t>
    </r>
    <rPh sb="0" eb="2">
      <t>ヨシワラ</t>
    </rPh>
    <rPh sb="2" eb="4">
      <t>サチコ</t>
    </rPh>
    <phoneticPr fontId="1"/>
  </si>
  <si>
    <r>
      <rPr>
        <sz val="11"/>
        <rFont val="游ゴシック Medium"/>
        <family val="3"/>
        <charset val="128"/>
      </rPr>
      <t>石原吉郎･江森国友･山本道子</t>
    </r>
    <rPh sb="0" eb="2">
      <t>イシハラ</t>
    </rPh>
    <rPh sb="2" eb="4">
      <t>ヨシロウ</t>
    </rPh>
    <rPh sb="5" eb="7">
      <t>エモリ</t>
    </rPh>
    <rPh sb="7" eb="9">
      <t>クニトモ</t>
    </rPh>
    <rPh sb="10" eb="12">
      <t>ヤマモト</t>
    </rPh>
    <rPh sb="12" eb="14">
      <t>ミチコ</t>
    </rPh>
    <phoneticPr fontId="1"/>
  </si>
  <si>
    <r>
      <rPr>
        <sz val="11"/>
        <rFont val="游ゴシック Medium"/>
        <family val="3"/>
        <charset val="128"/>
      </rPr>
      <t>吉原幸子</t>
    </r>
    <r>
      <rPr>
        <sz val="11"/>
        <rFont val="Consolas"/>
        <family val="3"/>
      </rPr>
      <t xml:space="preserve"> </t>
    </r>
    <r>
      <rPr>
        <sz val="11"/>
        <rFont val="游ゴシック Medium"/>
        <family val="3"/>
        <charset val="128"/>
      </rPr>
      <t>詩集</t>
    </r>
    <rPh sb="0" eb="2">
      <t>ヨシハラ</t>
    </rPh>
    <rPh sb="2" eb="4">
      <t>サチコ</t>
    </rPh>
    <rPh sb="5" eb="7">
      <t>シシュウ</t>
    </rPh>
    <phoneticPr fontId="1"/>
  </si>
  <si>
    <r>
      <rPr>
        <sz val="11"/>
        <rFont val="游ゴシック Medium"/>
        <family val="3"/>
        <charset val="128"/>
      </rPr>
      <t>現代詩文庫</t>
    </r>
    <r>
      <rPr>
        <sz val="11"/>
        <rFont val="Consolas"/>
        <family val="3"/>
      </rPr>
      <t>/56/</t>
    </r>
    <r>
      <rPr>
        <sz val="11"/>
        <rFont val="游ゴシック Medium"/>
        <family val="3"/>
        <charset val="128"/>
      </rPr>
      <t>戦後詩人篇</t>
    </r>
    <rPh sb="0" eb="2">
      <t>ゲンダイ</t>
    </rPh>
    <rPh sb="2" eb="3">
      <t>シ</t>
    </rPh>
    <rPh sb="3" eb="5">
      <t>ブンコ</t>
    </rPh>
    <rPh sb="9" eb="11">
      <t>センゴ</t>
    </rPh>
    <rPh sb="11" eb="13">
      <t>シジン</t>
    </rPh>
    <rPh sb="13" eb="14">
      <t>ヘン</t>
    </rPh>
    <phoneticPr fontId="1"/>
  </si>
  <si>
    <r>
      <rPr>
        <sz val="11"/>
        <rFont val="游ゴシック Medium"/>
        <family val="3"/>
        <charset val="128"/>
      </rPr>
      <t>清水哲男</t>
    </r>
    <rPh sb="0" eb="2">
      <t>シミズ</t>
    </rPh>
    <rPh sb="2" eb="4">
      <t>テツオ</t>
    </rPh>
    <phoneticPr fontId="1"/>
  </si>
  <si>
    <r>
      <rPr>
        <sz val="11"/>
        <rFont val="游ゴシック Medium"/>
        <family val="3"/>
        <charset val="128"/>
      </rPr>
      <t>鈴木志郎康･正津</t>
    </r>
    <r>
      <rPr>
        <sz val="11"/>
        <rFont val="Consolas"/>
        <family val="3"/>
      </rPr>
      <t xml:space="preserve"> </t>
    </r>
    <r>
      <rPr>
        <sz val="11"/>
        <rFont val="游ゴシック Medium"/>
        <family val="3"/>
        <charset val="128"/>
      </rPr>
      <t>勉･平山泰逹</t>
    </r>
    <rPh sb="0" eb="2">
      <t>スズキ</t>
    </rPh>
    <rPh sb="2" eb="5">
      <t>シロヤス</t>
    </rPh>
    <rPh sb="6" eb="8">
      <t>ショウツ</t>
    </rPh>
    <rPh sb="9" eb="10">
      <t>ベン</t>
    </rPh>
    <rPh sb="11" eb="13">
      <t>ヒラヤマ</t>
    </rPh>
    <rPh sb="13" eb="14">
      <t>ヤス</t>
    </rPh>
    <rPh sb="14" eb="15">
      <t>タツ</t>
    </rPh>
    <phoneticPr fontId="1"/>
  </si>
  <si>
    <r>
      <rPr>
        <sz val="11"/>
        <rFont val="游ゴシック Medium"/>
        <family val="3"/>
        <charset val="128"/>
      </rPr>
      <t>清水哲男</t>
    </r>
    <r>
      <rPr>
        <sz val="11"/>
        <rFont val="Consolas"/>
        <family val="3"/>
      </rPr>
      <t xml:space="preserve"> </t>
    </r>
    <r>
      <rPr>
        <sz val="11"/>
        <rFont val="游ゴシック Medium"/>
        <family val="3"/>
        <charset val="128"/>
      </rPr>
      <t>詩集</t>
    </r>
    <rPh sb="0" eb="2">
      <t>シミズ</t>
    </rPh>
    <rPh sb="2" eb="4">
      <t>テツオ</t>
    </rPh>
    <rPh sb="5" eb="7">
      <t>シシュウ</t>
    </rPh>
    <phoneticPr fontId="1"/>
  </si>
  <si>
    <r>
      <rPr>
        <sz val="11"/>
        <rFont val="游ゴシック Medium"/>
        <family val="3"/>
        <charset val="128"/>
      </rPr>
      <t>現代詩文庫</t>
    </r>
    <r>
      <rPr>
        <sz val="11"/>
        <rFont val="Consolas"/>
        <family val="3"/>
      </rPr>
      <t>/68/</t>
    </r>
    <r>
      <rPr>
        <sz val="11"/>
        <rFont val="游ゴシック Medium"/>
        <family val="3"/>
        <charset val="128"/>
      </rPr>
      <t>戦後詩人篇</t>
    </r>
    <rPh sb="0" eb="2">
      <t>ゲンダイ</t>
    </rPh>
    <rPh sb="2" eb="3">
      <t>シ</t>
    </rPh>
    <rPh sb="3" eb="5">
      <t>ブンコ</t>
    </rPh>
    <rPh sb="9" eb="11">
      <t>センゴ</t>
    </rPh>
    <rPh sb="11" eb="13">
      <t>シジン</t>
    </rPh>
    <rPh sb="13" eb="14">
      <t>ヘン</t>
    </rPh>
    <phoneticPr fontId="1"/>
  </si>
  <si>
    <r>
      <rPr>
        <sz val="11"/>
        <rFont val="游ゴシック Medium"/>
        <family val="3"/>
        <charset val="128"/>
      </rPr>
      <t>準新書</t>
    </r>
    <r>
      <rPr>
        <sz val="11"/>
        <rFont val="Consolas"/>
        <family val="3"/>
      </rPr>
      <t>/</t>
    </r>
    <r>
      <rPr>
        <sz val="11"/>
        <rFont val="游ゴシック Medium"/>
        <family val="3"/>
        <charset val="128"/>
      </rPr>
      <t>雑誌</t>
    </r>
    <rPh sb="0" eb="1">
      <t>ジュン</t>
    </rPh>
    <rPh sb="1" eb="3">
      <t>シンショ</t>
    </rPh>
    <rPh sb="4" eb="6">
      <t>ザッシ</t>
    </rPh>
    <phoneticPr fontId="1"/>
  </si>
  <si>
    <r>
      <rPr>
        <sz val="11"/>
        <rFont val="游ゴシック Medium"/>
        <family val="3"/>
        <charset val="128"/>
      </rPr>
      <t>辻</t>
    </r>
    <r>
      <rPr>
        <sz val="11"/>
        <rFont val="Consolas"/>
        <family val="3"/>
      </rPr>
      <t xml:space="preserve"> </t>
    </r>
    <r>
      <rPr>
        <sz val="11"/>
        <rFont val="游ゴシック Medium"/>
        <family val="3"/>
        <charset val="128"/>
      </rPr>
      <t>桃子･道浦母都子･雨宮慶子</t>
    </r>
    <rPh sb="0" eb="1">
      <t>ツジ</t>
    </rPh>
    <rPh sb="2" eb="4">
      <t>モモコ</t>
    </rPh>
    <rPh sb="5" eb="7">
      <t>ミチウラ</t>
    </rPh>
    <rPh sb="7" eb="10">
      <t>モトコ</t>
    </rPh>
    <rPh sb="11" eb="13">
      <t>アメミヤ</t>
    </rPh>
    <rPh sb="13" eb="15">
      <t>ケイコ</t>
    </rPh>
    <phoneticPr fontId="1"/>
  </si>
  <si>
    <r>
      <t>[</t>
    </r>
    <r>
      <rPr>
        <sz val="11"/>
        <rFont val="游ゴシック Medium"/>
        <family val="3"/>
        <charset val="128"/>
      </rPr>
      <t>特集</t>
    </r>
    <r>
      <rPr>
        <sz val="11"/>
        <rFont val="Consolas"/>
        <family val="3"/>
      </rPr>
      <t>]</t>
    </r>
    <r>
      <rPr>
        <sz val="11"/>
        <rFont val="游ゴシック Medium"/>
        <family val="3"/>
        <charset val="128"/>
      </rPr>
      <t>性と表現</t>
    </r>
    <rPh sb="1" eb="3">
      <t>トクシュウ</t>
    </rPh>
    <rPh sb="4" eb="5">
      <t>セイ</t>
    </rPh>
    <rPh sb="6" eb="8">
      <t>ヒョウゲン</t>
    </rPh>
    <phoneticPr fontId="1"/>
  </si>
  <si>
    <r>
      <rPr>
        <sz val="11"/>
        <rFont val="游ゴシック Medium"/>
        <family val="3"/>
        <charset val="128"/>
      </rPr>
      <t>詩歌総合誌</t>
    </r>
    <rPh sb="0" eb="2">
      <t>シイカ</t>
    </rPh>
    <rPh sb="2" eb="5">
      <t>ソウゴウシ</t>
    </rPh>
    <phoneticPr fontId="1"/>
  </si>
  <si>
    <r>
      <rPr>
        <sz val="11"/>
        <rFont val="游ゴシック Medium"/>
        <family val="3"/>
        <charset val="128"/>
      </rPr>
      <t>季刊「邑」第</t>
    </r>
    <r>
      <rPr>
        <sz val="11"/>
        <rFont val="Consolas"/>
        <family val="3"/>
      </rPr>
      <t>2</t>
    </r>
    <r>
      <rPr>
        <sz val="11"/>
        <rFont val="游ゴシック Medium"/>
        <family val="3"/>
        <charset val="128"/>
      </rPr>
      <t>号</t>
    </r>
    <r>
      <rPr>
        <sz val="11"/>
        <rFont val="Consolas"/>
        <family val="3"/>
      </rPr>
      <t>1991</t>
    </r>
    <r>
      <rPr>
        <sz val="11"/>
        <rFont val="游ゴシック Medium"/>
        <family val="3"/>
        <charset val="128"/>
      </rPr>
      <t>年秋</t>
    </r>
    <r>
      <rPr>
        <sz val="11"/>
        <rFont val="Consolas"/>
        <family val="3"/>
      </rPr>
      <t>/</t>
    </r>
    <r>
      <rPr>
        <sz val="11"/>
        <rFont val="游ゴシック Medium"/>
        <family val="3"/>
        <charset val="128"/>
      </rPr>
      <t>邑書林</t>
    </r>
    <rPh sb="0" eb="2">
      <t>キカン</t>
    </rPh>
    <rPh sb="3" eb="4">
      <t>ムラ</t>
    </rPh>
    <rPh sb="5" eb="6">
      <t>ダイ</t>
    </rPh>
    <rPh sb="7" eb="8">
      <t>ゴウ</t>
    </rPh>
    <rPh sb="12" eb="14">
      <t>ネンアキ</t>
    </rPh>
    <rPh sb="15" eb="16">
      <t>ムラ</t>
    </rPh>
    <rPh sb="16" eb="18">
      <t>ショリン</t>
    </rPh>
    <phoneticPr fontId="1"/>
  </si>
  <si>
    <r>
      <rPr>
        <strike/>
        <sz val="11"/>
        <rFont val="游ゴシック Medium"/>
        <family val="3"/>
        <charset val="128"/>
      </rPr>
      <t>詩</t>
    </r>
    <rPh sb="0" eb="1">
      <t>シ</t>
    </rPh>
    <phoneticPr fontId="1"/>
  </si>
  <si>
    <r>
      <rPr>
        <strike/>
        <sz val="11"/>
        <rFont val="游ゴシック Medium"/>
        <family val="3"/>
        <charset val="128"/>
      </rPr>
      <t>エリュアール</t>
    </r>
    <r>
      <rPr>
        <strike/>
        <sz val="11"/>
        <rFont val="Consolas"/>
        <family val="3"/>
      </rPr>
      <t>,Paul</t>
    </r>
    <rPh sb="7" eb="11">
      <t>ポール</t>
    </rPh>
    <phoneticPr fontId="1"/>
  </si>
  <si>
    <r>
      <rPr>
        <b/>
        <strike/>
        <sz val="11"/>
        <color indexed="33"/>
        <rFont val="游ゴシック Medium"/>
        <family val="3"/>
        <charset val="128"/>
      </rPr>
      <t>神々の不幸</t>
    </r>
    <rPh sb="0" eb="2">
      <t>カミガミ</t>
    </rPh>
    <rPh sb="3" eb="5">
      <t>フコウ</t>
    </rPh>
    <phoneticPr fontId="1"/>
  </si>
  <si>
    <r>
      <rPr>
        <sz val="11"/>
        <rFont val="游ゴシック Medium"/>
        <family val="3"/>
        <charset val="128"/>
      </rPr>
      <t>飯吉光夫</t>
    </r>
    <rPh sb="0" eb="2">
      <t>イイヨシ</t>
    </rPh>
    <rPh sb="2" eb="4">
      <t>ミツオ</t>
    </rPh>
    <phoneticPr fontId="1"/>
  </si>
  <si>
    <r>
      <t>Gunter Grass</t>
    </r>
    <r>
      <rPr>
        <sz val="11"/>
        <rFont val="游ゴシック Medium"/>
        <family val="3"/>
        <charset val="128"/>
      </rPr>
      <t>詩集</t>
    </r>
    <rPh sb="0" eb="6">
      <t>ギュンター</t>
    </rPh>
    <rPh sb="7" eb="12">
      <t>グラス</t>
    </rPh>
    <rPh sb="12" eb="14">
      <t>シシュウ</t>
    </rPh>
    <phoneticPr fontId="1"/>
  </si>
  <si>
    <r>
      <rPr>
        <sz val="11"/>
        <rFont val="游ゴシック Medium"/>
        <family val="3"/>
        <charset val="128"/>
      </rPr>
      <t>双書･</t>
    </r>
    <r>
      <rPr>
        <sz val="11"/>
        <rFont val="Consolas"/>
        <family val="3"/>
      </rPr>
      <t>20</t>
    </r>
    <r>
      <rPr>
        <sz val="11"/>
        <rFont val="游ゴシック Medium"/>
        <family val="3"/>
        <charset val="128"/>
      </rPr>
      <t>世紀の詩人</t>
    </r>
    <rPh sb="0" eb="2">
      <t>ソウショ</t>
    </rPh>
    <rPh sb="5" eb="7">
      <t>セイキ</t>
    </rPh>
    <rPh sb="8" eb="10">
      <t>シジン</t>
    </rPh>
    <phoneticPr fontId="1"/>
  </si>
  <si>
    <r>
      <rPr>
        <sz val="11"/>
        <rFont val="游ゴシック Medium"/>
        <family val="3"/>
        <charset val="128"/>
      </rPr>
      <t>小沢書店</t>
    </r>
    <rPh sb="0" eb="2">
      <t>オザワ</t>
    </rPh>
    <rPh sb="2" eb="4">
      <t>ショテン</t>
    </rPh>
    <phoneticPr fontId="1"/>
  </si>
  <si>
    <r>
      <t>Paul Celan</t>
    </r>
    <r>
      <rPr>
        <sz val="11"/>
        <rFont val="游ゴシック Medium"/>
        <family val="3"/>
        <charset val="128"/>
      </rPr>
      <t>詩集</t>
    </r>
    <r>
      <rPr>
        <sz val="11"/>
        <rFont val="Consolas"/>
        <family val="3"/>
      </rPr>
      <t>/Paul Celan Todesfuge Gedichte</t>
    </r>
    <rPh sb="0" eb="4">
      <t>パウル</t>
    </rPh>
    <rPh sb="5" eb="10">
      <t>ツェラン</t>
    </rPh>
    <rPh sb="10" eb="12">
      <t>シシュウ</t>
    </rPh>
    <rPh sb="13" eb="17">
      <t>パウル</t>
    </rPh>
    <rPh sb="18" eb="23">
      <t>ツェラン</t>
    </rPh>
    <phoneticPr fontId="1"/>
  </si>
  <si>
    <r>
      <rPr>
        <sz val="11"/>
        <rFont val="游ゴシック Medium"/>
        <family val="3"/>
        <charset val="128"/>
      </rPr>
      <t>海外詩シリーズ</t>
    </r>
    <rPh sb="0" eb="3">
      <t>カイガイシ</t>
    </rPh>
    <phoneticPr fontId="1"/>
  </si>
  <si>
    <r>
      <rPr>
        <sz val="11"/>
        <rFont val="游ゴシック Medium"/>
        <family val="3"/>
        <charset val="128"/>
      </rPr>
      <t>田村隆一</t>
    </r>
    <rPh sb="0" eb="2">
      <t>タムラ</t>
    </rPh>
    <rPh sb="2" eb="4">
      <t>リュウイチ</t>
    </rPh>
    <phoneticPr fontId="1"/>
  </si>
  <si>
    <r>
      <t>Elliott</t>
    </r>
    <r>
      <rPr>
        <sz val="11"/>
        <rFont val="游ゴシック Medium"/>
        <family val="3"/>
        <charset val="128"/>
      </rPr>
      <t>詩集</t>
    </r>
    <rPh sb="0" eb="7">
      <t>エリオット</t>
    </rPh>
    <rPh sb="7" eb="9">
      <t>シシュウ</t>
    </rPh>
    <phoneticPr fontId="1"/>
  </si>
  <si>
    <r>
      <rPr>
        <sz val="11"/>
        <rFont val="游ゴシック Medium"/>
        <family val="3"/>
        <charset val="128"/>
      </rPr>
      <t>世界の詩</t>
    </r>
    <r>
      <rPr>
        <sz val="11"/>
        <rFont val="Consolas"/>
        <family val="3"/>
      </rPr>
      <t>/43</t>
    </r>
    <rPh sb="0" eb="2">
      <t>セカイ</t>
    </rPh>
    <rPh sb="3" eb="4">
      <t>シ</t>
    </rPh>
    <phoneticPr fontId="1"/>
  </si>
  <si>
    <r>
      <t>Supervielle</t>
    </r>
    <r>
      <rPr>
        <sz val="11"/>
        <rFont val="游ゴシック Medium"/>
        <family val="3"/>
        <charset val="128"/>
      </rPr>
      <t>詩集</t>
    </r>
    <rPh sb="0" eb="11">
      <t>シュペルヴィエル</t>
    </rPh>
    <rPh sb="11" eb="13">
      <t>シシュウ</t>
    </rPh>
    <phoneticPr fontId="1"/>
  </si>
  <si>
    <r>
      <rPr>
        <sz val="11"/>
        <rFont val="游ゴシック Medium"/>
        <family val="3"/>
        <charset val="128"/>
      </rPr>
      <t>世界の詩</t>
    </r>
    <r>
      <rPr>
        <sz val="11"/>
        <rFont val="Consolas"/>
        <family val="3"/>
      </rPr>
      <t>/61/</t>
    </r>
    <r>
      <rPr>
        <sz val="11"/>
        <rFont val="游ゴシック Medium"/>
        <family val="3"/>
        <charset val="128"/>
      </rPr>
      <t>青</t>
    </r>
    <rPh sb="0" eb="2">
      <t>セカイ</t>
    </rPh>
    <rPh sb="3" eb="4">
      <t>シ</t>
    </rPh>
    <rPh sb="8" eb="9">
      <t>アオ</t>
    </rPh>
    <phoneticPr fontId="1"/>
  </si>
  <si>
    <r>
      <rPr>
        <sz val="11"/>
        <rFont val="游ゴシック Medium"/>
        <family val="3"/>
        <charset val="128"/>
      </rPr>
      <t>山室</t>
    </r>
    <r>
      <rPr>
        <sz val="11"/>
        <rFont val="Consolas"/>
        <family val="3"/>
      </rPr>
      <t xml:space="preserve"> </t>
    </r>
    <r>
      <rPr>
        <sz val="11"/>
        <rFont val="游ゴシック Medium"/>
        <family val="3"/>
        <charset val="128"/>
      </rPr>
      <t>静</t>
    </r>
    <rPh sb="0" eb="2">
      <t>ヤマムロ</t>
    </rPh>
    <rPh sb="3" eb="4">
      <t>シズカ</t>
    </rPh>
    <phoneticPr fontId="1"/>
  </si>
  <si>
    <r>
      <t>Tagore</t>
    </r>
    <r>
      <rPr>
        <sz val="11"/>
        <rFont val="游ゴシック Medium"/>
        <family val="3"/>
        <charset val="128"/>
      </rPr>
      <t>詩集</t>
    </r>
    <rPh sb="0" eb="6">
      <t>タゴール</t>
    </rPh>
    <rPh sb="6" eb="8">
      <t>シシュウ</t>
    </rPh>
    <phoneticPr fontId="1"/>
  </si>
  <si>
    <r>
      <rPr>
        <sz val="11"/>
        <rFont val="游ゴシック Medium"/>
        <family val="3"/>
        <charset val="128"/>
      </rPr>
      <t>世界の詩</t>
    </r>
    <r>
      <rPr>
        <sz val="11"/>
        <rFont val="Consolas"/>
        <family val="3"/>
      </rPr>
      <t>/39</t>
    </r>
    <rPh sb="0" eb="2">
      <t>セカイ</t>
    </rPh>
    <rPh sb="3" eb="4">
      <t>シ</t>
    </rPh>
    <phoneticPr fontId="1"/>
  </si>
  <si>
    <r>
      <t>Thomas,</t>
    </r>
    <r>
      <rPr>
        <sz val="11"/>
        <rFont val="游ゴシック Medium"/>
        <family val="3"/>
        <charset val="128"/>
      </rPr>
      <t>ディラン</t>
    </r>
    <rPh sb="0" eb="6">
      <t>トマス</t>
    </rPh>
    <phoneticPr fontId="1"/>
  </si>
  <si>
    <r>
      <rPr>
        <sz val="11"/>
        <rFont val="游ゴシック Medium"/>
        <family val="3"/>
        <charset val="128"/>
      </rPr>
      <t>松浦直巳</t>
    </r>
    <rPh sb="0" eb="2">
      <t>マツウラ</t>
    </rPh>
    <rPh sb="2" eb="4">
      <t>ナオミ</t>
    </rPh>
    <phoneticPr fontId="1"/>
  </si>
  <si>
    <r>
      <rPr>
        <sz val="11"/>
        <rFont val="游ゴシック Medium"/>
        <family val="3"/>
        <charset val="128"/>
      </rPr>
      <t>ディラン･</t>
    </r>
    <r>
      <rPr>
        <sz val="11"/>
        <rFont val="Consolas"/>
        <family val="3"/>
      </rPr>
      <t>Thomas</t>
    </r>
    <r>
      <rPr>
        <sz val="11"/>
        <rFont val="游ゴシック Medium"/>
        <family val="3"/>
        <charset val="128"/>
      </rPr>
      <t>詩集</t>
    </r>
    <rPh sb="5" eb="11">
      <t>トマス</t>
    </rPh>
    <rPh sb="11" eb="13">
      <t>シシュウ</t>
    </rPh>
    <phoneticPr fontId="1"/>
  </si>
  <si>
    <r>
      <rPr>
        <sz val="11"/>
        <rFont val="游ゴシック Medium"/>
        <family val="3"/>
        <charset val="128"/>
      </rPr>
      <t>世界の詩</t>
    </r>
    <r>
      <rPr>
        <sz val="11"/>
        <rFont val="Consolas"/>
        <family val="3"/>
      </rPr>
      <t>/63</t>
    </r>
    <rPh sb="0" eb="2">
      <t>セカイ</t>
    </rPh>
    <rPh sb="3" eb="4">
      <t>シ</t>
    </rPh>
    <phoneticPr fontId="1"/>
  </si>
  <si>
    <r>
      <rPr>
        <sz val="11"/>
        <rFont val="游ゴシック Medium"/>
        <family val="3"/>
        <charset val="128"/>
      </rPr>
      <t>高野書店</t>
    </r>
    <rPh sb="0" eb="2">
      <t>タカノ</t>
    </rPh>
    <rPh sb="2" eb="4">
      <t>ショテン</t>
    </rPh>
    <phoneticPr fontId="1"/>
  </si>
  <si>
    <r>
      <rPr>
        <sz val="11"/>
        <rFont val="游ゴシック Medium"/>
        <family val="3"/>
        <charset val="128"/>
      </rPr>
      <t>ブレイク</t>
    </r>
    <r>
      <rPr>
        <sz val="11"/>
        <rFont val="Consolas"/>
        <family val="3"/>
      </rPr>
      <t>,</t>
    </r>
    <r>
      <rPr>
        <sz val="11"/>
        <rFont val="游ゴシック Medium"/>
        <family val="3"/>
        <charset val="128"/>
      </rPr>
      <t>ウィリャム</t>
    </r>
    <phoneticPr fontId="1"/>
  </si>
  <si>
    <r>
      <rPr>
        <sz val="11"/>
        <rFont val="游ゴシック Medium"/>
        <family val="3"/>
        <charset val="128"/>
      </rPr>
      <t>寿岳文章</t>
    </r>
    <rPh sb="0" eb="2">
      <t>ジュガク</t>
    </rPh>
    <rPh sb="2" eb="4">
      <t>ブンショウ</t>
    </rPh>
    <phoneticPr fontId="1"/>
  </si>
  <si>
    <r>
      <rPr>
        <sz val="11"/>
        <rFont val="游ゴシック Medium"/>
        <family val="3"/>
        <charset val="128"/>
      </rPr>
      <t>プレイク詩集</t>
    </r>
    <rPh sb="4" eb="6">
      <t>シシュウ</t>
    </rPh>
    <phoneticPr fontId="1"/>
  </si>
  <si>
    <r>
      <rPr>
        <sz val="11"/>
        <rFont val="游ゴシック Medium"/>
        <family val="3"/>
        <charset val="128"/>
      </rPr>
      <t>世界の詩</t>
    </r>
    <r>
      <rPr>
        <sz val="11"/>
        <rFont val="Consolas"/>
        <family val="3"/>
      </rPr>
      <t>/55</t>
    </r>
    <rPh sb="0" eb="2">
      <t>セカイ</t>
    </rPh>
    <rPh sb="3" eb="4">
      <t>シ</t>
    </rPh>
    <phoneticPr fontId="1"/>
  </si>
  <si>
    <r>
      <rPr>
        <sz val="11"/>
        <rFont val="游ゴシック Medium"/>
        <family val="3"/>
        <charset val="128"/>
      </rPr>
      <t>平田文也</t>
    </r>
    <rPh sb="0" eb="2">
      <t>ヒラタ</t>
    </rPh>
    <rPh sb="2" eb="4">
      <t>ブンヤ</t>
    </rPh>
    <phoneticPr fontId="1"/>
  </si>
  <si>
    <r>
      <t>Prevert</t>
    </r>
    <r>
      <rPr>
        <sz val="11"/>
        <rFont val="游ゴシック Medium"/>
        <family val="3"/>
        <charset val="128"/>
      </rPr>
      <t>詩集</t>
    </r>
    <rPh sb="0" eb="7">
      <t>プレヴェール</t>
    </rPh>
    <rPh sb="7" eb="9">
      <t>シシュウ</t>
    </rPh>
    <phoneticPr fontId="1"/>
  </si>
  <si>
    <r>
      <rPr>
        <sz val="11"/>
        <rFont val="游ゴシック Medium"/>
        <family val="3"/>
        <charset val="128"/>
      </rPr>
      <t>世界の詩</t>
    </r>
    <r>
      <rPr>
        <sz val="11"/>
        <rFont val="Consolas"/>
        <family val="3"/>
      </rPr>
      <t>/65</t>
    </r>
    <rPh sb="0" eb="2">
      <t>セカイ</t>
    </rPh>
    <rPh sb="3" eb="4">
      <t>シ</t>
    </rPh>
    <phoneticPr fontId="1"/>
  </si>
  <si>
    <r>
      <t>Whitman,</t>
    </r>
    <r>
      <rPr>
        <sz val="11"/>
        <rFont val="游ゴシック Medium"/>
        <family val="3"/>
        <charset val="128"/>
      </rPr>
      <t>ワルト</t>
    </r>
    <rPh sb="0" eb="7">
      <t>ホイットマン</t>
    </rPh>
    <phoneticPr fontId="1"/>
  </si>
  <si>
    <r>
      <rPr>
        <sz val="11"/>
        <rFont val="游ゴシック Medium"/>
        <family val="3"/>
        <charset val="128"/>
      </rPr>
      <t>白鳥省吾</t>
    </r>
    <rPh sb="0" eb="2">
      <t>シラトリ</t>
    </rPh>
    <rPh sb="2" eb="4">
      <t>ショウゴ</t>
    </rPh>
    <phoneticPr fontId="1"/>
  </si>
  <si>
    <r>
      <t>Whitman</t>
    </r>
    <r>
      <rPr>
        <sz val="11"/>
        <rFont val="游ゴシック Medium"/>
        <family val="3"/>
        <charset val="128"/>
      </rPr>
      <t>詩集</t>
    </r>
    <rPh sb="0" eb="7">
      <t>ホイットマン</t>
    </rPh>
    <rPh sb="7" eb="9">
      <t>シシュウ</t>
    </rPh>
    <phoneticPr fontId="1"/>
  </si>
  <si>
    <r>
      <rPr>
        <sz val="11"/>
        <rFont val="游ゴシック Medium"/>
        <family val="3"/>
        <charset val="128"/>
      </rPr>
      <t>世界の詩</t>
    </r>
    <r>
      <rPr>
        <sz val="11"/>
        <rFont val="Consolas"/>
        <family val="3"/>
      </rPr>
      <t>/27</t>
    </r>
    <rPh sb="0" eb="2">
      <t>セカイ</t>
    </rPh>
    <rPh sb="3" eb="4">
      <t>シ</t>
    </rPh>
    <phoneticPr fontId="1"/>
  </si>
  <si>
    <r>
      <t xml:space="preserve">Nietzshe,Friedrich </t>
    </r>
    <r>
      <rPr>
        <sz val="11"/>
        <rFont val="游ゴシック Medium"/>
        <family val="3"/>
        <charset val="128"/>
      </rPr>
      <t>ヴィルヘルム</t>
    </r>
    <rPh sb="0" eb="8">
      <t>ニーチェ</t>
    </rPh>
    <rPh sb="9" eb="18">
      <t>フリードリヒ</t>
    </rPh>
    <phoneticPr fontId="1"/>
  </si>
  <si>
    <r>
      <rPr>
        <sz val="11"/>
        <rFont val="游ゴシック Medium"/>
        <family val="3"/>
        <charset val="128"/>
      </rPr>
      <t>浅井真男</t>
    </r>
    <rPh sb="0" eb="2">
      <t>アサイ</t>
    </rPh>
    <rPh sb="2" eb="4">
      <t>マサオ</t>
    </rPh>
    <phoneticPr fontId="1"/>
  </si>
  <si>
    <r>
      <t>Nietzshe</t>
    </r>
    <r>
      <rPr>
        <sz val="11"/>
        <rFont val="游ゴシック Medium"/>
        <family val="3"/>
        <charset val="128"/>
      </rPr>
      <t>詩集</t>
    </r>
    <rPh sb="0" eb="8">
      <t>ニーチェ</t>
    </rPh>
    <rPh sb="8" eb="10">
      <t>シシュウ</t>
    </rPh>
    <phoneticPr fontId="1"/>
  </si>
  <si>
    <r>
      <rPr>
        <sz val="11"/>
        <rFont val="游ゴシック Medium"/>
        <family val="3"/>
        <charset val="128"/>
      </rPr>
      <t>世界の詩</t>
    </r>
    <r>
      <rPr>
        <sz val="11"/>
        <rFont val="Consolas"/>
        <family val="3"/>
      </rPr>
      <t>/41</t>
    </r>
    <rPh sb="0" eb="2">
      <t>セカイ</t>
    </rPh>
    <rPh sb="3" eb="4">
      <t>シ</t>
    </rPh>
    <phoneticPr fontId="1"/>
  </si>
  <si>
    <r>
      <rPr>
        <sz val="11"/>
        <rFont val="游ゴシック Medium"/>
        <family val="3"/>
        <charset val="128"/>
      </rPr>
      <t>ミショー</t>
    </r>
    <r>
      <rPr>
        <sz val="11"/>
        <rFont val="Consolas"/>
        <family val="3"/>
      </rPr>
      <t>,Henri</t>
    </r>
    <rPh sb="5" eb="10">
      <t>アンリ</t>
    </rPh>
    <phoneticPr fontId="1"/>
  </si>
  <si>
    <r>
      <rPr>
        <sz val="11"/>
        <rFont val="游ゴシック Medium"/>
        <family val="3"/>
        <charset val="128"/>
      </rPr>
      <t>小海永二</t>
    </r>
    <rPh sb="0" eb="2">
      <t>コウミ</t>
    </rPh>
    <rPh sb="2" eb="4">
      <t>エイジ</t>
    </rPh>
    <phoneticPr fontId="1"/>
  </si>
  <si>
    <r>
      <t>Henri</t>
    </r>
    <r>
      <rPr>
        <sz val="11"/>
        <rFont val="游ゴシック Medium"/>
        <family val="3"/>
        <charset val="128"/>
      </rPr>
      <t>･ミショー詩集</t>
    </r>
    <rPh sb="0" eb="5">
      <t>アンリ</t>
    </rPh>
    <rPh sb="10" eb="12">
      <t>シシュウ</t>
    </rPh>
    <phoneticPr fontId="1"/>
  </si>
  <si>
    <r>
      <rPr>
        <sz val="11"/>
        <rFont val="游ゴシック Medium"/>
        <family val="3"/>
        <charset val="128"/>
      </rPr>
      <t>世界の詩</t>
    </r>
    <r>
      <rPr>
        <sz val="11"/>
        <rFont val="Consolas"/>
        <family val="3"/>
      </rPr>
      <t>/76</t>
    </r>
    <rPh sb="0" eb="2">
      <t>セカイ</t>
    </rPh>
    <rPh sb="3" eb="4">
      <t>シ</t>
    </rPh>
    <phoneticPr fontId="1"/>
  </si>
  <si>
    <r>
      <rPr>
        <sz val="11"/>
        <rFont val="游ゴシック Medium"/>
        <family val="3"/>
        <charset val="128"/>
      </rPr>
      <t>井上正蔵</t>
    </r>
    <rPh sb="0" eb="2">
      <t>イノウエ</t>
    </rPh>
    <rPh sb="2" eb="4">
      <t>ショウゾウ</t>
    </rPh>
    <phoneticPr fontId="1"/>
  </si>
  <si>
    <r>
      <t>Heine</t>
    </r>
    <r>
      <rPr>
        <sz val="11"/>
        <rFont val="游ゴシック Medium"/>
        <family val="3"/>
        <charset val="128"/>
      </rPr>
      <t>詩集</t>
    </r>
    <rPh sb="0" eb="5">
      <t>ハイネ</t>
    </rPh>
    <rPh sb="5" eb="7">
      <t>シシュウ</t>
    </rPh>
    <phoneticPr fontId="1"/>
  </si>
  <si>
    <r>
      <rPr>
        <sz val="11"/>
        <rFont val="游ゴシック Medium"/>
        <family val="3"/>
        <charset val="128"/>
      </rPr>
      <t>青春の詩集</t>
    </r>
    <r>
      <rPr>
        <sz val="11"/>
        <rFont val="Consolas"/>
        <family val="3"/>
      </rPr>
      <t>/</t>
    </r>
    <r>
      <rPr>
        <sz val="11"/>
        <rFont val="游ゴシック Medium"/>
        <family val="3"/>
        <charset val="128"/>
      </rPr>
      <t>外国篇</t>
    </r>
    <r>
      <rPr>
        <sz val="11"/>
        <rFont val="Consolas"/>
        <family val="3"/>
      </rPr>
      <t>/2</t>
    </r>
    <rPh sb="0" eb="2">
      <t>セイシュン</t>
    </rPh>
    <rPh sb="3" eb="5">
      <t>シシュウ</t>
    </rPh>
    <rPh sb="6" eb="8">
      <t>ガイコク</t>
    </rPh>
    <rPh sb="8" eb="9">
      <t>ヘン</t>
    </rPh>
    <phoneticPr fontId="1"/>
  </si>
  <si>
    <r>
      <rPr>
        <sz val="11"/>
        <rFont val="游ゴシック Medium"/>
        <family val="3"/>
        <charset val="128"/>
      </rPr>
      <t>生野幸吉</t>
    </r>
    <rPh sb="0" eb="2">
      <t>ショウノ</t>
    </rPh>
    <rPh sb="2" eb="4">
      <t>コウキチ</t>
    </rPh>
    <phoneticPr fontId="1"/>
  </si>
  <si>
    <r>
      <t>Rilke</t>
    </r>
    <r>
      <rPr>
        <sz val="11"/>
        <rFont val="游ゴシック Medium"/>
        <family val="3"/>
        <charset val="128"/>
      </rPr>
      <t>詩集</t>
    </r>
    <rPh sb="0" eb="5">
      <t>リルケ</t>
    </rPh>
    <rPh sb="5" eb="7">
      <t>シシュウ</t>
    </rPh>
    <phoneticPr fontId="1"/>
  </si>
  <si>
    <r>
      <rPr>
        <sz val="11"/>
        <rFont val="游ゴシック Medium"/>
        <family val="3"/>
        <charset val="128"/>
      </rPr>
      <t>青春の詩集</t>
    </r>
    <r>
      <rPr>
        <sz val="11"/>
        <rFont val="Consolas"/>
        <family val="3"/>
      </rPr>
      <t>/</t>
    </r>
    <r>
      <rPr>
        <sz val="11"/>
        <rFont val="游ゴシック Medium"/>
        <family val="3"/>
        <charset val="128"/>
      </rPr>
      <t>外国篇</t>
    </r>
    <r>
      <rPr>
        <sz val="11"/>
        <rFont val="Consolas"/>
        <family val="3"/>
      </rPr>
      <t>/1</t>
    </r>
    <rPh sb="0" eb="2">
      <t>セイシュン</t>
    </rPh>
    <rPh sb="3" eb="5">
      <t>シシュウ</t>
    </rPh>
    <rPh sb="6" eb="8">
      <t>ガイコク</t>
    </rPh>
    <rPh sb="8" eb="9">
      <t>ヘン</t>
    </rPh>
    <phoneticPr fontId="1"/>
  </si>
  <si>
    <r>
      <rPr>
        <sz val="11"/>
        <rFont val="游ゴシック Medium"/>
        <family val="3"/>
        <charset val="128"/>
      </rPr>
      <t>沢崎順之助</t>
    </r>
    <rPh sb="0" eb="2">
      <t>サワザキ</t>
    </rPh>
    <rPh sb="2" eb="5">
      <t>ジュンノスケ</t>
    </rPh>
    <phoneticPr fontId="1"/>
  </si>
  <si>
    <r>
      <t>Auden</t>
    </r>
    <r>
      <rPr>
        <sz val="11"/>
        <rFont val="游ゴシック Medium"/>
        <family val="3"/>
        <charset val="128"/>
      </rPr>
      <t>詩集</t>
    </r>
    <rPh sb="0" eb="5">
      <t>オーデン</t>
    </rPh>
    <rPh sb="5" eb="7">
      <t>シシュウ</t>
    </rPh>
    <phoneticPr fontId="1"/>
  </si>
  <si>
    <r>
      <rPr>
        <sz val="11"/>
        <rFont val="游ゴシック Medium"/>
        <family val="3"/>
        <charset val="128"/>
      </rPr>
      <t>海外詩文庫</t>
    </r>
    <r>
      <rPr>
        <sz val="11"/>
        <rFont val="Consolas"/>
        <family val="3"/>
      </rPr>
      <t>4</t>
    </r>
    <rPh sb="0" eb="2">
      <t>カイガイ</t>
    </rPh>
    <rPh sb="2" eb="3">
      <t>シ</t>
    </rPh>
    <rPh sb="3" eb="5">
      <t>ブンコ</t>
    </rPh>
    <phoneticPr fontId="1"/>
  </si>
  <si>
    <r>
      <t>Aragon,</t>
    </r>
    <r>
      <rPr>
        <sz val="11"/>
        <rFont val="游ゴシック Medium"/>
        <family val="3"/>
        <charset val="128"/>
      </rPr>
      <t>ルイ</t>
    </r>
    <rPh sb="0" eb="6">
      <t>アラゴン</t>
    </rPh>
    <phoneticPr fontId="1"/>
  </si>
  <si>
    <r>
      <rPr>
        <sz val="11"/>
        <rFont val="游ゴシック Medium"/>
        <family val="3"/>
        <charset val="128"/>
      </rPr>
      <t>小島輝正</t>
    </r>
    <r>
      <rPr>
        <sz val="11"/>
        <rFont val="Consolas"/>
        <family val="3"/>
      </rPr>
      <t>/</t>
    </r>
    <r>
      <rPr>
        <sz val="11"/>
        <rFont val="游ゴシック Medium"/>
        <family val="3"/>
        <charset val="128"/>
      </rPr>
      <t>小野十三郎･小海永二</t>
    </r>
    <rPh sb="0" eb="2">
      <t>コジマ</t>
    </rPh>
    <rPh sb="2" eb="4">
      <t>テルマサ</t>
    </rPh>
    <rPh sb="5" eb="7">
      <t>オノ</t>
    </rPh>
    <rPh sb="7" eb="8">
      <t>トオ</t>
    </rPh>
    <rPh sb="8" eb="10">
      <t>サブロウ</t>
    </rPh>
    <rPh sb="11" eb="13">
      <t>コウミ</t>
    </rPh>
    <rPh sb="13" eb="15">
      <t>エイジ</t>
    </rPh>
    <phoneticPr fontId="1"/>
  </si>
  <si>
    <r>
      <rPr>
        <sz val="11"/>
        <rFont val="游ゴシック Medium"/>
        <family val="3"/>
        <charset val="128"/>
      </rPr>
      <t>訳編</t>
    </r>
    <r>
      <rPr>
        <sz val="11"/>
        <rFont val="Consolas"/>
        <family val="3"/>
      </rPr>
      <t>/</t>
    </r>
    <r>
      <rPr>
        <sz val="11"/>
        <rFont val="游ゴシック Medium"/>
        <family val="3"/>
        <charset val="128"/>
      </rPr>
      <t>監修</t>
    </r>
    <rPh sb="0" eb="1">
      <t>ヤク</t>
    </rPh>
    <rPh sb="1" eb="2">
      <t>ヘン</t>
    </rPh>
    <rPh sb="3" eb="5">
      <t>カンシュウ</t>
    </rPh>
    <phoneticPr fontId="1"/>
  </si>
  <si>
    <r>
      <rPr>
        <sz val="11"/>
        <rFont val="游ゴシック Medium"/>
        <family val="3"/>
        <charset val="128"/>
      </rPr>
      <t>ルイ</t>
    </r>
    <r>
      <rPr>
        <sz val="11"/>
        <rFont val="Consolas"/>
        <family val="3"/>
      </rPr>
      <t xml:space="preserve"> Aragon</t>
    </r>
    <r>
      <rPr>
        <sz val="11"/>
        <rFont val="游ゴシック Medium"/>
        <family val="3"/>
        <charset val="128"/>
      </rPr>
      <t>詩集</t>
    </r>
    <rPh sb="3" eb="9">
      <t>アラゴン</t>
    </rPh>
    <rPh sb="9" eb="11">
      <t>シシュウ</t>
    </rPh>
    <phoneticPr fontId="1"/>
  </si>
  <si>
    <r>
      <rPr>
        <sz val="11"/>
        <rFont val="游ゴシック Medium"/>
        <family val="3"/>
        <charset val="128"/>
      </rPr>
      <t>世界現代詩文庫</t>
    </r>
    <r>
      <rPr>
        <sz val="11"/>
        <rFont val="Consolas"/>
        <family val="3"/>
      </rPr>
      <t>/8</t>
    </r>
    <rPh sb="0" eb="2">
      <t>セカイ</t>
    </rPh>
    <rPh sb="2" eb="5">
      <t>ゲンダイシ</t>
    </rPh>
    <rPh sb="5" eb="7">
      <t>ブンコ</t>
    </rPh>
    <phoneticPr fontId="1"/>
  </si>
  <si>
    <r>
      <rPr>
        <sz val="11"/>
        <rFont val="游ゴシック Medium"/>
        <family val="3"/>
        <charset val="128"/>
      </rPr>
      <t>エリュアール</t>
    </r>
    <r>
      <rPr>
        <sz val="11"/>
        <rFont val="Consolas"/>
        <family val="3"/>
      </rPr>
      <t>,Paul</t>
    </r>
    <rPh sb="7" eb="11">
      <t>ポール</t>
    </rPh>
    <phoneticPr fontId="1"/>
  </si>
  <si>
    <r>
      <rPr>
        <sz val="11"/>
        <rFont val="游ゴシック Medium"/>
        <family val="3"/>
        <charset val="128"/>
      </rPr>
      <t>高村</t>
    </r>
    <r>
      <rPr>
        <sz val="11"/>
        <rFont val="Consolas"/>
        <family val="3"/>
      </rPr>
      <t xml:space="preserve"> </t>
    </r>
    <r>
      <rPr>
        <sz val="11"/>
        <rFont val="游ゴシック Medium"/>
        <family val="3"/>
        <charset val="128"/>
      </rPr>
      <t>智</t>
    </r>
    <rPh sb="0" eb="2">
      <t>タカムラ</t>
    </rPh>
    <rPh sb="3" eb="4">
      <t>サトシ</t>
    </rPh>
    <phoneticPr fontId="1"/>
  </si>
  <si>
    <r>
      <t xml:space="preserve">Paul </t>
    </r>
    <r>
      <rPr>
        <sz val="11"/>
        <rFont val="游ゴシック Medium"/>
        <family val="3"/>
        <charset val="128"/>
      </rPr>
      <t>エリュアール詩集</t>
    </r>
    <rPh sb="0" eb="4">
      <t>ポール</t>
    </rPh>
    <rPh sb="11" eb="13">
      <t>シシュウ</t>
    </rPh>
    <phoneticPr fontId="1"/>
  </si>
  <si>
    <r>
      <rPr>
        <sz val="11"/>
        <rFont val="游ゴシック Medium"/>
        <family val="3"/>
        <charset val="128"/>
      </rPr>
      <t>世界現代詩文庫</t>
    </r>
    <r>
      <rPr>
        <sz val="11"/>
        <rFont val="Consolas"/>
        <family val="3"/>
      </rPr>
      <t>/4</t>
    </r>
    <rPh sb="0" eb="2">
      <t>セカイ</t>
    </rPh>
    <rPh sb="2" eb="5">
      <t>ゲンダイシ</t>
    </rPh>
    <rPh sb="5" eb="7">
      <t>ブンコ</t>
    </rPh>
    <phoneticPr fontId="1"/>
  </si>
  <si>
    <r>
      <rPr>
        <sz val="11"/>
        <rFont val="游ゴシック Medium"/>
        <family val="3"/>
        <charset val="128"/>
      </rPr>
      <t>ジョング</t>
    </r>
    <r>
      <rPr>
        <sz val="11"/>
        <rFont val="Consolas"/>
        <family val="3"/>
      </rPr>
      <t>,Erica</t>
    </r>
    <rPh sb="5" eb="10">
      <t>エリカ</t>
    </rPh>
    <phoneticPr fontId="1"/>
  </si>
  <si>
    <r>
      <rPr>
        <sz val="11"/>
        <rFont val="游ゴシック Medium"/>
        <family val="3"/>
        <charset val="128"/>
      </rPr>
      <t>青山みゆき･永田正男</t>
    </r>
    <r>
      <rPr>
        <sz val="11"/>
        <rFont val="Consolas"/>
        <family val="3"/>
      </rPr>
      <t>/</t>
    </r>
    <r>
      <rPr>
        <sz val="11"/>
        <rFont val="游ゴシック Medium"/>
        <family val="3"/>
        <charset val="128"/>
      </rPr>
      <t>小海永二･伊藤桂一</t>
    </r>
    <rPh sb="0" eb="2">
      <t>アオヤマ</t>
    </rPh>
    <rPh sb="6" eb="8">
      <t>ナガタ</t>
    </rPh>
    <rPh sb="8" eb="10">
      <t>マサオ</t>
    </rPh>
    <rPh sb="11" eb="13">
      <t>コウミ</t>
    </rPh>
    <rPh sb="13" eb="15">
      <t>エイジ</t>
    </rPh>
    <rPh sb="16" eb="18">
      <t>イトウ</t>
    </rPh>
    <rPh sb="18" eb="20">
      <t>ケイイチ</t>
    </rPh>
    <phoneticPr fontId="1"/>
  </si>
  <si>
    <r>
      <t xml:space="preserve">Erica </t>
    </r>
    <r>
      <rPr>
        <sz val="11"/>
        <rFont val="游ゴシック Medium"/>
        <family val="3"/>
        <charset val="128"/>
      </rPr>
      <t>ジョング詩集</t>
    </r>
    <rPh sb="0" eb="5">
      <t>エリカ</t>
    </rPh>
    <rPh sb="10" eb="12">
      <t>シシュウ</t>
    </rPh>
    <phoneticPr fontId="1"/>
  </si>
  <si>
    <r>
      <rPr>
        <sz val="11"/>
        <rFont val="游ゴシック Medium"/>
        <family val="3"/>
        <charset val="128"/>
      </rPr>
      <t>世界現代詩文庫</t>
    </r>
    <r>
      <rPr>
        <sz val="11"/>
        <rFont val="Consolas"/>
        <family val="3"/>
      </rPr>
      <t>/19</t>
    </r>
    <rPh sb="0" eb="2">
      <t>セカイ</t>
    </rPh>
    <rPh sb="2" eb="5">
      <t>ゲンダイシ</t>
    </rPh>
    <rPh sb="5" eb="7">
      <t>ブンコ</t>
    </rPh>
    <phoneticPr fontId="1"/>
  </si>
  <si>
    <r>
      <rPr>
        <sz val="11"/>
        <rFont val="游ゴシック Medium"/>
        <family val="3"/>
        <charset val="128"/>
      </rPr>
      <t>爆弾先生</t>
    </r>
    <rPh sb="0" eb="2">
      <t>バクダン</t>
    </rPh>
    <rPh sb="2" eb="4">
      <t>センセイ</t>
    </rPh>
    <phoneticPr fontId="1"/>
  </si>
  <si>
    <r>
      <rPr>
        <b/>
        <sz val="11"/>
        <color indexed="33"/>
        <rFont val="游ゴシック Medium"/>
        <family val="3"/>
        <charset val="128"/>
      </rPr>
      <t>趣味の爆弾づくり講座（初級編）</t>
    </r>
    <rPh sb="0" eb="2">
      <t>シュミ</t>
    </rPh>
    <rPh sb="3" eb="5">
      <t>バクダン</t>
    </rPh>
    <rPh sb="8" eb="10">
      <t>コウザ</t>
    </rPh>
    <rPh sb="11" eb="13">
      <t>ショキュウ</t>
    </rPh>
    <rPh sb="13" eb="14">
      <t>ヘン</t>
    </rPh>
    <phoneticPr fontId="1"/>
  </si>
  <si>
    <r>
      <rPr>
        <sz val="11"/>
        <rFont val="游ゴシック Medium"/>
        <family val="3"/>
        <charset val="128"/>
      </rPr>
      <t>にじさんぎょう書房</t>
    </r>
    <rPh sb="7" eb="9">
      <t>ショボウ</t>
    </rPh>
    <phoneticPr fontId="1"/>
  </si>
  <si>
    <r>
      <rPr>
        <sz val="11"/>
        <rFont val="游ゴシック Medium"/>
        <family val="3"/>
        <charset val="128"/>
      </rPr>
      <t>村上</t>
    </r>
    <r>
      <rPr>
        <sz val="11"/>
        <rFont val="Consolas"/>
        <family val="3"/>
      </rPr>
      <t xml:space="preserve"> </t>
    </r>
    <r>
      <rPr>
        <sz val="11"/>
        <rFont val="游ゴシック Medium"/>
        <family val="3"/>
        <charset val="128"/>
      </rPr>
      <t>仁</t>
    </r>
    <rPh sb="0" eb="2">
      <t>ムラカミ</t>
    </rPh>
    <rPh sb="3" eb="4">
      <t>マサシ</t>
    </rPh>
    <phoneticPr fontId="1"/>
  </si>
  <si>
    <r>
      <rPr>
        <sz val="11"/>
        <rFont val="游ゴシック Medium"/>
        <family val="3"/>
        <charset val="128"/>
      </rPr>
      <t>異常心理学</t>
    </r>
    <r>
      <rPr>
        <sz val="8"/>
        <rFont val="Consolas"/>
        <family val="3"/>
      </rPr>
      <t xml:space="preserve"> </t>
    </r>
    <r>
      <rPr>
        <sz val="8"/>
        <rFont val="游ゴシック Medium"/>
        <family val="3"/>
        <charset val="128"/>
      </rPr>
      <t>増補改訂版</t>
    </r>
    <rPh sb="0" eb="2">
      <t>イジョウ</t>
    </rPh>
    <rPh sb="2" eb="5">
      <t>シンリガク</t>
    </rPh>
    <rPh sb="6" eb="8">
      <t>ゾウホ</t>
    </rPh>
    <rPh sb="8" eb="11">
      <t>カイテイバン</t>
    </rPh>
    <phoneticPr fontId="1"/>
  </si>
  <si>
    <r>
      <rPr>
        <sz val="11"/>
        <rFont val="游ゴシック Medium"/>
        <family val="3"/>
        <charset val="128"/>
      </rPr>
      <t>岩波全書</t>
    </r>
    <rPh sb="0" eb="2">
      <t>イワナミ</t>
    </rPh>
    <rPh sb="2" eb="4">
      <t>ゼンショ</t>
    </rPh>
    <phoneticPr fontId="1"/>
  </si>
  <si>
    <r>
      <rPr>
        <sz val="11"/>
        <rFont val="游ゴシック Medium"/>
        <family val="3"/>
        <charset val="128"/>
      </rPr>
      <t>西丸</t>
    </r>
    <r>
      <rPr>
        <sz val="11"/>
        <rFont val="Consolas"/>
        <family val="3"/>
      </rPr>
      <t xml:space="preserve"> </t>
    </r>
    <r>
      <rPr>
        <sz val="11"/>
        <rFont val="游ゴシック Medium"/>
        <family val="3"/>
        <charset val="128"/>
      </rPr>
      <t>四方</t>
    </r>
    <rPh sb="0" eb="2">
      <t>ニシマル</t>
    </rPh>
    <rPh sb="3" eb="5">
      <t>シホウ</t>
    </rPh>
    <phoneticPr fontId="1"/>
  </si>
  <si>
    <r>
      <rPr>
        <sz val="11"/>
        <rFont val="游ゴシック Medium"/>
        <family val="3"/>
        <charset val="128"/>
      </rPr>
      <t>異常性格の世界</t>
    </r>
    <rPh sb="0" eb="2">
      <t>イジョウ</t>
    </rPh>
    <rPh sb="2" eb="4">
      <t>セイカク</t>
    </rPh>
    <rPh sb="5" eb="7">
      <t>セカイ</t>
    </rPh>
    <phoneticPr fontId="1"/>
  </si>
  <si>
    <r>
      <rPr>
        <sz val="11"/>
        <rFont val="游ゴシック Medium"/>
        <family val="3"/>
        <charset val="128"/>
      </rPr>
      <t>創元医学新書</t>
    </r>
    <r>
      <rPr>
        <sz val="11"/>
        <rFont val="Consolas"/>
        <family val="3"/>
      </rPr>
      <t>(A-1)</t>
    </r>
    <rPh sb="0" eb="2">
      <t>ソウゲン</t>
    </rPh>
    <rPh sb="2" eb="4">
      <t>イガク</t>
    </rPh>
    <rPh sb="4" eb="6">
      <t>シンショ</t>
    </rPh>
    <phoneticPr fontId="1"/>
  </si>
  <si>
    <r>
      <rPr>
        <sz val="11"/>
        <rFont val="游ゴシック Medium"/>
        <family val="3"/>
        <charset val="128"/>
      </rPr>
      <t>創元社</t>
    </r>
    <rPh sb="0" eb="2">
      <t>ソウゲン</t>
    </rPh>
    <rPh sb="2" eb="3">
      <t>シャ</t>
    </rPh>
    <phoneticPr fontId="1"/>
  </si>
  <si>
    <r>
      <rPr>
        <sz val="11"/>
        <rFont val="游ゴシック Medium"/>
        <family val="3"/>
        <charset val="128"/>
      </rPr>
      <t>稲田英一</t>
    </r>
    <rPh sb="0" eb="2">
      <t>イナダ</t>
    </rPh>
    <rPh sb="2" eb="4">
      <t>エイイチ</t>
    </rPh>
    <phoneticPr fontId="1"/>
  </si>
  <si>
    <r>
      <t>LiSA</t>
    </r>
    <r>
      <rPr>
        <sz val="11"/>
        <rFont val="游ゴシック Medium"/>
        <family val="3"/>
        <charset val="128"/>
      </rPr>
      <t>編集部</t>
    </r>
    <rPh sb="4" eb="7">
      <t>ヘンシュウブ</t>
    </rPh>
    <phoneticPr fontId="1"/>
  </si>
  <si>
    <r>
      <rPr>
        <sz val="11"/>
        <rFont val="游ゴシック Medium"/>
        <family val="3"/>
        <charset val="128"/>
      </rPr>
      <t>悪魔のささやき医学辞典</t>
    </r>
    <rPh sb="0" eb="2">
      <t>アクマ</t>
    </rPh>
    <rPh sb="7" eb="9">
      <t>イガク</t>
    </rPh>
    <rPh sb="9" eb="11">
      <t>ジテン</t>
    </rPh>
    <phoneticPr fontId="1"/>
  </si>
  <si>
    <r>
      <t>MEDSi/Medical Science International/</t>
    </r>
    <r>
      <rPr>
        <sz val="11"/>
        <rFont val="游ゴシック Medium"/>
        <family val="3"/>
        <charset val="128"/>
      </rPr>
      <t>㈱</t>
    </r>
    <rPh sb="6" eb="35">
      <t>メディカル　サイエンス　インターナショナル</t>
    </rPh>
    <phoneticPr fontId="1"/>
  </si>
  <si>
    <r>
      <rPr>
        <sz val="11"/>
        <rFont val="游ゴシック Medium"/>
        <family val="3"/>
        <charset val="128"/>
      </rPr>
      <t>正しい保健体育</t>
    </r>
    <r>
      <rPr>
        <sz val="11"/>
        <rFont val="Consolas"/>
        <family val="3"/>
      </rPr>
      <t xml:space="preserve"> </t>
    </r>
    <r>
      <rPr>
        <sz val="11"/>
        <rFont val="游ゴシック Medium"/>
        <family val="3"/>
        <charset val="128"/>
      </rPr>
      <t>これからオトナになる皆さんへ</t>
    </r>
    <rPh sb="0" eb="1">
      <t>タダ</t>
    </rPh>
    <rPh sb="3" eb="7">
      <t>ホケンタイイク</t>
    </rPh>
    <rPh sb="18" eb="19">
      <t>ミナ</t>
    </rPh>
    <phoneticPr fontId="1"/>
  </si>
  <si>
    <r>
      <rPr>
        <sz val="11"/>
        <rFont val="游ゴシック Medium"/>
        <family val="3"/>
        <charset val="128"/>
      </rPr>
      <t>よりみちパン</t>
    </r>
    <r>
      <rPr>
        <sz val="11"/>
        <rFont val="Consolas"/>
        <family val="3"/>
      </rPr>
      <t>!</t>
    </r>
    <r>
      <rPr>
        <sz val="11"/>
        <rFont val="游ゴシック Medium"/>
        <family val="3"/>
        <charset val="128"/>
      </rPr>
      <t>セ</t>
    </r>
    <r>
      <rPr>
        <sz val="11"/>
        <rFont val="Consolas"/>
        <family val="3"/>
      </rPr>
      <t xml:space="preserve"> 05 YA</t>
    </r>
    <r>
      <rPr>
        <sz val="11"/>
        <rFont val="游ゴシック Medium"/>
        <family val="3"/>
        <charset val="128"/>
      </rPr>
      <t>ヤングアダルト新書</t>
    </r>
    <rPh sb="21" eb="23">
      <t>シンショ</t>
    </rPh>
    <phoneticPr fontId="1"/>
  </si>
  <si>
    <r>
      <rPr>
        <sz val="11"/>
        <rFont val="游ゴシック Medium"/>
        <family val="3"/>
        <charset val="128"/>
      </rPr>
      <t>理論社</t>
    </r>
    <rPh sb="0" eb="2">
      <t>リロン</t>
    </rPh>
    <rPh sb="2" eb="3">
      <t>シャ</t>
    </rPh>
    <phoneticPr fontId="1"/>
  </si>
  <si>
    <r>
      <t>amazon/</t>
    </r>
    <r>
      <rPr>
        <sz val="11"/>
        <rFont val="游ゴシック Medium"/>
        <family val="3"/>
        <charset val="128"/>
      </rPr>
      <t>ネットオフアマゾン</t>
    </r>
    <phoneticPr fontId="1"/>
  </si>
  <si>
    <r>
      <rPr>
        <sz val="11"/>
        <rFont val="游ゴシック Medium"/>
        <family val="3"/>
        <charset val="128"/>
      </rPr>
      <t>鈴江</t>
    </r>
    <r>
      <rPr>
        <sz val="11"/>
        <rFont val="Consolas"/>
        <family val="3"/>
      </rPr>
      <t xml:space="preserve"> </t>
    </r>
    <r>
      <rPr>
        <sz val="11"/>
        <rFont val="游ゴシック Medium"/>
        <family val="3"/>
        <charset val="128"/>
      </rPr>
      <t>淳也</t>
    </r>
    <rPh sb="0" eb="2">
      <t>スズエ</t>
    </rPh>
    <rPh sb="3" eb="5">
      <t>ジュンヤ</t>
    </rPh>
    <phoneticPr fontId="1"/>
  </si>
  <si>
    <r>
      <rPr>
        <sz val="11"/>
        <rFont val="游ゴシック Medium"/>
        <family val="3"/>
        <charset val="128"/>
      </rPr>
      <t>現代の怪奇</t>
    </r>
    <r>
      <rPr>
        <sz val="11"/>
        <rFont val="Consolas"/>
        <family val="3"/>
      </rPr>
      <t xml:space="preserve"> -</t>
    </r>
    <r>
      <rPr>
        <sz val="11"/>
        <rFont val="游ゴシック Medium"/>
        <family val="3"/>
        <charset val="128"/>
      </rPr>
      <t>日本列島のミステリー地帯</t>
    </r>
    <r>
      <rPr>
        <sz val="11"/>
        <rFont val="Consolas"/>
        <family val="3"/>
      </rPr>
      <t>-</t>
    </r>
    <rPh sb="0" eb="2">
      <t>ゲンダイ</t>
    </rPh>
    <rPh sb="3" eb="5">
      <t>カイキ</t>
    </rPh>
    <rPh sb="7" eb="9">
      <t>ニホン</t>
    </rPh>
    <rPh sb="9" eb="11">
      <t>レットウ</t>
    </rPh>
    <rPh sb="17" eb="19">
      <t>チタイ</t>
    </rPh>
    <phoneticPr fontId="1"/>
  </si>
  <si>
    <r>
      <rPr>
        <sz val="11"/>
        <rFont val="游ゴシック Medium"/>
        <family val="3"/>
        <charset val="128"/>
      </rPr>
      <t>世界のノンフィクション</t>
    </r>
    <r>
      <rPr>
        <sz val="11"/>
        <rFont val="Consolas"/>
        <family val="3"/>
      </rPr>
      <t xml:space="preserve"> No.48</t>
    </r>
    <rPh sb="0" eb="2">
      <t>セカイ</t>
    </rPh>
    <phoneticPr fontId="1"/>
  </si>
  <si>
    <r>
      <rPr>
        <sz val="11"/>
        <rFont val="游ゴシック Medium"/>
        <family val="3"/>
        <charset val="128"/>
      </rPr>
      <t>大陸書房</t>
    </r>
    <rPh sb="0" eb="2">
      <t>タイリク</t>
    </rPh>
    <rPh sb="2" eb="4">
      <t>ショボウ</t>
    </rPh>
    <phoneticPr fontId="1"/>
  </si>
  <si>
    <r>
      <rPr>
        <sz val="11"/>
        <rFont val="游ゴシック Medium"/>
        <family val="3"/>
        <charset val="128"/>
      </rPr>
      <t>中学一年コース新年特大号</t>
    </r>
    <r>
      <rPr>
        <sz val="11"/>
        <rFont val="Consolas"/>
        <family val="3"/>
      </rPr>
      <t xml:space="preserve"> </t>
    </r>
    <r>
      <rPr>
        <sz val="11"/>
        <rFont val="游ゴシック Medium"/>
        <family val="3"/>
        <charset val="128"/>
      </rPr>
      <t>第</t>
    </r>
    <r>
      <rPr>
        <sz val="11"/>
        <rFont val="Consolas"/>
        <family val="3"/>
      </rPr>
      <t>1</t>
    </r>
    <r>
      <rPr>
        <sz val="11"/>
        <rFont val="游ゴシック Medium"/>
        <family val="3"/>
        <charset val="128"/>
      </rPr>
      <t>付録</t>
    </r>
    <rPh sb="0" eb="2">
      <t>チュウガク</t>
    </rPh>
    <rPh sb="2" eb="4">
      <t>イチネン</t>
    </rPh>
    <rPh sb="7" eb="9">
      <t>シンネン</t>
    </rPh>
    <rPh sb="9" eb="12">
      <t>トクダイゴウ</t>
    </rPh>
    <rPh sb="13" eb="14">
      <t>ダイ</t>
    </rPh>
    <rPh sb="15" eb="17">
      <t>フロク</t>
    </rPh>
    <phoneticPr fontId="1"/>
  </si>
  <si>
    <r>
      <rPr>
        <sz val="11"/>
        <rFont val="游ゴシック Medium"/>
        <family val="3"/>
        <charset val="128"/>
      </rPr>
      <t>南村</t>
    </r>
    <r>
      <rPr>
        <sz val="11"/>
        <rFont val="Consolas"/>
        <family val="3"/>
      </rPr>
      <t xml:space="preserve"> </t>
    </r>
    <r>
      <rPr>
        <sz val="11"/>
        <rFont val="游ゴシック Medium"/>
        <family val="3"/>
        <charset val="128"/>
      </rPr>
      <t>喬之</t>
    </r>
    <r>
      <rPr>
        <sz val="11"/>
        <rFont val="Consolas"/>
        <family val="3"/>
      </rPr>
      <t>,</t>
    </r>
    <r>
      <rPr>
        <sz val="11"/>
        <rFont val="游ゴシック Medium"/>
        <family val="3"/>
        <charset val="128"/>
      </rPr>
      <t>石井</t>
    </r>
    <r>
      <rPr>
        <sz val="11"/>
        <rFont val="Consolas"/>
        <family val="3"/>
      </rPr>
      <t xml:space="preserve"> </t>
    </r>
    <r>
      <rPr>
        <sz val="11"/>
        <rFont val="游ゴシック Medium"/>
        <family val="3"/>
        <charset val="128"/>
      </rPr>
      <t>治</t>
    </r>
    <r>
      <rPr>
        <sz val="11"/>
        <rFont val="Consolas"/>
        <family val="3"/>
      </rPr>
      <t>,</t>
    </r>
    <r>
      <rPr>
        <sz val="11"/>
        <rFont val="游ゴシック Medium"/>
        <family val="3"/>
        <charset val="128"/>
      </rPr>
      <t>加藤</t>
    </r>
    <r>
      <rPr>
        <sz val="11"/>
        <rFont val="Consolas"/>
        <family val="3"/>
      </rPr>
      <t xml:space="preserve"> </t>
    </r>
    <r>
      <rPr>
        <sz val="11"/>
        <rFont val="游ゴシック Medium"/>
        <family val="3"/>
        <charset val="128"/>
      </rPr>
      <t>孝雄</t>
    </r>
    <r>
      <rPr>
        <sz val="11"/>
        <rFont val="Consolas"/>
        <family val="3"/>
      </rPr>
      <t>,</t>
    </r>
    <r>
      <rPr>
        <sz val="11"/>
        <rFont val="游ゴシック Medium"/>
        <family val="3"/>
        <charset val="128"/>
      </rPr>
      <t>田村</t>
    </r>
    <r>
      <rPr>
        <sz val="11"/>
        <rFont val="Consolas"/>
        <family val="3"/>
      </rPr>
      <t xml:space="preserve"> </t>
    </r>
    <r>
      <rPr>
        <sz val="11"/>
        <rFont val="游ゴシック Medium"/>
        <family val="3"/>
        <charset val="128"/>
      </rPr>
      <t>元</t>
    </r>
    <r>
      <rPr>
        <sz val="11"/>
        <rFont val="Consolas"/>
        <family val="3"/>
      </rPr>
      <t>,</t>
    </r>
    <r>
      <rPr>
        <sz val="11"/>
        <rFont val="游ゴシック Medium"/>
        <family val="3"/>
        <charset val="128"/>
      </rPr>
      <t>山本</t>
    </r>
    <r>
      <rPr>
        <sz val="11"/>
        <rFont val="Consolas"/>
        <family val="3"/>
      </rPr>
      <t xml:space="preserve"> </t>
    </r>
    <r>
      <rPr>
        <sz val="11"/>
        <rFont val="游ゴシック Medium"/>
        <family val="3"/>
        <charset val="128"/>
      </rPr>
      <t>耀也</t>
    </r>
    <rPh sb="0" eb="2">
      <t>ミナミムラ</t>
    </rPh>
    <rPh sb="3" eb="5">
      <t>タカユキ</t>
    </rPh>
    <rPh sb="6" eb="8">
      <t>イシイ</t>
    </rPh>
    <rPh sb="9" eb="10">
      <t>オサム</t>
    </rPh>
    <rPh sb="11" eb="13">
      <t>カトウ</t>
    </rPh>
    <rPh sb="14" eb="16">
      <t>タカオ</t>
    </rPh>
    <rPh sb="17" eb="19">
      <t>タムラ</t>
    </rPh>
    <rPh sb="20" eb="21">
      <t>ゲン</t>
    </rPh>
    <rPh sb="22" eb="24">
      <t>ヤマモト</t>
    </rPh>
    <rPh sb="25" eb="27">
      <t>ヨウヤ</t>
    </rPh>
    <phoneticPr fontId="1"/>
  </si>
  <si>
    <r>
      <rPr>
        <sz val="11"/>
        <rFont val="游ゴシック Medium"/>
        <family val="3"/>
        <charset val="128"/>
      </rPr>
      <t>なぞと驚異の世界</t>
    </r>
    <rPh sb="3" eb="5">
      <t>キョウイ</t>
    </rPh>
    <rPh sb="6" eb="8">
      <t>セカイ</t>
    </rPh>
    <phoneticPr fontId="1"/>
  </si>
  <si>
    <r>
      <rPr>
        <sz val="11"/>
        <rFont val="游ゴシック Medium"/>
        <family val="3"/>
        <charset val="128"/>
      </rPr>
      <t>ティーンズ</t>
    </r>
    <r>
      <rPr>
        <sz val="11"/>
        <rFont val="Consolas"/>
        <family val="3"/>
      </rPr>
      <t xml:space="preserve"> </t>
    </r>
    <r>
      <rPr>
        <sz val="11"/>
        <rFont val="游ゴシック Medium"/>
        <family val="3"/>
        <charset val="128"/>
      </rPr>
      <t>フレッシュ</t>
    </r>
    <r>
      <rPr>
        <sz val="11"/>
        <rFont val="Consolas"/>
        <family val="3"/>
      </rPr>
      <t xml:space="preserve"> </t>
    </r>
    <r>
      <rPr>
        <sz val="11"/>
        <rFont val="游ゴシック Medium"/>
        <family val="3"/>
        <charset val="128"/>
      </rPr>
      <t>ブックス</t>
    </r>
    <phoneticPr fontId="1"/>
  </si>
  <si>
    <r>
      <t>4</t>
    </r>
    <r>
      <rPr>
        <sz val="11"/>
        <rFont val="游ゴシック Medium"/>
        <family val="3"/>
        <charset val="128"/>
      </rPr>
      <t>年の学習</t>
    </r>
    <r>
      <rPr>
        <sz val="11"/>
        <rFont val="Consolas"/>
        <family val="3"/>
      </rPr>
      <t xml:space="preserve"> 3</t>
    </r>
    <r>
      <rPr>
        <sz val="11"/>
        <rFont val="游ゴシック Medium"/>
        <family val="3"/>
        <charset val="128"/>
      </rPr>
      <t>学期開始号</t>
    </r>
    <r>
      <rPr>
        <sz val="11"/>
        <rFont val="Consolas"/>
        <family val="3"/>
      </rPr>
      <t xml:space="preserve"> 2 </t>
    </r>
    <r>
      <rPr>
        <sz val="11"/>
        <rFont val="游ゴシック Medium"/>
        <family val="3"/>
        <charset val="128"/>
      </rPr>
      <t>第</t>
    </r>
    <r>
      <rPr>
        <sz val="11"/>
        <rFont val="Consolas"/>
        <family val="3"/>
      </rPr>
      <t>1</t>
    </r>
    <r>
      <rPr>
        <sz val="11"/>
        <rFont val="游ゴシック Medium"/>
        <family val="3"/>
        <charset val="128"/>
      </rPr>
      <t>学習教材</t>
    </r>
    <r>
      <rPr>
        <sz val="11"/>
        <rFont val="Consolas"/>
        <family val="3"/>
      </rPr>
      <t>=</t>
    </r>
    <r>
      <rPr>
        <sz val="11"/>
        <rFont val="游ゴシック Medium"/>
        <family val="3"/>
        <charset val="128"/>
      </rPr>
      <t>社会科</t>
    </r>
    <rPh sb="1" eb="2">
      <t>ネン</t>
    </rPh>
    <rPh sb="3" eb="5">
      <t>ガクシュウ</t>
    </rPh>
    <rPh sb="7" eb="9">
      <t>ガッキ</t>
    </rPh>
    <rPh sb="9" eb="11">
      <t>カイシ</t>
    </rPh>
    <rPh sb="11" eb="12">
      <t>ゴウ</t>
    </rPh>
    <rPh sb="15" eb="16">
      <t>ダイ</t>
    </rPh>
    <rPh sb="17" eb="19">
      <t>ガクシュウ</t>
    </rPh>
    <rPh sb="19" eb="21">
      <t>キョウザイ</t>
    </rPh>
    <rPh sb="22" eb="25">
      <t>シャカイカ</t>
    </rPh>
    <phoneticPr fontId="1"/>
  </si>
  <si>
    <r>
      <rPr>
        <sz val="11"/>
        <rFont val="游ゴシック Medium"/>
        <family val="3"/>
        <charset val="128"/>
      </rPr>
      <t>交通びっくり百科</t>
    </r>
    <r>
      <rPr>
        <sz val="11"/>
        <rFont val="Consolas"/>
        <family val="3"/>
      </rPr>
      <t>/</t>
    </r>
    <r>
      <rPr>
        <sz val="11"/>
        <rFont val="游ゴシック Medium"/>
        <family val="3"/>
        <charset val="128"/>
      </rPr>
      <t>まんがと図解で見る</t>
    </r>
    <rPh sb="0" eb="2">
      <t>コウツウ</t>
    </rPh>
    <rPh sb="6" eb="8">
      <t>ヒャッカ</t>
    </rPh>
    <phoneticPr fontId="1"/>
  </si>
  <si>
    <r>
      <rPr>
        <sz val="11"/>
        <rFont val="游ゴシック Medium"/>
        <family val="3"/>
        <charset val="128"/>
      </rPr>
      <t>日本</t>
    </r>
    <r>
      <rPr>
        <sz val="11"/>
        <rFont val="Consolas"/>
        <family val="3"/>
      </rPr>
      <t>PTA</t>
    </r>
    <r>
      <rPr>
        <sz val="11"/>
        <rFont val="游ゴシック Medium"/>
        <family val="3"/>
        <charset val="128"/>
      </rPr>
      <t>全国協議会推薦</t>
    </r>
    <rPh sb="0" eb="2">
      <t>ニホン</t>
    </rPh>
    <rPh sb="5" eb="7">
      <t>ゼンコク</t>
    </rPh>
    <rPh sb="7" eb="10">
      <t>キョウギカイ</t>
    </rPh>
    <rPh sb="10" eb="12">
      <t>スイセン</t>
    </rPh>
    <phoneticPr fontId="1"/>
  </si>
  <si>
    <r>
      <rPr>
        <sz val="11"/>
        <rFont val="游ゴシック Medium"/>
        <family val="3"/>
        <charset val="128"/>
      </rPr>
      <t>ものみの塔聖書冊子協会</t>
    </r>
    <rPh sb="4" eb="5">
      <t>トウ</t>
    </rPh>
    <rPh sb="5" eb="7">
      <t>セイショ</t>
    </rPh>
    <rPh sb="7" eb="9">
      <t>サッシ</t>
    </rPh>
    <rPh sb="9" eb="11">
      <t>キョウカイ</t>
    </rPh>
    <phoneticPr fontId="1"/>
  </si>
  <si>
    <r>
      <t xml:space="preserve">"Look! I am making all things new" </t>
    </r>
    <r>
      <rPr>
        <sz val="11"/>
        <rFont val="游ゴシック Medium"/>
        <family val="3"/>
        <charset val="128"/>
      </rPr>
      <t>「見よ</t>
    </r>
    <r>
      <rPr>
        <sz val="11"/>
        <rFont val="Consolas"/>
        <family val="3"/>
      </rPr>
      <t xml:space="preserve">! </t>
    </r>
    <r>
      <rPr>
        <sz val="11"/>
        <rFont val="游ゴシック Medium"/>
        <family val="3"/>
        <charset val="128"/>
      </rPr>
      <t>わたしはすべてのものを新しくする」</t>
    </r>
    <rPh sb="51" eb="52">
      <t>アタラ</t>
    </rPh>
    <phoneticPr fontId="1"/>
  </si>
  <si>
    <r>
      <rPr>
        <sz val="11"/>
        <rFont val="游ゴシック Medium"/>
        <family val="3"/>
        <charset val="128"/>
      </rPr>
      <t>テディ</t>
    </r>
    <r>
      <rPr>
        <sz val="11"/>
        <rFont val="Consolas"/>
        <family val="3"/>
      </rPr>
      <t xml:space="preserve"> </t>
    </r>
    <r>
      <rPr>
        <sz val="11"/>
        <rFont val="游ゴシック Medium"/>
        <family val="3"/>
        <charset val="128"/>
      </rPr>
      <t>片山</t>
    </r>
    <r>
      <rPr>
        <sz val="11"/>
        <rFont val="Consolas"/>
        <family val="3"/>
      </rPr>
      <t>,</t>
    </r>
    <r>
      <rPr>
        <sz val="11"/>
        <rFont val="游ゴシック Medium"/>
        <family val="3"/>
        <charset val="128"/>
      </rPr>
      <t>しとう</t>
    </r>
    <r>
      <rPr>
        <sz val="11"/>
        <rFont val="Consolas"/>
        <family val="3"/>
      </rPr>
      <t xml:space="preserve"> </t>
    </r>
    <r>
      <rPr>
        <sz val="11"/>
        <rFont val="游ゴシック Medium"/>
        <family val="3"/>
        <charset val="128"/>
      </rPr>
      <t>きねお</t>
    </r>
    <rPh sb="4" eb="6">
      <t>カタヤマ</t>
    </rPh>
    <phoneticPr fontId="1"/>
  </si>
  <si>
    <r>
      <rPr>
        <sz val="11"/>
        <rFont val="游ゴシック Medium"/>
        <family val="3"/>
        <charset val="128"/>
      </rPr>
      <t>意地悪な本</t>
    </r>
    <r>
      <rPr>
        <sz val="11"/>
        <rFont val="Consolas"/>
        <family val="3"/>
      </rPr>
      <t xml:space="preserve"> </t>
    </r>
    <r>
      <rPr>
        <sz val="11"/>
        <rFont val="游ゴシック Medium"/>
        <family val="3"/>
        <charset val="128"/>
      </rPr>
      <t>あなたもやってみませんか</t>
    </r>
    <r>
      <rPr>
        <sz val="11"/>
        <rFont val="Consolas"/>
        <family val="3"/>
      </rPr>
      <t>!</t>
    </r>
    <rPh sb="0" eb="3">
      <t>イジワル</t>
    </rPh>
    <rPh sb="4" eb="5">
      <t>ホン</t>
    </rPh>
    <phoneticPr fontId="1"/>
  </si>
  <si>
    <r>
      <t>KK</t>
    </r>
    <r>
      <rPr>
        <sz val="11"/>
        <rFont val="游ゴシック Medium"/>
        <family val="3"/>
        <charset val="128"/>
      </rPr>
      <t>ベストセラーズ</t>
    </r>
    <r>
      <rPr>
        <sz val="11"/>
        <rFont val="Consolas"/>
        <family val="3"/>
      </rPr>
      <t xml:space="preserve"> 109</t>
    </r>
    <phoneticPr fontId="1"/>
  </si>
  <si>
    <r>
      <rPr>
        <sz val="11"/>
        <rFont val="游ゴシック Medium"/>
        <family val="3"/>
        <charset val="128"/>
      </rPr>
      <t>楠山</t>
    </r>
    <r>
      <rPr>
        <sz val="11"/>
        <rFont val="Consolas"/>
        <family val="3"/>
      </rPr>
      <t xml:space="preserve"> </t>
    </r>
    <r>
      <rPr>
        <sz val="11"/>
        <rFont val="游ゴシック Medium"/>
        <family val="3"/>
        <charset val="128"/>
      </rPr>
      <t>忠之</t>
    </r>
    <rPh sb="0" eb="2">
      <t>クスヤマ</t>
    </rPh>
    <rPh sb="3" eb="5">
      <t>タダユキ</t>
    </rPh>
    <phoneticPr fontId="1"/>
  </si>
  <si>
    <r>
      <rPr>
        <sz val="11"/>
        <rFont val="游ゴシック Medium"/>
        <family val="3"/>
        <charset val="128"/>
      </rPr>
      <t>いたずらカメラ入門</t>
    </r>
    <r>
      <rPr>
        <sz val="11"/>
        <rFont val="Consolas"/>
        <family val="3"/>
      </rPr>
      <t xml:space="preserve"> 1000</t>
    </r>
    <r>
      <rPr>
        <sz val="11"/>
        <rFont val="游ゴシック Medium"/>
        <family val="3"/>
        <charset val="128"/>
      </rPr>
      <t>万人の常識を破る強烈センス</t>
    </r>
    <rPh sb="7" eb="9">
      <t>ニュウモン</t>
    </rPh>
    <rPh sb="14" eb="16">
      <t>マンニン</t>
    </rPh>
    <rPh sb="17" eb="19">
      <t>ジョウシキ</t>
    </rPh>
    <rPh sb="20" eb="21">
      <t>ヤブ</t>
    </rPh>
    <rPh sb="22" eb="24">
      <t>キョウレツ</t>
    </rPh>
    <phoneticPr fontId="1"/>
  </si>
  <si>
    <r>
      <rPr>
        <sz val="11"/>
        <rFont val="游ゴシック Medium"/>
        <family val="3"/>
        <charset val="128"/>
      </rPr>
      <t>泉山中三</t>
    </r>
    <rPh sb="0" eb="2">
      <t>イズミヤマ</t>
    </rPh>
    <rPh sb="2" eb="4">
      <t>ナカミ</t>
    </rPh>
    <phoneticPr fontId="1"/>
  </si>
  <si>
    <r>
      <rPr>
        <sz val="11"/>
        <rFont val="游ゴシック Medium"/>
        <family val="3"/>
        <charset val="128"/>
      </rPr>
      <t>東京音大講師</t>
    </r>
    <rPh sb="0" eb="2">
      <t>トウキョウ</t>
    </rPh>
    <rPh sb="2" eb="4">
      <t>オンダイ</t>
    </rPh>
    <rPh sb="4" eb="6">
      <t>コウシ</t>
    </rPh>
    <phoneticPr fontId="1"/>
  </si>
  <si>
    <r>
      <t>Sound</t>
    </r>
    <r>
      <rPr>
        <sz val="11"/>
        <rFont val="游ゴシック Medium"/>
        <family val="3"/>
        <charset val="128"/>
      </rPr>
      <t>勉強術</t>
    </r>
    <r>
      <rPr>
        <sz val="11"/>
        <rFont val="Consolas"/>
        <family val="3"/>
      </rPr>
      <t>/</t>
    </r>
    <r>
      <rPr>
        <sz val="11"/>
        <rFont val="游ゴシック Medium"/>
        <family val="3"/>
        <charset val="128"/>
      </rPr>
      <t>頭がさえる</t>
    </r>
    <rPh sb="0" eb="5">
      <t>サウンド</t>
    </rPh>
    <rPh sb="5" eb="7">
      <t>ベンキョウ</t>
    </rPh>
    <rPh sb="7" eb="8">
      <t>ジュツ</t>
    </rPh>
    <rPh sb="9" eb="10">
      <t>アタマ</t>
    </rPh>
    <phoneticPr fontId="1"/>
  </si>
  <si>
    <r>
      <rPr>
        <sz val="11"/>
        <rFont val="游ゴシック Medium"/>
        <family val="3"/>
        <charset val="128"/>
      </rPr>
      <t>ごま書房</t>
    </r>
    <rPh sb="2" eb="4">
      <t>ショボウ</t>
    </rPh>
    <phoneticPr fontId="1"/>
  </si>
  <si>
    <r>
      <rPr>
        <sz val="11"/>
        <rFont val="游ゴシック Medium"/>
        <family val="3"/>
        <charset val="128"/>
      </rPr>
      <t>岡田雅勝</t>
    </r>
    <rPh sb="0" eb="2">
      <t>オカダ</t>
    </rPh>
    <rPh sb="2" eb="4">
      <t>マサカツ</t>
    </rPh>
    <phoneticPr fontId="1"/>
  </si>
  <si>
    <r>
      <t>Wittgenstein/</t>
    </r>
    <r>
      <rPr>
        <sz val="11"/>
        <rFont val="游ゴシック Medium"/>
        <family val="3"/>
        <charset val="128"/>
      </rPr>
      <t>人と思想</t>
    </r>
    <rPh sb="0" eb="12">
      <t>ウィトゲンシュタイン</t>
    </rPh>
    <rPh sb="13" eb="14">
      <t>ヒト</t>
    </rPh>
    <rPh sb="15" eb="17">
      <t>シソウ</t>
    </rPh>
    <phoneticPr fontId="1"/>
  </si>
  <si>
    <r>
      <rPr>
        <sz val="11"/>
        <rFont val="游ゴシック Medium"/>
        <family val="3"/>
        <charset val="128"/>
      </rPr>
      <t>清水書院</t>
    </r>
    <rPh sb="0" eb="2">
      <t>シミズ</t>
    </rPh>
    <rPh sb="2" eb="4">
      <t>ショイン</t>
    </rPh>
    <phoneticPr fontId="1"/>
  </si>
  <si>
    <r>
      <rPr>
        <sz val="11"/>
        <rFont val="游ゴシック Medium"/>
        <family val="3"/>
        <charset val="128"/>
      </rPr>
      <t>準新書</t>
    </r>
    <r>
      <rPr>
        <sz val="11"/>
        <rFont val="Consolas"/>
        <family val="3"/>
      </rPr>
      <t>/pamphlet</t>
    </r>
    <rPh sb="0" eb="1">
      <t>ジュン</t>
    </rPh>
    <rPh sb="1" eb="3">
      <t>シンショ</t>
    </rPh>
    <phoneticPr fontId="1"/>
  </si>
  <si>
    <r>
      <rPr>
        <sz val="11"/>
        <rFont val="游ゴシック Medium"/>
        <family val="3"/>
        <charset val="128"/>
      </rPr>
      <t>つかれ酢本舗</t>
    </r>
    <r>
      <rPr>
        <sz val="11"/>
        <rFont val="Consolas"/>
        <family val="3"/>
      </rPr>
      <t>/</t>
    </r>
    <r>
      <rPr>
        <sz val="11"/>
        <rFont val="游ゴシック Medium"/>
        <family val="3"/>
        <charset val="128"/>
      </rPr>
      <t>㈲</t>
    </r>
    <rPh sb="3" eb="4">
      <t>ズ</t>
    </rPh>
    <rPh sb="4" eb="6">
      <t>ホンポ</t>
    </rPh>
    <phoneticPr fontId="1"/>
  </si>
  <si>
    <r>
      <rPr>
        <sz val="11"/>
        <rFont val="游ゴシック Medium"/>
        <family val="3"/>
        <charset val="128"/>
      </rPr>
      <t>製造･発売元</t>
    </r>
    <rPh sb="0" eb="2">
      <t>セイゾウ</t>
    </rPh>
    <rPh sb="3" eb="6">
      <t>ハツバイモト</t>
    </rPh>
    <phoneticPr fontId="1"/>
  </si>
  <si>
    <r>
      <rPr>
        <sz val="11"/>
        <rFont val="游ゴシック Medium"/>
        <family val="3"/>
        <charset val="128"/>
      </rPr>
      <t>クエン酸の飲み方</t>
    </r>
    <r>
      <rPr>
        <sz val="11"/>
        <rFont val="Consolas"/>
        <family val="3"/>
      </rPr>
      <t>/</t>
    </r>
    <r>
      <rPr>
        <sz val="11"/>
        <rFont val="游ゴシック Medium"/>
        <family val="3"/>
        <charset val="128"/>
      </rPr>
      <t>初めての方の</t>
    </r>
    <r>
      <rPr>
        <sz val="11"/>
        <rFont val="Consolas"/>
        <family val="3"/>
      </rPr>
      <t>/</t>
    </r>
    <r>
      <rPr>
        <sz val="11"/>
        <rFont val="游ゴシック Medium"/>
        <family val="3"/>
        <charset val="128"/>
      </rPr>
      <t>クエン酸こそつかれず</t>
    </r>
    <rPh sb="3" eb="4">
      <t>サン</t>
    </rPh>
    <rPh sb="5" eb="6">
      <t>ノ</t>
    </rPh>
    <rPh sb="7" eb="8">
      <t>カタ</t>
    </rPh>
    <rPh sb="9" eb="10">
      <t>ハジ</t>
    </rPh>
    <rPh sb="13" eb="14">
      <t>カタ</t>
    </rPh>
    <rPh sb="19" eb="20">
      <t>サン</t>
    </rPh>
    <phoneticPr fontId="1"/>
  </si>
  <si>
    <r>
      <t>Radical</t>
    </r>
    <r>
      <rPr>
        <sz val="11"/>
        <rFont val="游ゴシック Medium"/>
        <family val="3"/>
        <charset val="128"/>
      </rPr>
      <t>文庫</t>
    </r>
    <r>
      <rPr>
        <sz val="11"/>
        <rFont val="Consolas"/>
        <family val="3"/>
      </rPr>
      <t xml:space="preserve"> 1</t>
    </r>
    <r>
      <rPr>
        <sz val="11"/>
        <rFont val="游ゴシック Medium"/>
        <family val="3"/>
        <charset val="128"/>
      </rPr>
      <t>月号</t>
    </r>
    <r>
      <rPr>
        <sz val="11"/>
        <rFont val="Consolas"/>
        <family val="3"/>
      </rPr>
      <t>/Tokyo Radical Mystery Night</t>
    </r>
    <rPh sb="0" eb="7">
      <t>ラジカル</t>
    </rPh>
    <rPh sb="7" eb="9">
      <t>ブンコ</t>
    </rPh>
    <rPh sb="11" eb="13">
      <t>ガツゴウ</t>
    </rPh>
    <phoneticPr fontId="1"/>
  </si>
  <si>
    <r>
      <rPr>
        <sz val="11"/>
        <rFont val="游ゴシック Medium"/>
        <family val="3"/>
        <charset val="128"/>
      </rPr>
      <t>蘆原英了</t>
    </r>
    <rPh sb="0" eb="2">
      <t>アシハラ</t>
    </rPh>
    <rPh sb="2" eb="4">
      <t>エイリョウ</t>
    </rPh>
    <phoneticPr fontId="1"/>
  </si>
  <si>
    <r>
      <rPr>
        <sz val="11"/>
        <rFont val="游ゴシック Medium"/>
        <family val="3"/>
        <charset val="128"/>
      </rPr>
      <t>三井</t>
    </r>
    <r>
      <rPr>
        <sz val="11"/>
        <rFont val="Consolas"/>
        <family val="3"/>
      </rPr>
      <t xml:space="preserve"> </t>
    </r>
    <r>
      <rPr>
        <sz val="11"/>
        <rFont val="游ゴシック Medium"/>
        <family val="3"/>
        <charset val="128"/>
      </rPr>
      <t>徹</t>
    </r>
    <r>
      <rPr>
        <sz val="11"/>
        <rFont val="Consolas"/>
        <family val="3"/>
      </rPr>
      <t xml:space="preserve">, </t>
    </r>
    <r>
      <rPr>
        <sz val="11"/>
        <rFont val="游ゴシック Medium"/>
        <family val="3"/>
        <charset val="128"/>
      </rPr>
      <t>安奈</t>
    </r>
    <r>
      <rPr>
        <sz val="11"/>
        <rFont val="Consolas"/>
        <family val="3"/>
      </rPr>
      <t xml:space="preserve"> </t>
    </r>
    <r>
      <rPr>
        <sz val="11"/>
        <rFont val="游ゴシック Medium"/>
        <family val="3"/>
        <charset val="128"/>
      </rPr>
      <t>透</t>
    </r>
    <rPh sb="0" eb="2">
      <t>ミツイ</t>
    </rPh>
    <rPh sb="3" eb="4">
      <t>トオル</t>
    </rPh>
    <rPh sb="6" eb="8">
      <t>アンナ</t>
    </rPh>
    <rPh sb="9" eb="10">
      <t>トオル</t>
    </rPh>
    <phoneticPr fontId="1"/>
  </si>
  <si>
    <r>
      <rPr>
        <sz val="11"/>
        <rFont val="游ゴシック Medium"/>
        <family val="3"/>
        <charset val="128"/>
      </rPr>
      <t>世界春歌抄</t>
    </r>
    <r>
      <rPr>
        <sz val="11"/>
        <rFont val="Consolas"/>
        <family val="3"/>
      </rPr>
      <t xml:space="preserve"> </t>
    </r>
    <r>
      <rPr>
        <sz val="11"/>
        <rFont val="游ゴシック Medium"/>
        <family val="3"/>
        <charset val="128"/>
      </rPr>
      <t>イギリス</t>
    </r>
    <r>
      <rPr>
        <sz val="11"/>
        <rFont val="Consolas"/>
        <family val="3"/>
      </rPr>
      <t xml:space="preserve"> </t>
    </r>
    <r>
      <rPr>
        <sz val="11"/>
        <rFont val="游ゴシック Medium"/>
        <family val="3"/>
        <charset val="128"/>
      </rPr>
      <t>ドイツ編</t>
    </r>
    <rPh sb="0" eb="2">
      <t>セカイ</t>
    </rPh>
    <rPh sb="2" eb="4">
      <t>シュンカ</t>
    </rPh>
    <rPh sb="4" eb="5">
      <t>ショウ</t>
    </rPh>
    <rPh sb="14" eb="15">
      <t>ヘン</t>
    </rPh>
    <phoneticPr fontId="1"/>
  </si>
  <si>
    <r>
      <rPr>
        <sz val="11"/>
        <rFont val="游ゴシック Medium"/>
        <family val="3"/>
        <charset val="128"/>
      </rPr>
      <t>自由国民社</t>
    </r>
    <rPh sb="0" eb="2">
      <t>ジユウ</t>
    </rPh>
    <rPh sb="2" eb="3">
      <t>コク</t>
    </rPh>
    <rPh sb="3" eb="5">
      <t>ミンシャ</t>
    </rPh>
    <phoneticPr fontId="1"/>
  </si>
  <si>
    <r>
      <rPr>
        <sz val="11"/>
        <rFont val="游ゴシック Medium"/>
        <family val="3"/>
        <charset val="128"/>
      </rPr>
      <t>三橋一夫</t>
    </r>
    <r>
      <rPr>
        <sz val="11"/>
        <rFont val="Consolas"/>
        <family val="3"/>
      </rPr>
      <t xml:space="preserve">, </t>
    </r>
    <r>
      <rPr>
        <sz val="11"/>
        <rFont val="游ゴシック Medium"/>
        <family val="3"/>
        <charset val="128"/>
      </rPr>
      <t>田中義明</t>
    </r>
    <r>
      <rPr>
        <sz val="11"/>
        <rFont val="Consolas"/>
        <family val="3"/>
      </rPr>
      <t xml:space="preserve">, </t>
    </r>
    <r>
      <rPr>
        <sz val="11"/>
        <rFont val="游ゴシック Medium"/>
        <family val="3"/>
        <charset val="128"/>
      </rPr>
      <t>江波戸</t>
    </r>
    <r>
      <rPr>
        <sz val="11"/>
        <rFont val="Consolas"/>
        <family val="3"/>
      </rPr>
      <t xml:space="preserve"> </t>
    </r>
    <r>
      <rPr>
        <sz val="11"/>
        <rFont val="游ゴシック Medium"/>
        <family val="3"/>
        <charset val="128"/>
      </rPr>
      <t>昭</t>
    </r>
    <r>
      <rPr>
        <sz val="11"/>
        <rFont val="Consolas"/>
        <family val="3"/>
      </rPr>
      <t xml:space="preserve">, </t>
    </r>
    <r>
      <rPr>
        <sz val="11"/>
        <rFont val="游ゴシック Medium"/>
        <family val="3"/>
        <charset val="128"/>
      </rPr>
      <t>諏訪</t>
    </r>
    <r>
      <rPr>
        <sz val="11"/>
        <rFont val="Consolas"/>
        <family val="3"/>
      </rPr>
      <t xml:space="preserve"> </t>
    </r>
    <r>
      <rPr>
        <sz val="11"/>
        <rFont val="游ゴシック Medium"/>
        <family val="3"/>
        <charset val="128"/>
      </rPr>
      <t>優</t>
    </r>
    <rPh sb="0" eb="2">
      <t>ミハシ</t>
    </rPh>
    <rPh sb="2" eb="4">
      <t>カズオ</t>
    </rPh>
    <rPh sb="6" eb="8">
      <t>タナカ</t>
    </rPh>
    <rPh sb="8" eb="10">
      <t>ヨシアキ</t>
    </rPh>
    <rPh sb="12" eb="15">
      <t>エバト</t>
    </rPh>
    <rPh sb="16" eb="17">
      <t>アキラ</t>
    </rPh>
    <rPh sb="19" eb="21">
      <t>スワ</t>
    </rPh>
    <rPh sb="22" eb="23">
      <t>ユウ</t>
    </rPh>
    <phoneticPr fontId="1"/>
  </si>
  <si>
    <r>
      <rPr>
        <sz val="11"/>
        <rFont val="游ゴシック Medium"/>
        <family val="3"/>
        <charset val="128"/>
      </rPr>
      <t>世界春歌抄</t>
    </r>
    <r>
      <rPr>
        <sz val="11"/>
        <rFont val="Consolas"/>
        <family val="3"/>
      </rPr>
      <t xml:space="preserve"> </t>
    </r>
    <r>
      <rPr>
        <sz val="11"/>
        <rFont val="游ゴシック Medium"/>
        <family val="3"/>
        <charset val="128"/>
      </rPr>
      <t>フランス</t>
    </r>
    <r>
      <rPr>
        <sz val="11"/>
        <rFont val="Consolas"/>
        <family val="3"/>
      </rPr>
      <t xml:space="preserve"> </t>
    </r>
    <r>
      <rPr>
        <sz val="11"/>
        <rFont val="游ゴシック Medium"/>
        <family val="3"/>
        <charset val="128"/>
      </rPr>
      <t>アメリカ編</t>
    </r>
    <rPh sb="0" eb="2">
      <t>セカイ</t>
    </rPh>
    <rPh sb="2" eb="4">
      <t>シュンカ</t>
    </rPh>
    <rPh sb="4" eb="5">
      <t>ショウ</t>
    </rPh>
    <rPh sb="15" eb="16">
      <t>ヘン</t>
    </rPh>
    <phoneticPr fontId="1"/>
  </si>
  <si>
    <r>
      <rPr>
        <sz val="11"/>
        <rFont val="游ゴシック Medium"/>
        <family val="3"/>
        <charset val="128"/>
      </rPr>
      <t>飯沢</t>
    </r>
    <r>
      <rPr>
        <sz val="11"/>
        <rFont val="Consolas"/>
        <family val="3"/>
      </rPr>
      <t xml:space="preserve"> </t>
    </r>
    <r>
      <rPr>
        <sz val="11"/>
        <rFont val="游ゴシック Medium"/>
        <family val="3"/>
        <charset val="128"/>
      </rPr>
      <t>耕太郎</t>
    </r>
    <rPh sb="0" eb="2">
      <t>イイザワ</t>
    </rPh>
    <rPh sb="3" eb="6">
      <t>コウタロウ</t>
    </rPh>
    <phoneticPr fontId="1"/>
  </si>
  <si>
    <r>
      <rPr>
        <sz val="11"/>
        <rFont val="游ゴシック Medium"/>
        <family val="3"/>
        <charset val="128"/>
      </rPr>
      <t>きのこ文学大全</t>
    </r>
    <rPh sb="3" eb="5">
      <t>ブンガク</t>
    </rPh>
    <rPh sb="5" eb="7">
      <t>ダイゼン</t>
    </rPh>
    <phoneticPr fontId="1"/>
  </si>
  <si>
    <r>
      <rPr>
        <sz val="11"/>
        <rFont val="游ゴシック Medium"/>
        <family val="3"/>
        <charset val="128"/>
      </rPr>
      <t>平凡社新書</t>
    </r>
    <rPh sb="0" eb="5">
      <t>ヘイボンシャシンショ</t>
    </rPh>
    <phoneticPr fontId="1"/>
  </si>
  <si>
    <r>
      <rPr>
        <sz val="11"/>
        <rFont val="游ゴシック Medium"/>
        <family val="3"/>
        <charset val="128"/>
      </rPr>
      <t>渡辺芳夫</t>
    </r>
    <rPh sb="0" eb="2">
      <t>ワタナベ</t>
    </rPh>
    <rPh sb="2" eb="4">
      <t>ヨシオ</t>
    </rPh>
    <phoneticPr fontId="1"/>
  </si>
  <si>
    <r>
      <rPr>
        <sz val="11"/>
        <rFont val="游ゴシック Medium"/>
        <family val="3"/>
        <charset val="128"/>
      </rPr>
      <t>黒いセックス</t>
    </r>
    <r>
      <rPr>
        <sz val="11"/>
        <rFont val="Consolas"/>
        <family val="3"/>
      </rPr>
      <t xml:space="preserve"> </t>
    </r>
    <r>
      <rPr>
        <sz val="11"/>
        <rFont val="游ゴシック Medium"/>
        <family val="3"/>
        <charset val="128"/>
      </rPr>
      <t>アフリカの生態</t>
    </r>
    <rPh sb="0" eb="1">
      <t>クロ</t>
    </rPh>
    <rPh sb="12" eb="14">
      <t>セイタイ</t>
    </rPh>
    <phoneticPr fontId="1"/>
  </si>
  <si>
    <r>
      <rPr>
        <sz val="11"/>
        <rFont val="游ゴシック Medium"/>
        <family val="3"/>
        <charset val="128"/>
      </rPr>
      <t>ミリオン・ブックス</t>
    </r>
    <phoneticPr fontId="1"/>
  </si>
  <si>
    <r>
      <rPr>
        <sz val="11"/>
        <rFont val="游ゴシック Medium"/>
        <family val="3"/>
        <charset val="128"/>
      </rPr>
      <t>白いセックス</t>
    </r>
    <r>
      <rPr>
        <sz val="11"/>
        <rFont val="Consolas"/>
        <family val="3"/>
      </rPr>
      <t xml:space="preserve"> </t>
    </r>
    <r>
      <rPr>
        <sz val="11"/>
        <rFont val="游ゴシック Medium"/>
        <family val="3"/>
        <charset val="128"/>
      </rPr>
      <t>病めるヨーロッパ</t>
    </r>
    <rPh sb="0" eb="1">
      <t>シロ</t>
    </rPh>
    <rPh sb="7" eb="8">
      <t>ヤ</t>
    </rPh>
    <phoneticPr fontId="1"/>
  </si>
  <si>
    <r>
      <rPr>
        <sz val="11"/>
        <rFont val="游ゴシック Medium"/>
        <family val="3"/>
        <charset val="128"/>
      </rPr>
      <t>林</t>
    </r>
    <r>
      <rPr>
        <sz val="11"/>
        <rFont val="Consolas"/>
        <family val="3"/>
      </rPr>
      <t xml:space="preserve"> </t>
    </r>
    <r>
      <rPr>
        <sz val="11"/>
        <rFont val="游ゴシック Medium"/>
        <family val="3"/>
        <charset val="128"/>
      </rPr>
      <t>美一</t>
    </r>
    <rPh sb="0" eb="1">
      <t>ハヤシ</t>
    </rPh>
    <rPh sb="2" eb="4">
      <t>ヨシカズ</t>
    </rPh>
    <phoneticPr fontId="1"/>
  </si>
  <si>
    <r>
      <rPr>
        <sz val="11"/>
        <rFont val="游ゴシック Medium"/>
        <family val="3"/>
        <charset val="128"/>
      </rPr>
      <t>まくら絵</t>
    </r>
    <r>
      <rPr>
        <sz val="11"/>
        <rFont val="Consolas"/>
        <family val="3"/>
      </rPr>
      <t>/</t>
    </r>
    <r>
      <rPr>
        <sz val="11"/>
        <rFont val="游ゴシック Medium"/>
        <family val="3"/>
        <charset val="128"/>
      </rPr>
      <t>江戸庶民の</t>
    </r>
    <r>
      <rPr>
        <sz val="11"/>
        <rFont val="Consolas"/>
        <family val="3"/>
      </rPr>
      <t>Eros</t>
    </r>
    <rPh sb="3" eb="4">
      <t>エ</t>
    </rPh>
    <rPh sb="5" eb="7">
      <t>エド</t>
    </rPh>
    <rPh sb="7" eb="9">
      <t>ショミン</t>
    </rPh>
    <rPh sb="10" eb="14">
      <t>エロス</t>
    </rPh>
    <phoneticPr fontId="1"/>
  </si>
  <si>
    <r>
      <rPr>
        <sz val="11"/>
        <rFont val="游ゴシック Medium"/>
        <family val="3"/>
        <charset val="128"/>
      </rPr>
      <t>バニー</t>
    </r>
    <r>
      <rPr>
        <sz val="11"/>
        <rFont val="Consolas"/>
        <family val="3"/>
      </rPr>
      <t xml:space="preserve"> Books 103</t>
    </r>
    <rPh sb="4" eb="9">
      <t>ブックス</t>
    </rPh>
    <phoneticPr fontId="1"/>
  </si>
  <si>
    <r>
      <rPr>
        <sz val="11"/>
        <rFont val="游ゴシック Medium"/>
        <family val="3"/>
        <charset val="128"/>
      </rPr>
      <t>三崎書房</t>
    </r>
    <rPh sb="0" eb="2">
      <t>ミサキ</t>
    </rPh>
    <rPh sb="2" eb="4">
      <t>ショボウ</t>
    </rPh>
    <phoneticPr fontId="1"/>
  </si>
  <si>
    <r>
      <rPr>
        <sz val="11"/>
        <rFont val="游ゴシック Medium"/>
        <family val="3"/>
        <charset val="128"/>
      </rPr>
      <t>小林行雄</t>
    </r>
    <rPh sb="0" eb="2">
      <t>コバヤシ</t>
    </rPh>
    <rPh sb="2" eb="4">
      <t>ユキオ</t>
    </rPh>
    <phoneticPr fontId="1"/>
  </si>
  <si>
    <r>
      <rPr>
        <sz val="11"/>
        <rFont val="游ゴシック Medium"/>
        <family val="3"/>
        <charset val="128"/>
      </rPr>
      <t>民族の起源</t>
    </r>
    <rPh sb="0" eb="2">
      <t>ミンゾク</t>
    </rPh>
    <rPh sb="3" eb="5">
      <t>キゲン</t>
    </rPh>
    <phoneticPr fontId="1"/>
  </si>
  <si>
    <r>
      <rPr>
        <sz val="11"/>
        <rFont val="游ゴシック Medium"/>
        <family val="3"/>
        <charset val="128"/>
      </rPr>
      <t>塙新書</t>
    </r>
    <rPh sb="0" eb="1">
      <t>ハナワ</t>
    </rPh>
    <rPh sb="1" eb="3">
      <t>シンショ</t>
    </rPh>
    <phoneticPr fontId="1"/>
  </si>
  <si>
    <r>
      <rPr>
        <sz val="11"/>
        <rFont val="游ゴシック Medium"/>
        <family val="3"/>
        <charset val="128"/>
      </rPr>
      <t>早坂</t>
    </r>
    <r>
      <rPr>
        <sz val="11"/>
        <rFont val="Consolas"/>
        <family val="3"/>
      </rPr>
      <t xml:space="preserve"> </t>
    </r>
    <r>
      <rPr>
        <sz val="11"/>
        <rFont val="游ゴシック Medium"/>
        <family val="3"/>
        <charset val="128"/>
      </rPr>
      <t>隆</t>
    </r>
    <rPh sb="0" eb="2">
      <t>ハヤサカ</t>
    </rPh>
    <rPh sb="3" eb="4">
      <t>タカシ</t>
    </rPh>
    <phoneticPr fontId="1"/>
  </si>
  <si>
    <r>
      <rPr>
        <sz val="11"/>
        <rFont val="游ゴシック Medium"/>
        <family val="3"/>
        <charset val="128"/>
      </rPr>
      <t>世界の紛争地</t>
    </r>
    <r>
      <rPr>
        <sz val="11"/>
        <rFont val="Consolas"/>
        <family val="3"/>
      </rPr>
      <t xml:space="preserve"> </t>
    </r>
    <r>
      <rPr>
        <sz val="11"/>
        <rFont val="游ゴシック Medium"/>
        <family val="3"/>
        <charset val="128"/>
      </rPr>
      <t>ジョーク集</t>
    </r>
    <rPh sb="0" eb="2">
      <t>セカイ</t>
    </rPh>
    <rPh sb="3" eb="5">
      <t>フンソウ</t>
    </rPh>
    <rPh sb="5" eb="6">
      <t>チ</t>
    </rPh>
    <rPh sb="11" eb="12">
      <t>シュウ</t>
    </rPh>
    <phoneticPr fontId="1"/>
  </si>
  <si>
    <r>
      <rPr>
        <sz val="11"/>
        <rFont val="游ゴシック Medium"/>
        <family val="3"/>
        <charset val="128"/>
      </rPr>
      <t>中公文庫</t>
    </r>
    <r>
      <rPr>
        <sz val="11"/>
        <rFont val="Consolas"/>
        <family val="3"/>
      </rPr>
      <t>/</t>
    </r>
    <r>
      <rPr>
        <sz val="11"/>
        <rFont val="游ゴシック Medium"/>
        <family val="3"/>
        <charset val="128"/>
      </rPr>
      <t>中央公論新社ラクレ</t>
    </r>
    <phoneticPr fontId="1"/>
  </si>
  <si>
    <r>
      <rPr>
        <sz val="11"/>
        <rFont val="游ゴシック Medium"/>
        <family val="3"/>
        <charset val="128"/>
      </rPr>
      <t>梅原</t>
    </r>
    <r>
      <rPr>
        <sz val="11"/>
        <rFont val="Consolas"/>
        <family val="3"/>
      </rPr>
      <t xml:space="preserve"> </t>
    </r>
    <r>
      <rPr>
        <sz val="11"/>
        <rFont val="游ゴシック Medium"/>
        <family val="3"/>
        <charset val="128"/>
      </rPr>
      <t>猛</t>
    </r>
    <rPh sb="0" eb="2">
      <t>ウメハラ</t>
    </rPh>
    <rPh sb="3" eb="4">
      <t>タケシ</t>
    </rPh>
    <phoneticPr fontId="1"/>
  </si>
  <si>
    <r>
      <rPr>
        <sz val="11"/>
        <rFont val="游ゴシック Medium"/>
        <family val="3"/>
        <charset val="128"/>
      </rPr>
      <t>地獄の思想</t>
    </r>
    <rPh sb="0" eb="2">
      <t>ジゴク</t>
    </rPh>
    <rPh sb="3" eb="5">
      <t>シソウ</t>
    </rPh>
    <phoneticPr fontId="1"/>
  </si>
  <si>
    <r>
      <rPr>
        <sz val="11"/>
        <rFont val="游ゴシック Medium"/>
        <family val="3"/>
        <charset val="128"/>
      </rPr>
      <t>中公文庫</t>
    </r>
    <r>
      <rPr>
        <sz val="11"/>
        <rFont val="Consolas"/>
        <family val="3"/>
      </rPr>
      <t>/</t>
    </r>
    <r>
      <rPr>
        <sz val="11"/>
        <rFont val="游ゴシック Medium"/>
        <family val="3"/>
        <charset val="128"/>
      </rPr>
      <t>中央公論新社</t>
    </r>
    <phoneticPr fontId="1"/>
  </si>
  <si>
    <r>
      <rPr>
        <sz val="11"/>
        <rFont val="游ゴシック Medium"/>
        <family val="3"/>
        <charset val="128"/>
      </rPr>
      <t>霜山徳爾</t>
    </r>
    <rPh sb="0" eb="2">
      <t>シモヤマ</t>
    </rPh>
    <rPh sb="2" eb="4">
      <t>トクジ</t>
    </rPh>
    <phoneticPr fontId="1"/>
  </si>
  <si>
    <r>
      <rPr>
        <sz val="11"/>
        <rFont val="游ゴシック Medium"/>
        <family val="3"/>
        <charset val="128"/>
      </rPr>
      <t>人間の詩と真実</t>
    </r>
    <rPh sb="0" eb="2">
      <t>ニンゲン</t>
    </rPh>
    <rPh sb="3" eb="4">
      <t>シ</t>
    </rPh>
    <rPh sb="5" eb="7">
      <t>シンジツ</t>
    </rPh>
    <phoneticPr fontId="1"/>
  </si>
  <si>
    <r>
      <rPr>
        <sz val="11"/>
        <rFont val="游ゴシック Medium"/>
        <family val="3"/>
        <charset val="128"/>
      </rPr>
      <t>佐々木宏幹</t>
    </r>
    <rPh sb="0" eb="3">
      <t>ササキ</t>
    </rPh>
    <rPh sb="3" eb="5">
      <t>コウカン</t>
    </rPh>
    <phoneticPr fontId="1"/>
  </si>
  <si>
    <r>
      <t>Shamanism/Ecstasy</t>
    </r>
    <r>
      <rPr>
        <sz val="11"/>
        <rFont val="游ゴシック Medium"/>
        <family val="3"/>
        <charset val="128"/>
      </rPr>
      <t>と憑霊の文化</t>
    </r>
    <rPh sb="0" eb="9">
      <t>シャーマニズム</t>
    </rPh>
    <rPh sb="10" eb="17">
      <t>エクスタシー</t>
    </rPh>
    <rPh sb="18" eb="20">
      <t>ヒョウレイ</t>
    </rPh>
    <rPh sb="21" eb="23">
      <t>ブンカ</t>
    </rPh>
    <phoneticPr fontId="1"/>
  </si>
  <si>
    <r>
      <rPr>
        <sz val="11"/>
        <rFont val="游ゴシック Medium"/>
        <family val="3"/>
        <charset val="128"/>
      </rPr>
      <t>三木成夫</t>
    </r>
    <rPh sb="0" eb="2">
      <t>ミキ</t>
    </rPh>
    <rPh sb="2" eb="4">
      <t>シゲオ</t>
    </rPh>
    <phoneticPr fontId="1"/>
  </si>
  <si>
    <r>
      <rPr>
        <sz val="11"/>
        <rFont val="游ゴシック Medium"/>
        <family val="3"/>
        <charset val="128"/>
      </rPr>
      <t>胎児の世界</t>
    </r>
    <r>
      <rPr>
        <sz val="11"/>
        <rFont val="Consolas"/>
        <family val="3"/>
      </rPr>
      <t>/</t>
    </r>
    <r>
      <rPr>
        <sz val="11"/>
        <rFont val="游ゴシック Medium"/>
        <family val="3"/>
        <charset val="128"/>
      </rPr>
      <t>人類の生命記憶</t>
    </r>
    <rPh sb="0" eb="2">
      <t>タイジ</t>
    </rPh>
    <rPh sb="3" eb="5">
      <t>セカイ</t>
    </rPh>
    <rPh sb="6" eb="8">
      <t>ジンルイ</t>
    </rPh>
    <rPh sb="9" eb="11">
      <t>セイメイ</t>
    </rPh>
    <rPh sb="11" eb="13">
      <t>キオク</t>
    </rPh>
    <phoneticPr fontId="1"/>
  </si>
  <si>
    <r>
      <rPr>
        <sz val="11"/>
        <rFont val="游ゴシック Medium"/>
        <family val="3"/>
        <charset val="128"/>
      </rPr>
      <t>山崎幹男</t>
    </r>
    <rPh sb="0" eb="2">
      <t>ヤマザキ</t>
    </rPh>
    <rPh sb="2" eb="4">
      <t>ミキオ</t>
    </rPh>
    <phoneticPr fontId="1"/>
  </si>
  <si>
    <r>
      <rPr>
        <sz val="11"/>
        <rFont val="游ゴシック Medium"/>
        <family val="3"/>
        <charset val="128"/>
      </rPr>
      <t>毒の話</t>
    </r>
    <rPh sb="0" eb="1">
      <t>ドク</t>
    </rPh>
    <rPh sb="2" eb="3">
      <t>ハナシ</t>
    </rPh>
    <phoneticPr fontId="1"/>
  </si>
  <si>
    <r>
      <rPr>
        <sz val="11"/>
        <rFont val="游ゴシック Medium"/>
        <family val="3"/>
        <charset val="128"/>
      </rPr>
      <t>鳥居鎮夫</t>
    </r>
    <rPh sb="0" eb="2">
      <t>トリイ</t>
    </rPh>
    <rPh sb="2" eb="4">
      <t>シズオ</t>
    </rPh>
    <phoneticPr fontId="1"/>
  </si>
  <si>
    <r>
      <rPr>
        <sz val="11"/>
        <rFont val="游ゴシック Medium"/>
        <family val="3"/>
        <charset val="128"/>
      </rPr>
      <t>夢を見る脳</t>
    </r>
    <r>
      <rPr>
        <sz val="11"/>
        <rFont val="Consolas"/>
        <family val="3"/>
      </rPr>
      <t>/</t>
    </r>
    <r>
      <rPr>
        <sz val="11"/>
        <rFont val="游ゴシック Medium"/>
        <family val="3"/>
        <charset val="128"/>
      </rPr>
      <t>脳生理学からの</t>
    </r>
    <r>
      <rPr>
        <sz val="11"/>
        <rFont val="Consolas"/>
        <family val="3"/>
      </rPr>
      <t>Approach</t>
    </r>
    <rPh sb="0" eb="1">
      <t>ユメ</t>
    </rPh>
    <rPh sb="2" eb="3">
      <t>ミ</t>
    </rPh>
    <rPh sb="4" eb="5">
      <t>ノウ</t>
    </rPh>
    <rPh sb="6" eb="7">
      <t>ノウ</t>
    </rPh>
    <rPh sb="7" eb="10">
      <t>セイリガク</t>
    </rPh>
    <rPh sb="13" eb="21">
      <t>アプローチ</t>
    </rPh>
    <phoneticPr fontId="1"/>
  </si>
  <si>
    <r>
      <rPr>
        <sz val="11"/>
        <rFont val="游ゴシック Medium"/>
        <family val="3"/>
        <charset val="128"/>
      </rPr>
      <t>土橋</t>
    </r>
    <r>
      <rPr>
        <sz val="11"/>
        <rFont val="Consolas"/>
        <family val="3"/>
      </rPr>
      <t xml:space="preserve"> </t>
    </r>
    <r>
      <rPr>
        <sz val="11"/>
        <rFont val="游ゴシック Medium"/>
        <family val="3"/>
        <charset val="128"/>
      </rPr>
      <t>寛</t>
    </r>
    <rPh sb="0" eb="2">
      <t>ツチハシ</t>
    </rPh>
    <rPh sb="3" eb="4">
      <t>ユタカ</t>
    </rPh>
    <phoneticPr fontId="1"/>
  </si>
  <si>
    <r>
      <rPr>
        <sz val="11"/>
        <rFont val="游ゴシック Medium"/>
        <family val="3"/>
        <charset val="128"/>
      </rPr>
      <t>日本語に探る古代信仰</t>
    </r>
    <r>
      <rPr>
        <sz val="11"/>
        <rFont val="Consolas"/>
        <family val="3"/>
      </rPr>
      <t>/Fetishism</t>
    </r>
    <r>
      <rPr>
        <sz val="11"/>
        <rFont val="游ゴシック Medium"/>
        <family val="3"/>
        <charset val="128"/>
      </rPr>
      <t>から神道まで</t>
    </r>
    <rPh sb="0" eb="3">
      <t>ニホンゴ</t>
    </rPh>
    <rPh sb="4" eb="5">
      <t>サグ</t>
    </rPh>
    <rPh sb="6" eb="8">
      <t>コダイ</t>
    </rPh>
    <rPh sb="8" eb="10">
      <t>シンコウ</t>
    </rPh>
    <rPh sb="11" eb="20">
      <t>フェティシズム</t>
    </rPh>
    <rPh sb="22" eb="24">
      <t>シントウ</t>
    </rPh>
    <phoneticPr fontId="1"/>
  </si>
  <si>
    <r>
      <rPr>
        <sz val="11"/>
        <rFont val="游ゴシック Medium"/>
        <family val="3"/>
        <charset val="128"/>
      </rPr>
      <t>模倣と創造</t>
    </r>
    <r>
      <rPr>
        <sz val="11"/>
        <rFont val="Consolas"/>
        <family val="3"/>
      </rPr>
      <t>/</t>
    </r>
    <r>
      <rPr>
        <sz val="11"/>
        <rFont val="游ゴシック Medium"/>
        <family val="3"/>
        <charset val="128"/>
      </rPr>
      <t>偏見のなかの日本現代美術</t>
    </r>
    <rPh sb="0" eb="2">
      <t>モホウ</t>
    </rPh>
    <rPh sb="3" eb="5">
      <t>ソウゾウ</t>
    </rPh>
    <rPh sb="6" eb="8">
      <t>ヘンケン</t>
    </rPh>
    <rPh sb="12" eb="14">
      <t>ニホン</t>
    </rPh>
    <rPh sb="14" eb="18">
      <t>ゲンダイビジュツ</t>
    </rPh>
    <phoneticPr fontId="1"/>
  </si>
  <si>
    <r>
      <rPr>
        <sz val="11"/>
        <rFont val="游ゴシック Medium"/>
        <family val="3"/>
        <charset val="128"/>
      </rPr>
      <t>鯖田豊之</t>
    </r>
    <rPh sb="0" eb="2">
      <t>サバタ</t>
    </rPh>
    <rPh sb="2" eb="4">
      <t>トヨユキ</t>
    </rPh>
    <phoneticPr fontId="1"/>
  </si>
  <si>
    <r>
      <rPr>
        <sz val="11"/>
        <rFont val="游ゴシック Medium"/>
        <family val="3"/>
        <charset val="128"/>
      </rPr>
      <t>肉食の思想</t>
    </r>
    <r>
      <rPr>
        <sz val="11"/>
        <rFont val="Consolas"/>
        <family val="3"/>
      </rPr>
      <t>/Europa</t>
    </r>
    <r>
      <rPr>
        <sz val="11"/>
        <rFont val="游ゴシック Medium"/>
        <family val="3"/>
        <charset val="128"/>
      </rPr>
      <t>精神の再発見</t>
    </r>
    <rPh sb="0" eb="2">
      <t>ニクショク</t>
    </rPh>
    <rPh sb="3" eb="5">
      <t>シソウ</t>
    </rPh>
    <rPh sb="6" eb="12">
      <t>ヨーロッパ</t>
    </rPh>
    <rPh sb="12" eb="14">
      <t>セイシン</t>
    </rPh>
    <rPh sb="15" eb="18">
      <t>サイハッケン</t>
    </rPh>
    <phoneticPr fontId="1"/>
  </si>
  <si>
    <r>
      <rPr>
        <sz val="11"/>
        <rFont val="游ゴシック Medium"/>
        <family val="3"/>
        <charset val="128"/>
      </rPr>
      <t>高田</t>
    </r>
    <r>
      <rPr>
        <sz val="11"/>
        <rFont val="Consolas"/>
        <family val="3"/>
      </rPr>
      <t xml:space="preserve"> </t>
    </r>
    <r>
      <rPr>
        <sz val="11"/>
        <rFont val="游ゴシック Medium"/>
        <family val="3"/>
        <charset val="128"/>
      </rPr>
      <t>衛</t>
    </r>
    <rPh sb="0" eb="2">
      <t>タカダ</t>
    </rPh>
    <rPh sb="3" eb="4">
      <t>マモル</t>
    </rPh>
    <phoneticPr fontId="1"/>
  </si>
  <si>
    <r>
      <rPr>
        <sz val="11"/>
        <rFont val="游ゴシック Medium"/>
        <family val="3"/>
        <charset val="128"/>
      </rPr>
      <t>八犬伝の世界</t>
    </r>
    <r>
      <rPr>
        <sz val="11"/>
        <rFont val="Consolas"/>
        <family val="3"/>
      </rPr>
      <t>/</t>
    </r>
    <r>
      <rPr>
        <sz val="11"/>
        <rFont val="游ゴシック Medium"/>
        <family val="3"/>
        <charset val="128"/>
      </rPr>
      <t>伝奇ロマンの復権</t>
    </r>
    <rPh sb="0" eb="3">
      <t>ハッケンデン</t>
    </rPh>
    <rPh sb="4" eb="6">
      <t>セカイ</t>
    </rPh>
    <rPh sb="7" eb="9">
      <t>デンキ</t>
    </rPh>
    <rPh sb="13" eb="15">
      <t>フッケン</t>
    </rPh>
    <phoneticPr fontId="1"/>
  </si>
  <si>
    <r>
      <rPr>
        <sz val="11"/>
        <rFont val="游ゴシック Medium"/>
        <family val="3"/>
        <charset val="128"/>
      </rPr>
      <t>石毛直道</t>
    </r>
    <rPh sb="0" eb="2">
      <t>イシゲ</t>
    </rPh>
    <rPh sb="2" eb="4">
      <t>ナオミチ</t>
    </rPh>
    <phoneticPr fontId="1"/>
  </si>
  <si>
    <r>
      <rPr>
        <sz val="11"/>
        <rFont val="游ゴシック Medium"/>
        <family val="3"/>
        <charset val="128"/>
      </rPr>
      <t>国立民族学博物館助教授</t>
    </r>
    <rPh sb="0" eb="2">
      <t>コクリツ</t>
    </rPh>
    <rPh sb="2" eb="5">
      <t>ミンゾクガク</t>
    </rPh>
    <rPh sb="5" eb="8">
      <t>ハクブツカン</t>
    </rPh>
    <rPh sb="8" eb="11">
      <t>ジョキョウジュ</t>
    </rPh>
    <phoneticPr fontId="1"/>
  </si>
  <si>
    <r>
      <rPr>
        <sz val="11"/>
        <rFont val="游ゴシック Medium"/>
        <family val="3"/>
        <charset val="128"/>
      </rPr>
      <t>食事の文明論</t>
    </r>
    <rPh sb="0" eb="2">
      <t>ショクジ</t>
    </rPh>
    <rPh sb="3" eb="5">
      <t>ブンメイ</t>
    </rPh>
    <rPh sb="5" eb="6">
      <t>ロン</t>
    </rPh>
    <phoneticPr fontId="1"/>
  </si>
  <si>
    <r>
      <rPr>
        <sz val="11"/>
        <rFont val="游ゴシック Medium"/>
        <family val="3"/>
        <charset val="128"/>
      </rPr>
      <t>浅見</t>
    </r>
    <r>
      <rPr>
        <sz val="11"/>
        <rFont val="Consolas"/>
        <family val="3"/>
      </rPr>
      <t xml:space="preserve"> </t>
    </r>
    <r>
      <rPr>
        <sz val="11"/>
        <rFont val="游ゴシック Medium"/>
        <family val="3"/>
        <charset val="128"/>
      </rPr>
      <t>徹</t>
    </r>
    <rPh sb="0" eb="2">
      <t>アサミ</t>
    </rPh>
    <rPh sb="3" eb="4">
      <t>トオル</t>
    </rPh>
    <phoneticPr fontId="1"/>
  </si>
  <si>
    <r>
      <rPr>
        <sz val="11"/>
        <rFont val="游ゴシック Medium"/>
        <family val="3"/>
        <charset val="128"/>
      </rPr>
      <t>玉手箱と打出の小槌</t>
    </r>
    <r>
      <rPr>
        <sz val="11"/>
        <rFont val="Consolas"/>
        <family val="3"/>
      </rPr>
      <t>/</t>
    </r>
    <r>
      <rPr>
        <sz val="11"/>
        <rFont val="游ゴシック Medium"/>
        <family val="3"/>
        <charset val="128"/>
      </rPr>
      <t>昔話の古層をさぐる</t>
    </r>
    <rPh sb="0" eb="3">
      <t>タマテバコ</t>
    </rPh>
    <rPh sb="4" eb="6">
      <t>ウチデ</t>
    </rPh>
    <rPh sb="7" eb="9">
      <t>コヅチ</t>
    </rPh>
    <rPh sb="10" eb="12">
      <t>ムカシバナシ</t>
    </rPh>
    <rPh sb="13" eb="15">
      <t>コソウ</t>
    </rPh>
    <phoneticPr fontId="1"/>
  </si>
  <si>
    <r>
      <rPr>
        <sz val="11"/>
        <rFont val="游ゴシック Medium"/>
        <family val="3"/>
        <charset val="128"/>
      </rPr>
      <t>小野耕世</t>
    </r>
    <rPh sb="0" eb="2">
      <t>オノ</t>
    </rPh>
    <rPh sb="2" eb="4">
      <t>コウセイ</t>
    </rPh>
    <phoneticPr fontId="1"/>
  </si>
  <si>
    <r>
      <t>Donald Duck</t>
    </r>
    <r>
      <rPr>
        <sz val="11"/>
        <rFont val="游ゴシック Medium"/>
        <family val="3"/>
        <charset val="128"/>
      </rPr>
      <t>の世界像</t>
    </r>
    <r>
      <rPr>
        <sz val="11"/>
        <rFont val="Consolas"/>
        <family val="3"/>
      </rPr>
      <t>/Disney</t>
    </r>
    <r>
      <rPr>
        <sz val="11"/>
        <rFont val="游ゴシック Medium"/>
        <family val="3"/>
        <charset val="128"/>
      </rPr>
      <t>にみる</t>
    </r>
    <r>
      <rPr>
        <sz val="11"/>
        <rFont val="Consolas"/>
        <family val="3"/>
      </rPr>
      <t>America</t>
    </r>
    <r>
      <rPr>
        <sz val="11"/>
        <rFont val="游ゴシック Medium"/>
        <family val="3"/>
        <charset val="128"/>
      </rPr>
      <t>の夢</t>
    </r>
    <rPh sb="0" eb="11">
      <t>ドナルド　ダック</t>
    </rPh>
    <rPh sb="12" eb="14">
      <t>セカイ</t>
    </rPh>
    <rPh sb="14" eb="15">
      <t>ゾウ</t>
    </rPh>
    <rPh sb="16" eb="22">
      <t>ディズニー</t>
    </rPh>
    <rPh sb="25" eb="32">
      <t>アメリカ</t>
    </rPh>
    <rPh sb="33" eb="34">
      <t>ユメ</t>
    </rPh>
    <phoneticPr fontId="1"/>
  </si>
  <si>
    <r>
      <rPr>
        <sz val="11"/>
        <rFont val="游ゴシック Medium"/>
        <family val="3"/>
        <charset val="128"/>
      </rPr>
      <t>佐伯順子</t>
    </r>
    <rPh sb="0" eb="2">
      <t>サエキ</t>
    </rPh>
    <rPh sb="2" eb="4">
      <t>ジュンコ</t>
    </rPh>
    <phoneticPr fontId="1"/>
  </si>
  <si>
    <r>
      <rPr>
        <sz val="11"/>
        <rFont val="游ゴシック Medium"/>
        <family val="3"/>
        <charset val="128"/>
      </rPr>
      <t>遊女の文化史</t>
    </r>
    <r>
      <rPr>
        <sz val="11"/>
        <rFont val="Consolas"/>
        <family val="3"/>
      </rPr>
      <t>/</t>
    </r>
    <r>
      <rPr>
        <sz val="11"/>
        <rFont val="游ゴシック Medium"/>
        <family val="3"/>
        <charset val="128"/>
      </rPr>
      <t>ハレの女たち</t>
    </r>
    <rPh sb="0" eb="2">
      <t>ユウジョ</t>
    </rPh>
    <rPh sb="3" eb="6">
      <t>ブンカシ</t>
    </rPh>
    <rPh sb="10" eb="11">
      <t>オンナ</t>
    </rPh>
    <phoneticPr fontId="1"/>
  </si>
  <si>
    <r>
      <rPr>
        <sz val="11"/>
        <rFont val="游ゴシック Medium"/>
        <family val="3"/>
        <charset val="128"/>
      </rPr>
      <t>江上波夫</t>
    </r>
    <rPh sb="0" eb="2">
      <t>エガミ</t>
    </rPh>
    <rPh sb="2" eb="4">
      <t>ナミオ</t>
    </rPh>
    <phoneticPr fontId="1"/>
  </si>
  <si>
    <r>
      <rPr>
        <sz val="11"/>
        <rFont val="游ゴシック Medium"/>
        <family val="3"/>
        <charset val="128"/>
      </rPr>
      <t>騎馬民族国家</t>
    </r>
    <r>
      <rPr>
        <sz val="11"/>
        <rFont val="Consolas"/>
        <family val="3"/>
      </rPr>
      <t>/</t>
    </r>
    <r>
      <rPr>
        <sz val="11"/>
        <rFont val="游ゴシック Medium"/>
        <family val="3"/>
        <charset val="128"/>
      </rPr>
      <t>日本古代史への</t>
    </r>
    <r>
      <rPr>
        <sz val="11"/>
        <rFont val="Consolas"/>
        <family val="3"/>
      </rPr>
      <t>Approach</t>
    </r>
    <rPh sb="0" eb="2">
      <t>キバ</t>
    </rPh>
    <rPh sb="2" eb="4">
      <t>ミンゾク</t>
    </rPh>
    <rPh sb="4" eb="6">
      <t>コッカ</t>
    </rPh>
    <rPh sb="7" eb="9">
      <t>ニホン</t>
    </rPh>
    <rPh sb="9" eb="12">
      <t>コダイシ</t>
    </rPh>
    <rPh sb="14" eb="22">
      <t>アプローチ</t>
    </rPh>
    <phoneticPr fontId="1"/>
  </si>
  <si>
    <r>
      <rPr>
        <sz val="11"/>
        <rFont val="游ゴシック Medium"/>
        <family val="3"/>
        <charset val="128"/>
      </rPr>
      <t>松前</t>
    </r>
    <r>
      <rPr>
        <sz val="11"/>
        <rFont val="Consolas"/>
        <family val="3"/>
      </rPr>
      <t xml:space="preserve"> </t>
    </r>
    <r>
      <rPr>
        <sz val="11"/>
        <rFont val="游ゴシック Medium"/>
        <family val="3"/>
        <charset val="128"/>
      </rPr>
      <t>健</t>
    </r>
    <rPh sb="0" eb="2">
      <t>マツマエ</t>
    </rPh>
    <rPh sb="3" eb="4">
      <t>タケシ</t>
    </rPh>
    <phoneticPr fontId="1"/>
  </si>
  <si>
    <r>
      <rPr>
        <sz val="11"/>
        <rFont val="游ゴシック Medium"/>
        <family val="3"/>
        <charset val="128"/>
      </rPr>
      <t>日本の神々</t>
    </r>
    <rPh sb="0" eb="2">
      <t>ニホン</t>
    </rPh>
    <rPh sb="3" eb="5">
      <t>カミガミ</t>
    </rPh>
    <phoneticPr fontId="1"/>
  </si>
  <si>
    <r>
      <rPr>
        <sz val="11"/>
        <rFont val="游ゴシック Medium"/>
        <family val="3"/>
        <charset val="128"/>
      </rPr>
      <t>大林太良</t>
    </r>
    <rPh sb="0" eb="2">
      <t>オオバヤシ</t>
    </rPh>
    <rPh sb="2" eb="4">
      <t>タリョウ</t>
    </rPh>
    <phoneticPr fontId="1"/>
  </si>
  <si>
    <r>
      <rPr>
        <sz val="11"/>
        <rFont val="游ゴシック Medium"/>
        <family val="3"/>
        <charset val="128"/>
      </rPr>
      <t>邪馬台国</t>
    </r>
    <r>
      <rPr>
        <sz val="11"/>
        <rFont val="Consolas"/>
        <family val="3"/>
      </rPr>
      <t>/</t>
    </r>
    <r>
      <rPr>
        <sz val="11"/>
        <rFont val="游ゴシック Medium"/>
        <family val="3"/>
        <charset val="128"/>
      </rPr>
      <t>入墨とポンチョと卑弥呼</t>
    </r>
    <rPh sb="0" eb="4">
      <t>ヤマタイコク</t>
    </rPh>
    <rPh sb="5" eb="7">
      <t>イレズミ</t>
    </rPh>
    <rPh sb="13" eb="16">
      <t>ヒミコ</t>
    </rPh>
    <phoneticPr fontId="1"/>
  </si>
  <si>
    <r>
      <rPr>
        <sz val="11"/>
        <rFont val="游ゴシック Medium"/>
        <family val="3"/>
        <charset val="128"/>
      </rPr>
      <t>岡田英弘</t>
    </r>
    <rPh sb="0" eb="2">
      <t>オカダ</t>
    </rPh>
    <rPh sb="2" eb="4">
      <t>ヒデヒロ</t>
    </rPh>
    <phoneticPr fontId="1"/>
  </si>
  <si>
    <r>
      <rPr>
        <sz val="11"/>
        <rFont val="游ゴシック Medium"/>
        <family val="3"/>
        <charset val="128"/>
      </rPr>
      <t>倭国</t>
    </r>
    <r>
      <rPr>
        <sz val="11"/>
        <rFont val="Consolas"/>
        <family val="3"/>
      </rPr>
      <t>/</t>
    </r>
    <r>
      <rPr>
        <sz val="11"/>
        <rFont val="游ゴシック Medium"/>
        <family val="3"/>
        <charset val="128"/>
      </rPr>
      <t>東</t>
    </r>
    <r>
      <rPr>
        <sz val="11"/>
        <rFont val="Consolas"/>
        <family val="3"/>
      </rPr>
      <t>Asia</t>
    </r>
    <r>
      <rPr>
        <sz val="11"/>
        <rFont val="游ゴシック Medium"/>
        <family val="3"/>
        <charset val="128"/>
      </rPr>
      <t>世界の中で</t>
    </r>
    <rPh sb="0" eb="1">
      <t>ワ</t>
    </rPh>
    <rPh sb="1" eb="2">
      <t>コク</t>
    </rPh>
    <rPh sb="3" eb="4">
      <t>ヒガシ</t>
    </rPh>
    <rPh sb="8" eb="10">
      <t>セカイ</t>
    </rPh>
    <rPh sb="11" eb="12">
      <t>ナカ</t>
    </rPh>
    <phoneticPr fontId="1"/>
  </si>
  <si>
    <r>
      <rPr>
        <sz val="11"/>
        <rFont val="游ゴシック Medium"/>
        <family val="3"/>
        <charset val="128"/>
      </rPr>
      <t>住まい方の演出</t>
    </r>
    <r>
      <rPr>
        <sz val="11"/>
        <rFont val="Consolas"/>
        <family val="3"/>
      </rPr>
      <t>/</t>
    </r>
    <r>
      <rPr>
        <sz val="11"/>
        <rFont val="游ゴシック Medium"/>
        <family val="3"/>
        <charset val="128"/>
      </rPr>
      <t>私の場を支える仕掛けと小道具</t>
    </r>
    <rPh sb="0" eb="1">
      <t>ス</t>
    </rPh>
    <rPh sb="3" eb="4">
      <t>カタ</t>
    </rPh>
    <rPh sb="5" eb="7">
      <t>エンシュツ</t>
    </rPh>
    <rPh sb="8" eb="9">
      <t>シ</t>
    </rPh>
    <rPh sb="10" eb="11">
      <t>バ</t>
    </rPh>
    <rPh sb="12" eb="13">
      <t>ササ</t>
    </rPh>
    <rPh sb="15" eb="17">
      <t>シカ</t>
    </rPh>
    <rPh sb="19" eb="22">
      <t>コドウグ</t>
    </rPh>
    <phoneticPr fontId="1"/>
  </si>
  <si>
    <r>
      <rPr>
        <sz val="11"/>
        <rFont val="游ゴシック Medium"/>
        <family val="3"/>
        <charset val="128"/>
      </rPr>
      <t>藤田健治</t>
    </r>
    <rPh sb="0" eb="2">
      <t>フジタ</t>
    </rPh>
    <rPh sb="2" eb="4">
      <t>ケンジ</t>
    </rPh>
    <phoneticPr fontId="1"/>
  </si>
  <si>
    <r>
      <t>Nietzshe/</t>
    </r>
    <r>
      <rPr>
        <sz val="11"/>
        <rFont val="游ゴシック Medium"/>
        <family val="3"/>
        <charset val="128"/>
      </rPr>
      <t>その思想と実存の解明</t>
    </r>
    <rPh sb="0" eb="8">
      <t>ニーチェ</t>
    </rPh>
    <rPh sb="11" eb="13">
      <t>シソウ</t>
    </rPh>
    <rPh sb="14" eb="16">
      <t>ジツゾン</t>
    </rPh>
    <rPh sb="17" eb="19">
      <t>カイメイ</t>
    </rPh>
    <phoneticPr fontId="1"/>
  </si>
  <si>
    <r>
      <rPr>
        <sz val="11"/>
        <rFont val="游ゴシック Medium"/>
        <family val="3"/>
        <charset val="128"/>
      </rPr>
      <t>永井義男</t>
    </r>
    <rPh sb="0" eb="2">
      <t>ナガイ</t>
    </rPh>
    <rPh sb="2" eb="4">
      <t>ヨシオ</t>
    </rPh>
    <phoneticPr fontId="1"/>
  </si>
  <si>
    <r>
      <rPr>
        <sz val="11"/>
        <rFont val="游ゴシック Medium"/>
        <family val="3"/>
        <charset val="128"/>
      </rPr>
      <t>江戸の下半身事情</t>
    </r>
    <rPh sb="0" eb="2">
      <t>エド</t>
    </rPh>
    <rPh sb="3" eb="6">
      <t>カハンシン</t>
    </rPh>
    <rPh sb="6" eb="8">
      <t>ジジョウ</t>
    </rPh>
    <phoneticPr fontId="1"/>
  </si>
  <si>
    <r>
      <rPr>
        <sz val="11"/>
        <rFont val="游ゴシック Medium"/>
        <family val="3"/>
        <charset val="128"/>
      </rPr>
      <t>祥伝社文庫</t>
    </r>
    <rPh sb="0" eb="3">
      <t>ショウデンシャ</t>
    </rPh>
    <rPh sb="3" eb="5">
      <t>ブンコ</t>
    </rPh>
    <phoneticPr fontId="1"/>
  </si>
  <si>
    <r>
      <rPr>
        <sz val="11"/>
        <rFont val="游ゴシック Medium"/>
        <family val="3"/>
        <charset val="128"/>
      </rPr>
      <t>渡辺照宏</t>
    </r>
    <rPh sb="0" eb="2">
      <t>ワタナベ</t>
    </rPh>
    <rPh sb="2" eb="4">
      <t>ショウコウ</t>
    </rPh>
    <phoneticPr fontId="1"/>
  </si>
  <si>
    <r>
      <rPr>
        <sz val="11"/>
        <rFont val="游ゴシック Medium"/>
        <family val="3"/>
        <charset val="128"/>
      </rPr>
      <t>死後の世界</t>
    </r>
    <rPh sb="0" eb="2">
      <t>シゴ</t>
    </rPh>
    <rPh sb="3" eb="5">
      <t>セカイ</t>
    </rPh>
    <phoneticPr fontId="1"/>
  </si>
  <si>
    <r>
      <rPr>
        <sz val="11"/>
        <rFont val="游ゴシック Medium"/>
        <family val="3"/>
        <charset val="128"/>
      </rPr>
      <t>岩波新書</t>
    </r>
    <rPh sb="0" eb="2">
      <t>イワナミ</t>
    </rPh>
    <rPh sb="2" eb="4">
      <t>シンショ</t>
    </rPh>
    <phoneticPr fontId="1"/>
  </si>
  <si>
    <r>
      <rPr>
        <sz val="11"/>
        <rFont val="游ゴシック Medium"/>
        <family val="3"/>
        <charset val="128"/>
      </rPr>
      <t>時実利彦</t>
    </r>
    <rPh sb="0" eb="2">
      <t>トキザネ</t>
    </rPh>
    <rPh sb="2" eb="4">
      <t>トシヒコ</t>
    </rPh>
    <phoneticPr fontId="1"/>
  </si>
  <si>
    <r>
      <rPr>
        <b/>
        <sz val="11"/>
        <color indexed="33"/>
        <rFont val="游ゴシック Medium"/>
        <family val="3"/>
        <charset val="128"/>
      </rPr>
      <t>脳の話</t>
    </r>
    <rPh sb="0" eb="1">
      <t>ノウ</t>
    </rPh>
    <rPh sb="2" eb="3">
      <t>ハナシ</t>
    </rPh>
    <phoneticPr fontId="1"/>
  </si>
  <si>
    <r>
      <rPr>
        <sz val="11"/>
        <rFont val="游ゴシック Medium"/>
        <family val="3"/>
        <charset val="128"/>
      </rPr>
      <t>宮城音弥</t>
    </r>
    <rPh sb="0" eb="2">
      <t>ミヤギ</t>
    </rPh>
    <rPh sb="2" eb="4">
      <t>オトヤ</t>
    </rPh>
    <phoneticPr fontId="1"/>
  </si>
  <si>
    <r>
      <rPr>
        <sz val="11"/>
        <rFont val="游ゴシック Medium"/>
        <family val="3"/>
        <charset val="128"/>
      </rPr>
      <t>夢</t>
    </r>
    <r>
      <rPr>
        <sz val="11"/>
        <rFont val="Consolas"/>
        <family val="3"/>
      </rPr>
      <t>/</t>
    </r>
    <r>
      <rPr>
        <sz val="11"/>
        <rFont val="游ゴシック Medium"/>
        <family val="3"/>
        <charset val="128"/>
      </rPr>
      <t>第二版</t>
    </r>
    <rPh sb="0" eb="1">
      <t>ユメ</t>
    </rPh>
    <rPh sb="2" eb="5">
      <t>ダイニバン</t>
    </rPh>
    <phoneticPr fontId="1"/>
  </si>
  <si>
    <r>
      <rPr>
        <sz val="11"/>
        <rFont val="游ゴシック Medium"/>
        <family val="3"/>
        <charset val="128"/>
      </rPr>
      <t>氷上英廣</t>
    </r>
    <rPh sb="0" eb="2">
      <t>ヒカミ</t>
    </rPh>
    <rPh sb="2" eb="4">
      <t>ヒデヒロ</t>
    </rPh>
    <phoneticPr fontId="1"/>
  </si>
  <si>
    <r>
      <t>Nietzshe</t>
    </r>
    <r>
      <rPr>
        <sz val="11"/>
        <rFont val="游ゴシック Medium"/>
        <family val="3"/>
        <charset val="128"/>
      </rPr>
      <t>の顔</t>
    </r>
    <rPh sb="0" eb="8">
      <t>ニーチェ</t>
    </rPh>
    <rPh sb="9" eb="10">
      <t>カオ</t>
    </rPh>
    <phoneticPr fontId="1"/>
  </si>
  <si>
    <r>
      <rPr>
        <sz val="11"/>
        <rFont val="游ゴシック Medium"/>
        <family val="3"/>
        <charset val="128"/>
      </rPr>
      <t>藤田</t>
    </r>
    <r>
      <rPr>
        <sz val="11"/>
        <rFont val="Consolas"/>
        <family val="3"/>
      </rPr>
      <t xml:space="preserve"> </t>
    </r>
    <r>
      <rPr>
        <sz val="11"/>
        <rFont val="游ゴシック Medium"/>
        <family val="3"/>
        <charset val="128"/>
      </rPr>
      <t>正勝</t>
    </r>
    <rPh sb="0" eb="2">
      <t>フジタ</t>
    </rPh>
    <rPh sb="3" eb="5">
      <t>マサカツ</t>
    </rPh>
    <phoneticPr fontId="1"/>
  </si>
  <si>
    <r>
      <rPr>
        <sz val="11"/>
        <rFont val="游ゴシック Medium"/>
        <family val="3"/>
        <charset val="128"/>
      </rPr>
      <t>哲学のヒント</t>
    </r>
    <rPh sb="0" eb="2">
      <t>テツガク</t>
    </rPh>
    <phoneticPr fontId="1"/>
  </si>
  <si>
    <r>
      <rPr>
        <sz val="11"/>
        <rFont val="游ゴシック Medium"/>
        <family val="3"/>
        <charset val="128"/>
      </rPr>
      <t>新赤版</t>
    </r>
    <r>
      <rPr>
        <sz val="11"/>
        <rFont val="Consolas"/>
        <family val="3"/>
      </rPr>
      <t>1413</t>
    </r>
    <rPh sb="0" eb="2">
      <t>シンアカ</t>
    </rPh>
    <rPh sb="2" eb="3">
      <t>バン</t>
    </rPh>
    <phoneticPr fontId="1"/>
  </si>
  <si>
    <r>
      <rPr>
        <sz val="11"/>
        <rFont val="游ゴシック Medium"/>
        <family val="3"/>
        <charset val="128"/>
      </rPr>
      <t>ヤマザキ学園大学</t>
    </r>
    <rPh sb="4" eb="8">
      <t>ガク</t>
    </rPh>
    <phoneticPr fontId="1"/>
  </si>
  <si>
    <r>
      <rPr>
        <sz val="11"/>
        <rFont val="游ゴシック Medium"/>
        <family val="3"/>
        <charset val="128"/>
      </rPr>
      <t>丸山真男</t>
    </r>
    <rPh sb="0" eb="2">
      <t>マルヤマ</t>
    </rPh>
    <rPh sb="2" eb="4">
      <t>マサオ</t>
    </rPh>
    <phoneticPr fontId="1"/>
  </si>
  <si>
    <r>
      <rPr>
        <sz val="11"/>
        <rFont val="游ゴシック Medium"/>
        <family val="3"/>
        <charset val="128"/>
      </rPr>
      <t>日本の思想</t>
    </r>
    <rPh sb="0" eb="2">
      <t>ニホン</t>
    </rPh>
    <rPh sb="3" eb="5">
      <t>シソウ</t>
    </rPh>
    <phoneticPr fontId="1"/>
  </si>
  <si>
    <r>
      <rPr>
        <sz val="11"/>
        <rFont val="游ゴシック Medium"/>
        <family val="3"/>
        <charset val="128"/>
      </rPr>
      <t>暉峻康隆</t>
    </r>
    <rPh sb="0" eb="2">
      <t>テルオカ</t>
    </rPh>
    <rPh sb="2" eb="4">
      <t>ヤスタカ</t>
    </rPh>
    <phoneticPr fontId="1"/>
  </si>
  <si>
    <r>
      <rPr>
        <sz val="11"/>
        <rFont val="游ゴシック Medium"/>
        <family val="3"/>
        <charset val="128"/>
      </rPr>
      <t>日本人の愛と性</t>
    </r>
    <rPh sb="0" eb="3">
      <t>ニホンジン</t>
    </rPh>
    <rPh sb="4" eb="5">
      <t>アイ</t>
    </rPh>
    <rPh sb="6" eb="7">
      <t>セイ</t>
    </rPh>
    <phoneticPr fontId="1"/>
  </si>
  <si>
    <r>
      <rPr>
        <sz val="11"/>
        <rFont val="游ゴシック Medium"/>
        <family val="3"/>
        <charset val="128"/>
      </rPr>
      <t>新赤</t>
    </r>
    <r>
      <rPr>
        <sz val="11"/>
        <rFont val="Consolas"/>
        <family val="3"/>
      </rPr>
      <t>92</t>
    </r>
    <rPh sb="0" eb="1">
      <t>シン</t>
    </rPh>
    <rPh sb="1" eb="2">
      <t>アカ</t>
    </rPh>
    <phoneticPr fontId="1"/>
  </si>
  <si>
    <r>
      <rPr>
        <b/>
        <sz val="11"/>
        <color indexed="33"/>
        <rFont val="游ゴシック Medium"/>
        <family val="3"/>
        <charset val="128"/>
      </rPr>
      <t>水木しげる</t>
    </r>
    <rPh sb="0" eb="2">
      <t>ミズキ</t>
    </rPh>
    <phoneticPr fontId="1"/>
  </si>
  <si>
    <r>
      <rPr>
        <sz val="11"/>
        <rFont val="游ゴシック Medium"/>
        <family val="3"/>
        <charset val="128"/>
      </rPr>
      <t>妖怪画談</t>
    </r>
    <r>
      <rPr>
        <sz val="11"/>
        <rFont val="Consolas"/>
        <family val="3"/>
      </rPr>
      <t>/color</t>
    </r>
    <r>
      <rPr>
        <sz val="11"/>
        <rFont val="游ゴシック Medium"/>
        <family val="3"/>
        <charset val="128"/>
      </rPr>
      <t>版</t>
    </r>
    <rPh sb="0" eb="2">
      <t>ヨウカイ</t>
    </rPh>
    <rPh sb="2" eb="4">
      <t>ガダン</t>
    </rPh>
    <rPh sb="5" eb="10">
      <t>カラー</t>
    </rPh>
    <rPh sb="10" eb="11">
      <t>バン</t>
    </rPh>
    <phoneticPr fontId="1"/>
  </si>
  <si>
    <r>
      <rPr>
        <sz val="11"/>
        <rFont val="游ゴシック Medium"/>
        <family val="3"/>
        <charset val="128"/>
      </rPr>
      <t>新赤</t>
    </r>
    <r>
      <rPr>
        <sz val="11"/>
        <rFont val="Consolas"/>
        <family val="3"/>
      </rPr>
      <t>238</t>
    </r>
    <rPh sb="0" eb="1">
      <t>シン</t>
    </rPh>
    <rPh sb="1" eb="2">
      <t>アカ</t>
    </rPh>
    <phoneticPr fontId="1"/>
  </si>
  <si>
    <r>
      <rPr>
        <sz val="11"/>
        <rFont val="游ゴシック Medium"/>
        <family val="3"/>
        <charset val="128"/>
      </rPr>
      <t>幽霊画談</t>
    </r>
    <r>
      <rPr>
        <sz val="11"/>
        <rFont val="Consolas"/>
        <family val="3"/>
      </rPr>
      <t>/color</t>
    </r>
    <r>
      <rPr>
        <sz val="11"/>
        <rFont val="游ゴシック Medium"/>
        <family val="3"/>
        <charset val="128"/>
      </rPr>
      <t>版</t>
    </r>
    <rPh sb="0" eb="2">
      <t>ユウレイ</t>
    </rPh>
    <rPh sb="2" eb="4">
      <t>ガダン</t>
    </rPh>
    <rPh sb="5" eb="10">
      <t>カラー</t>
    </rPh>
    <rPh sb="10" eb="11">
      <t>バン</t>
    </rPh>
    <phoneticPr fontId="1"/>
  </si>
  <si>
    <r>
      <rPr>
        <sz val="11"/>
        <rFont val="游ゴシック Medium"/>
        <family val="3"/>
        <charset val="128"/>
      </rPr>
      <t>新赤</t>
    </r>
    <r>
      <rPr>
        <sz val="11"/>
        <rFont val="Consolas"/>
        <family val="3"/>
      </rPr>
      <t>342</t>
    </r>
    <rPh sb="0" eb="1">
      <t>シン</t>
    </rPh>
    <rPh sb="1" eb="2">
      <t>アカ</t>
    </rPh>
    <phoneticPr fontId="1"/>
  </si>
  <si>
    <r>
      <rPr>
        <sz val="11"/>
        <rFont val="游ゴシック Medium"/>
        <family val="3"/>
        <charset val="128"/>
      </rPr>
      <t>鎌田</t>
    </r>
    <r>
      <rPr>
        <sz val="11"/>
        <rFont val="Consolas"/>
        <family val="3"/>
      </rPr>
      <t xml:space="preserve"> </t>
    </r>
    <r>
      <rPr>
        <sz val="11"/>
        <rFont val="游ゴシック Medium"/>
        <family val="3"/>
        <charset val="128"/>
      </rPr>
      <t>慧</t>
    </r>
    <rPh sb="0" eb="2">
      <t>カマタ</t>
    </rPh>
    <rPh sb="3" eb="4">
      <t>サトシ</t>
    </rPh>
    <phoneticPr fontId="1"/>
  </si>
  <si>
    <r>
      <rPr>
        <sz val="11"/>
        <rFont val="游ゴシック Medium"/>
        <family val="3"/>
        <charset val="128"/>
      </rPr>
      <t>新赤</t>
    </r>
    <r>
      <rPr>
        <sz val="11"/>
        <rFont val="Consolas"/>
        <family val="3"/>
      </rPr>
      <t>565</t>
    </r>
    <rPh sb="0" eb="1">
      <t>シン</t>
    </rPh>
    <rPh sb="1" eb="2">
      <t>アカ</t>
    </rPh>
    <phoneticPr fontId="1"/>
  </si>
  <si>
    <r>
      <rPr>
        <sz val="11"/>
        <rFont val="游ゴシック Medium"/>
        <family val="3"/>
        <charset val="128"/>
      </rPr>
      <t>相沢</t>
    </r>
    <r>
      <rPr>
        <sz val="11"/>
        <rFont val="Consolas"/>
        <family val="3"/>
      </rPr>
      <t xml:space="preserve"> </t>
    </r>
    <r>
      <rPr>
        <sz val="11"/>
        <rFont val="游ゴシック Medium"/>
        <family val="3"/>
        <charset val="128"/>
      </rPr>
      <t>博</t>
    </r>
    <rPh sb="0" eb="2">
      <t>アイザワ</t>
    </rPh>
    <rPh sb="3" eb="4">
      <t>ヒロシ</t>
    </rPh>
    <phoneticPr fontId="1"/>
  </si>
  <si>
    <r>
      <rPr>
        <sz val="11"/>
        <rFont val="游ゴシック Medium"/>
        <family val="3"/>
        <charset val="128"/>
      </rPr>
      <t>メルヘンの世界</t>
    </r>
    <rPh sb="5" eb="7">
      <t>セカイ</t>
    </rPh>
    <phoneticPr fontId="1"/>
  </si>
  <si>
    <r>
      <rPr>
        <sz val="11"/>
        <rFont val="游ゴシック Medium"/>
        <family val="3"/>
        <charset val="128"/>
      </rPr>
      <t>講談社現代新書</t>
    </r>
    <rPh sb="0" eb="3">
      <t>コウダンシャ</t>
    </rPh>
    <rPh sb="3" eb="5">
      <t>ゲンダイ</t>
    </rPh>
    <rPh sb="5" eb="7">
      <t>シンショ</t>
    </rPh>
    <phoneticPr fontId="1"/>
  </si>
  <si>
    <r>
      <rPr>
        <sz val="11"/>
        <rFont val="游ゴシック Medium"/>
        <family val="3"/>
        <charset val="128"/>
      </rPr>
      <t>相場</t>
    </r>
    <r>
      <rPr>
        <sz val="11"/>
        <rFont val="Consolas"/>
        <family val="3"/>
      </rPr>
      <t xml:space="preserve"> </t>
    </r>
    <r>
      <rPr>
        <sz val="11"/>
        <rFont val="游ゴシック Medium"/>
        <family val="3"/>
        <charset val="128"/>
      </rPr>
      <t>均</t>
    </r>
    <rPh sb="0" eb="2">
      <t>アイバ</t>
    </rPh>
    <rPh sb="3" eb="4">
      <t>ヒトシ</t>
    </rPh>
    <phoneticPr fontId="1"/>
  </si>
  <si>
    <r>
      <rPr>
        <sz val="11"/>
        <rFont val="游ゴシック Medium"/>
        <family val="3"/>
        <charset val="128"/>
      </rPr>
      <t>異常の心理学</t>
    </r>
    <rPh sb="0" eb="2">
      <t>イジョウ</t>
    </rPh>
    <rPh sb="3" eb="6">
      <t>シンリガク</t>
    </rPh>
    <phoneticPr fontId="1"/>
  </si>
  <si>
    <r>
      <rPr>
        <sz val="11"/>
        <rFont val="游ゴシック Medium"/>
        <family val="3"/>
        <charset val="128"/>
      </rPr>
      <t>河野友美</t>
    </r>
    <rPh sb="0" eb="2">
      <t>カワノ</t>
    </rPh>
    <rPh sb="2" eb="4">
      <t>トモミ</t>
    </rPh>
    <phoneticPr fontId="1"/>
  </si>
  <si>
    <r>
      <rPr>
        <sz val="11"/>
        <rFont val="游ゴシック Medium"/>
        <family val="3"/>
        <charset val="128"/>
      </rPr>
      <t>たべものと日本人</t>
    </r>
    <rPh sb="5" eb="8">
      <t>ニホンジン</t>
    </rPh>
    <phoneticPr fontId="1"/>
  </si>
  <si>
    <r>
      <rPr>
        <sz val="11"/>
        <rFont val="游ゴシック Medium"/>
        <family val="3"/>
        <charset val="128"/>
      </rPr>
      <t>田辺</t>
    </r>
    <r>
      <rPr>
        <sz val="11"/>
        <rFont val="Consolas"/>
        <family val="3"/>
      </rPr>
      <t xml:space="preserve"> </t>
    </r>
    <r>
      <rPr>
        <sz val="11"/>
        <rFont val="游ゴシック Medium"/>
        <family val="3"/>
        <charset val="128"/>
      </rPr>
      <t>保</t>
    </r>
    <rPh sb="0" eb="2">
      <t>タナベ</t>
    </rPh>
    <rPh sb="3" eb="4">
      <t>タモツ</t>
    </rPh>
    <phoneticPr fontId="1"/>
  </si>
  <si>
    <r>
      <rPr>
        <sz val="11"/>
        <rFont val="游ゴシック Medium"/>
        <family val="3"/>
        <charset val="128"/>
      </rPr>
      <t>シモーヌ・ヴァイユ</t>
    </r>
    <phoneticPr fontId="1"/>
  </si>
  <si>
    <r>
      <rPr>
        <sz val="11"/>
        <rFont val="游ゴシック Medium"/>
        <family val="3"/>
        <charset val="128"/>
      </rPr>
      <t>シモーヌ・ヴァイユ</t>
    </r>
    <r>
      <rPr>
        <sz val="11"/>
        <rFont val="Consolas"/>
        <family val="3"/>
      </rPr>
      <t xml:space="preserve"> </t>
    </r>
    <r>
      <rPr>
        <sz val="11"/>
        <rFont val="游ゴシック Medium"/>
        <family val="3"/>
        <charset val="128"/>
      </rPr>
      <t>その極限の愛の思想</t>
    </r>
    <rPh sb="12" eb="14">
      <t>キョクゲン</t>
    </rPh>
    <rPh sb="15" eb="16">
      <t>アイ</t>
    </rPh>
    <rPh sb="17" eb="19">
      <t>シソウ</t>
    </rPh>
    <phoneticPr fontId="1"/>
  </si>
  <si>
    <r>
      <rPr>
        <strike/>
        <sz val="11"/>
        <rFont val="游ゴシック Medium"/>
        <family val="3"/>
        <charset val="128"/>
      </rPr>
      <t>新書</t>
    </r>
    <rPh sb="0" eb="2">
      <t>シンショ</t>
    </rPh>
    <phoneticPr fontId="1"/>
  </si>
  <si>
    <r>
      <rPr>
        <strike/>
        <sz val="11"/>
        <rFont val="游ゴシック Medium"/>
        <family val="3"/>
        <charset val="128"/>
      </rPr>
      <t>山松質文</t>
    </r>
    <rPh sb="0" eb="2">
      <t>ヤママツ</t>
    </rPh>
    <rPh sb="2" eb="4">
      <t>タダフミ</t>
    </rPh>
    <phoneticPr fontId="1"/>
  </si>
  <si>
    <r>
      <rPr>
        <strike/>
        <sz val="11"/>
        <rFont val="游ゴシック Medium"/>
        <family val="3"/>
        <charset val="128"/>
      </rPr>
      <t>音楽的才能</t>
    </r>
    <rPh sb="0" eb="3">
      <t>オンガクテキ</t>
    </rPh>
    <rPh sb="3" eb="5">
      <t>サイノウ</t>
    </rPh>
    <phoneticPr fontId="1"/>
  </si>
  <si>
    <r>
      <rPr>
        <strike/>
        <sz val="11"/>
        <rFont val="游ゴシック Medium"/>
        <family val="3"/>
        <charset val="128"/>
      </rPr>
      <t>現代心理学ブックス</t>
    </r>
    <rPh sb="0" eb="2">
      <t>ゲンダイ</t>
    </rPh>
    <rPh sb="2" eb="5">
      <t>シンリガク</t>
    </rPh>
    <phoneticPr fontId="1"/>
  </si>
  <si>
    <r>
      <rPr>
        <strike/>
        <sz val="11"/>
        <rFont val="游ゴシック Medium"/>
        <family val="3"/>
        <charset val="128"/>
      </rPr>
      <t>大日本図書</t>
    </r>
    <rPh sb="0" eb="3">
      <t>ダイニホン</t>
    </rPh>
    <rPh sb="3" eb="5">
      <t>トショ</t>
    </rPh>
    <phoneticPr fontId="1"/>
  </si>
  <si>
    <r>
      <rPr>
        <strike/>
        <sz val="11"/>
        <rFont val="游ゴシック Medium"/>
        <family val="3"/>
        <charset val="128"/>
      </rPr>
      <t>妹に贈与</t>
    </r>
    <rPh sb="0" eb="1">
      <t>イモウト</t>
    </rPh>
    <rPh sb="2" eb="4">
      <t>ゾウヨ</t>
    </rPh>
    <phoneticPr fontId="1"/>
  </si>
  <si>
    <r>
      <rPr>
        <strike/>
        <sz val="11"/>
        <rFont val="游ゴシック Medium"/>
        <family val="3"/>
        <charset val="128"/>
      </rPr>
      <t>障害児のための音楽療法</t>
    </r>
    <rPh sb="0" eb="3">
      <t>ショウガイジ</t>
    </rPh>
    <rPh sb="7" eb="11">
      <t>オンガクリョウホウ</t>
    </rPh>
    <phoneticPr fontId="1"/>
  </si>
  <si>
    <r>
      <rPr>
        <sz val="11"/>
        <rFont val="游ゴシック Medium"/>
        <family val="3"/>
        <charset val="128"/>
      </rPr>
      <t>佐藤良明</t>
    </r>
    <rPh sb="0" eb="2">
      <t>サトウ</t>
    </rPh>
    <rPh sb="2" eb="4">
      <t>ヨシアキ</t>
    </rPh>
    <phoneticPr fontId="1"/>
  </si>
  <si>
    <r>
      <t>J-POP</t>
    </r>
    <r>
      <rPr>
        <sz val="11"/>
        <rFont val="游ゴシック Medium"/>
        <family val="3"/>
        <charset val="128"/>
      </rPr>
      <t>進化論</t>
    </r>
    <r>
      <rPr>
        <sz val="11"/>
        <rFont val="Consolas"/>
        <family val="3"/>
      </rPr>
      <t>/</t>
    </r>
    <r>
      <rPr>
        <sz val="11"/>
        <rFont val="游ゴシック Medium"/>
        <family val="3"/>
        <charset val="128"/>
      </rPr>
      <t>「ヨサホイ節」から「</t>
    </r>
    <r>
      <rPr>
        <sz val="11"/>
        <rFont val="Consolas"/>
        <family val="3"/>
      </rPr>
      <t>Automatic</t>
    </r>
    <r>
      <rPr>
        <sz val="11"/>
        <rFont val="游ゴシック Medium"/>
        <family val="3"/>
        <charset val="128"/>
      </rPr>
      <t>」へ</t>
    </r>
    <rPh sb="5" eb="8">
      <t>シンカロン</t>
    </rPh>
    <rPh sb="14" eb="15">
      <t>ブシ</t>
    </rPh>
    <phoneticPr fontId="1"/>
  </si>
  <si>
    <r>
      <rPr>
        <sz val="11"/>
        <rFont val="游ゴシック Medium"/>
        <family val="3"/>
        <charset val="128"/>
      </rPr>
      <t>平凡社新書</t>
    </r>
    <rPh sb="0" eb="3">
      <t>ヘイボンシャ</t>
    </rPh>
    <rPh sb="3" eb="5">
      <t>シンショ</t>
    </rPh>
    <phoneticPr fontId="1"/>
  </si>
  <si>
    <r>
      <rPr>
        <sz val="11"/>
        <rFont val="游ゴシック Medium"/>
        <family val="3"/>
        <charset val="128"/>
      </rPr>
      <t>水野</t>
    </r>
    <r>
      <rPr>
        <sz val="11"/>
        <rFont val="Consolas"/>
        <family val="3"/>
      </rPr>
      <t xml:space="preserve"> </t>
    </r>
    <r>
      <rPr>
        <sz val="11"/>
        <rFont val="游ゴシック Medium"/>
        <family val="3"/>
        <charset val="128"/>
      </rPr>
      <t>祐</t>
    </r>
    <rPh sb="0" eb="2">
      <t>ミズノ</t>
    </rPh>
    <rPh sb="3" eb="4">
      <t>ユウ</t>
    </rPh>
    <phoneticPr fontId="1"/>
  </si>
  <si>
    <r>
      <rPr>
        <sz val="11"/>
        <rFont val="游ゴシック Medium"/>
        <family val="3"/>
        <charset val="128"/>
      </rPr>
      <t>浦島太郎伝説</t>
    </r>
    <r>
      <rPr>
        <sz val="11"/>
        <rFont val="Consolas"/>
        <family val="3"/>
      </rPr>
      <t>/</t>
    </r>
    <r>
      <rPr>
        <sz val="11"/>
        <rFont val="游ゴシック Medium"/>
        <family val="3"/>
        <charset val="128"/>
      </rPr>
      <t>日本伝説</t>
    </r>
    <r>
      <rPr>
        <sz val="11"/>
        <rFont val="Consolas"/>
        <family val="3"/>
      </rPr>
      <t>Series 1</t>
    </r>
    <rPh sb="0" eb="2">
      <t>ウラシマ</t>
    </rPh>
    <rPh sb="2" eb="4">
      <t>タロウ</t>
    </rPh>
    <rPh sb="4" eb="6">
      <t>デンセツ</t>
    </rPh>
    <rPh sb="7" eb="9">
      <t>ニホン</t>
    </rPh>
    <rPh sb="9" eb="11">
      <t>デンセツ</t>
    </rPh>
    <rPh sb="11" eb="17">
      <t>シリーズ</t>
    </rPh>
    <phoneticPr fontId="1"/>
  </si>
  <si>
    <r>
      <rPr>
        <sz val="11"/>
        <rFont val="游ゴシック Medium"/>
        <family val="3"/>
        <charset val="128"/>
      </rPr>
      <t>産報</t>
    </r>
    <r>
      <rPr>
        <sz val="11"/>
        <rFont val="Consolas"/>
        <family val="3"/>
      </rPr>
      <t>Journal</t>
    </r>
    <rPh sb="0" eb="2">
      <t>サンホウ</t>
    </rPh>
    <rPh sb="2" eb="9">
      <t>ジャーナル</t>
    </rPh>
    <phoneticPr fontId="1"/>
  </si>
  <si>
    <r>
      <rPr>
        <sz val="11"/>
        <rFont val="游ゴシック Medium"/>
        <family val="3"/>
        <charset val="128"/>
      </rPr>
      <t>大川書店</t>
    </r>
    <rPh sb="0" eb="2">
      <t>オオカワ</t>
    </rPh>
    <rPh sb="2" eb="4">
      <t>ショテン</t>
    </rPh>
    <phoneticPr fontId="1"/>
  </si>
  <si>
    <r>
      <rPr>
        <sz val="11"/>
        <rFont val="游ゴシック Medium"/>
        <family val="3"/>
        <charset val="128"/>
      </rPr>
      <t>三砂ちづる</t>
    </r>
    <rPh sb="0" eb="2">
      <t>ミサゴ</t>
    </rPh>
    <phoneticPr fontId="1"/>
  </si>
  <si>
    <r>
      <rPr>
        <sz val="11"/>
        <rFont val="游ゴシック Medium"/>
        <family val="3"/>
        <charset val="128"/>
      </rPr>
      <t>オニババ化する女たち</t>
    </r>
    <r>
      <rPr>
        <sz val="8"/>
        <rFont val="Consolas"/>
        <family val="3"/>
      </rPr>
      <t xml:space="preserve"> </t>
    </r>
    <r>
      <rPr>
        <sz val="8"/>
        <rFont val="游ゴシック Medium"/>
        <family val="3"/>
        <charset val="128"/>
      </rPr>
      <t>女性の身体性を取り戻す</t>
    </r>
    <rPh sb="4" eb="5">
      <t>カ</t>
    </rPh>
    <rPh sb="7" eb="8">
      <t>オンナ</t>
    </rPh>
    <rPh sb="11" eb="13">
      <t>ジョセイ</t>
    </rPh>
    <rPh sb="14" eb="17">
      <t>シンタイセイ</t>
    </rPh>
    <rPh sb="18" eb="19">
      <t>ト</t>
    </rPh>
    <rPh sb="20" eb="21">
      <t>モド</t>
    </rPh>
    <phoneticPr fontId="1"/>
  </si>
  <si>
    <r>
      <rPr>
        <sz val="11"/>
        <rFont val="游ゴシック Medium"/>
        <family val="3"/>
        <charset val="128"/>
      </rPr>
      <t>光文社新書</t>
    </r>
    <rPh sb="0" eb="3">
      <t>コウブンシャ</t>
    </rPh>
    <rPh sb="3" eb="5">
      <t>シンショ</t>
    </rPh>
    <phoneticPr fontId="1"/>
  </si>
  <si>
    <r>
      <rPr>
        <sz val="11"/>
        <rFont val="游ゴシック Medium"/>
        <family val="3"/>
        <charset val="128"/>
      </rPr>
      <t>阿部謹也</t>
    </r>
    <r>
      <rPr>
        <sz val="11"/>
        <rFont val="Consolas"/>
        <family val="3"/>
      </rPr>
      <t>/</t>
    </r>
    <r>
      <rPr>
        <sz val="11"/>
        <rFont val="游ゴシック Medium"/>
        <family val="3"/>
        <charset val="128"/>
      </rPr>
      <t>樺山紘一</t>
    </r>
    <r>
      <rPr>
        <sz val="11"/>
        <rFont val="Consolas"/>
        <family val="3"/>
      </rPr>
      <t>/</t>
    </r>
    <r>
      <rPr>
        <sz val="11"/>
        <rFont val="游ゴシック Medium"/>
        <family val="3"/>
        <charset val="128"/>
      </rPr>
      <t>河上倫逸</t>
    </r>
    <r>
      <rPr>
        <sz val="11"/>
        <rFont val="Consolas"/>
        <family val="3"/>
      </rPr>
      <t>/</t>
    </r>
    <r>
      <rPr>
        <sz val="11"/>
        <rFont val="游ゴシック Medium"/>
        <family val="3"/>
        <charset val="128"/>
      </rPr>
      <t>栗本慎一郎</t>
    </r>
    <rPh sb="0" eb="2">
      <t>アベ</t>
    </rPh>
    <rPh sb="2" eb="4">
      <t>キンヤ</t>
    </rPh>
    <rPh sb="5" eb="7">
      <t>カバヤマ</t>
    </rPh>
    <rPh sb="7" eb="9">
      <t>コウイチ</t>
    </rPh>
    <rPh sb="10" eb="12">
      <t>カワカミ</t>
    </rPh>
    <rPh sb="12" eb="14">
      <t>リンイツ</t>
    </rPh>
    <rPh sb="15" eb="17">
      <t>クリモト</t>
    </rPh>
    <rPh sb="17" eb="20">
      <t>シンイチロウ</t>
    </rPh>
    <phoneticPr fontId="1"/>
  </si>
  <si>
    <r>
      <rPr>
        <sz val="11"/>
        <rFont val="游ゴシック Medium"/>
        <family val="3"/>
        <charset val="128"/>
      </rPr>
      <t>殺し合いが「市民」を生んだ</t>
    </r>
    <r>
      <rPr>
        <sz val="11"/>
        <rFont val="Consolas"/>
        <family val="3"/>
      </rPr>
      <t>/</t>
    </r>
    <r>
      <rPr>
        <sz val="11"/>
        <rFont val="游ゴシック Medium"/>
        <family val="3"/>
        <charset val="128"/>
      </rPr>
      <t>いま「</t>
    </r>
    <r>
      <rPr>
        <sz val="11"/>
        <rFont val="Consolas"/>
        <family val="3"/>
      </rPr>
      <t>Europa</t>
    </r>
    <r>
      <rPr>
        <sz val="11"/>
        <rFont val="游ゴシック Medium"/>
        <family val="3"/>
        <charset val="128"/>
      </rPr>
      <t>」が崩壊する</t>
    </r>
    <r>
      <rPr>
        <sz val="11"/>
        <rFont val="Consolas"/>
        <family val="3"/>
      </rPr>
      <t>/</t>
    </r>
    <r>
      <rPr>
        <sz val="11"/>
        <rFont val="游ゴシック Medium"/>
        <family val="3"/>
        <charset val="128"/>
      </rPr>
      <t>上</t>
    </r>
    <rPh sb="0" eb="1">
      <t>コロ</t>
    </rPh>
    <rPh sb="2" eb="3">
      <t>ア</t>
    </rPh>
    <rPh sb="6" eb="8">
      <t>シミン</t>
    </rPh>
    <rPh sb="10" eb="11">
      <t>ウ</t>
    </rPh>
    <rPh sb="17" eb="23">
      <t>ヨーロッパ</t>
    </rPh>
    <rPh sb="25" eb="27">
      <t>ホウカイ</t>
    </rPh>
    <rPh sb="30" eb="31">
      <t>ジョウ</t>
    </rPh>
    <phoneticPr fontId="1"/>
  </si>
  <si>
    <r>
      <rPr>
        <sz val="11"/>
        <rFont val="游ゴシック Medium"/>
        <family val="3"/>
        <charset val="128"/>
      </rPr>
      <t>光文社</t>
    </r>
    <rPh sb="0" eb="3">
      <t>コウブンシャ</t>
    </rPh>
    <phoneticPr fontId="1"/>
  </si>
  <si>
    <r>
      <rPr>
        <sz val="11"/>
        <rFont val="游ゴシック Medium"/>
        <family val="3"/>
        <charset val="128"/>
      </rPr>
      <t>山口昌男</t>
    </r>
    <r>
      <rPr>
        <sz val="11"/>
        <rFont val="Consolas"/>
        <family val="3"/>
      </rPr>
      <t>/</t>
    </r>
    <r>
      <rPr>
        <sz val="11"/>
        <rFont val="游ゴシック Medium"/>
        <family val="3"/>
        <charset val="128"/>
      </rPr>
      <t>山内昌之</t>
    </r>
    <r>
      <rPr>
        <sz val="11"/>
        <rFont val="Consolas"/>
        <family val="3"/>
      </rPr>
      <t>/</t>
    </r>
    <r>
      <rPr>
        <sz val="11"/>
        <rFont val="游ゴシック Medium"/>
        <family val="3"/>
        <charset val="128"/>
      </rPr>
      <t>栗本慎一郎</t>
    </r>
    <rPh sb="0" eb="2">
      <t>ヤマグチ</t>
    </rPh>
    <rPh sb="2" eb="4">
      <t>マサオ</t>
    </rPh>
    <rPh sb="5" eb="7">
      <t>ヤマウチ</t>
    </rPh>
    <rPh sb="7" eb="9">
      <t>マサユキ</t>
    </rPh>
    <rPh sb="10" eb="12">
      <t>クリモト</t>
    </rPh>
    <rPh sb="12" eb="15">
      <t>シンイチロウ</t>
    </rPh>
    <phoneticPr fontId="1"/>
  </si>
  <si>
    <r>
      <rPr>
        <sz val="11"/>
        <rFont val="游ゴシック Medium"/>
        <family val="3"/>
        <charset val="128"/>
      </rPr>
      <t>「野蛮」が「文明」を生んだ</t>
    </r>
    <r>
      <rPr>
        <sz val="11"/>
        <rFont val="Consolas"/>
        <family val="3"/>
      </rPr>
      <t>/</t>
    </r>
    <r>
      <rPr>
        <sz val="11"/>
        <rFont val="游ゴシック Medium"/>
        <family val="3"/>
        <charset val="128"/>
      </rPr>
      <t>いま「</t>
    </r>
    <r>
      <rPr>
        <sz val="11"/>
        <rFont val="Consolas"/>
        <family val="3"/>
      </rPr>
      <t>Europa</t>
    </r>
    <r>
      <rPr>
        <sz val="11"/>
        <rFont val="游ゴシック Medium"/>
        <family val="3"/>
        <charset val="128"/>
      </rPr>
      <t>」が崩壊する</t>
    </r>
    <r>
      <rPr>
        <sz val="11"/>
        <rFont val="Consolas"/>
        <family val="3"/>
      </rPr>
      <t>/</t>
    </r>
    <r>
      <rPr>
        <sz val="11"/>
        <rFont val="游ゴシック Medium"/>
        <family val="3"/>
        <charset val="128"/>
      </rPr>
      <t>下</t>
    </r>
    <rPh sb="1" eb="3">
      <t>ヤバン</t>
    </rPh>
    <rPh sb="6" eb="8">
      <t>ブンメイ</t>
    </rPh>
    <rPh sb="10" eb="11">
      <t>ウ</t>
    </rPh>
    <rPh sb="17" eb="23">
      <t>ヨーロッパ</t>
    </rPh>
    <rPh sb="25" eb="27">
      <t>ホウカイ</t>
    </rPh>
    <rPh sb="30" eb="31">
      <t>ゲ</t>
    </rPh>
    <phoneticPr fontId="1"/>
  </si>
  <si>
    <r>
      <rPr>
        <sz val="11"/>
        <rFont val="游ゴシック Medium"/>
        <family val="3"/>
        <charset val="128"/>
      </rPr>
      <t>栗本慎一郎</t>
    </r>
    <rPh sb="0" eb="2">
      <t>クリモト</t>
    </rPh>
    <rPh sb="2" eb="5">
      <t>シンイチロウ</t>
    </rPh>
    <phoneticPr fontId="1"/>
  </si>
  <si>
    <r>
      <rPr>
        <sz val="11"/>
        <rFont val="游ゴシック Medium"/>
        <family val="3"/>
        <charset val="128"/>
      </rPr>
      <t>パンツをはいたサル</t>
    </r>
    <r>
      <rPr>
        <sz val="11"/>
        <rFont val="Consolas"/>
        <family val="3"/>
      </rPr>
      <t>/</t>
    </r>
    <r>
      <rPr>
        <sz val="11"/>
        <rFont val="游ゴシック Medium"/>
        <family val="3"/>
        <charset val="128"/>
      </rPr>
      <t>人間は、どういう生物か</t>
    </r>
    <rPh sb="10" eb="12">
      <t>ニンゲン</t>
    </rPh>
    <rPh sb="18" eb="20">
      <t>セイブツ</t>
    </rPh>
    <phoneticPr fontId="1"/>
  </si>
  <si>
    <r>
      <rPr>
        <sz val="11"/>
        <rFont val="游ゴシック Medium"/>
        <family val="3"/>
        <charset val="128"/>
      </rPr>
      <t>竹村健一</t>
    </r>
    <rPh sb="0" eb="2">
      <t>タケムラ</t>
    </rPh>
    <rPh sb="2" eb="4">
      <t>ケンイチ</t>
    </rPh>
    <phoneticPr fontId="1"/>
  </si>
  <si>
    <r>
      <rPr>
        <sz val="11"/>
        <rFont val="游ゴシック Medium"/>
        <family val="3"/>
        <charset val="128"/>
      </rPr>
      <t>基本</t>
    </r>
    <r>
      <rPr>
        <sz val="11"/>
        <rFont val="Consolas"/>
        <family val="3"/>
      </rPr>
      <t>19</t>
    </r>
    <r>
      <rPr>
        <sz val="11"/>
        <rFont val="游ゴシック Medium"/>
        <family val="3"/>
        <charset val="128"/>
      </rPr>
      <t>語の英語術</t>
    </r>
    <r>
      <rPr>
        <sz val="11"/>
        <rFont val="Consolas"/>
        <family val="3"/>
      </rPr>
      <t>/</t>
    </r>
    <r>
      <rPr>
        <sz val="11"/>
        <rFont val="游ゴシック Medium"/>
        <family val="3"/>
        <charset val="128"/>
      </rPr>
      <t>これで、旅行も商談も</t>
    </r>
    <r>
      <rPr>
        <sz val="11"/>
        <rFont val="Consolas"/>
        <family val="3"/>
      </rPr>
      <t>OK</t>
    </r>
    <r>
      <rPr>
        <sz val="11"/>
        <rFont val="游ゴシック Medium"/>
        <family val="3"/>
        <charset val="128"/>
      </rPr>
      <t>や</t>
    </r>
    <rPh sb="0" eb="2">
      <t>キホン</t>
    </rPh>
    <rPh sb="4" eb="5">
      <t>ゴ</t>
    </rPh>
    <rPh sb="6" eb="8">
      <t>エイゴ</t>
    </rPh>
    <rPh sb="8" eb="9">
      <t>ジュツ</t>
    </rPh>
    <rPh sb="14" eb="16">
      <t>リョコウ</t>
    </rPh>
    <rPh sb="17" eb="19">
      <t>ショウダン</t>
    </rPh>
    <phoneticPr fontId="1"/>
  </si>
  <si>
    <r>
      <rPr>
        <sz val="11"/>
        <rFont val="游ゴシック Medium"/>
        <family val="3"/>
        <charset val="128"/>
      </rPr>
      <t>原田</t>
    </r>
    <r>
      <rPr>
        <sz val="11"/>
        <rFont val="Consolas"/>
        <family val="3"/>
      </rPr>
      <t xml:space="preserve"> </t>
    </r>
    <r>
      <rPr>
        <sz val="11"/>
        <rFont val="游ゴシック Medium"/>
        <family val="3"/>
        <charset val="128"/>
      </rPr>
      <t>尚</t>
    </r>
    <rPh sb="0" eb="2">
      <t>ハラダ</t>
    </rPh>
    <rPh sb="3" eb="4">
      <t>タカシ</t>
    </rPh>
    <phoneticPr fontId="1"/>
  </si>
  <si>
    <r>
      <rPr>
        <sz val="11"/>
        <rFont val="游ゴシック Medium"/>
        <family val="3"/>
        <charset val="128"/>
      </rPr>
      <t>あなたは名医だ</t>
    </r>
    <r>
      <rPr>
        <sz val="11"/>
        <rFont val="Consolas"/>
        <family val="3"/>
      </rPr>
      <t>/</t>
    </r>
    <r>
      <rPr>
        <sz val="11"/>
        <rFont val="游ゴシック Medium"/>
        <family val="3"/>
        <charset val="128"/>
      </rPr>
      <t>痛みの発作をとめる本</t>
    </r>
    <r>
      <rPr>
        <sz val="11"/>
        <rFont val="Consolas"/>
        <family val="3"/>
      </rPr>
      <t>/</t>
    </r>
    <r>
      <rPr>
        <sz val="11"/>
        <rFont val="游ゴシック Medium"/>
        <family val="3"/>
        <charset val="128"/>
      </rPr>
      <t>救急家庭内科</t>
    </r>
    <rPh sb="4" eb="6">
      <t>メイイ</t>
    </rPh>
    <rPh sb="8" eb="9">
      <t>イタ</t>
    </rPh>
    <rPh sb="11" eb="13">
      <t>ホッサ</t>
    </rPh>
    <rPh sb="17" eb="18">
      <t>ホン</t>
    </rPh>
    <rPh sb="19" eb="21">
      <t>キュウキュウ</t>
    </rPh>
    <rPh sb="21" eb="23">
      <t>カテイ</t>
    </rPh>
    <rPh sb="23" eb="25">
      <t>ナイカ</t>
    </rPh>
    <phoneticPr fontId="1"/>
  </si>
  <si>
    <r>
      <rPr>
        <sz val="11"/>
        <rFont val="游ゴシック Medium"/>
        <family val="3"/>
        <charset val="128"/>
      </rPr>
      <t>ワニの本</t>
    </r>
    <r>
      <rPr>
        <sz val="11"/>
        <rFont val="Consolas"/>
        <family val="3"/>
      </rPr>
      <t>352</t>
    </r>
    <rPh sb="3" eb="4">
      <t>ホン</t>
    </rPh>
    <phoneticPr fontId="1"/>
  </si>
  <si>
    <r>
      <rPr>
        <sz val="11"/>
        <rFont val="游ゴシック Medium"/>
        <family val="3"/>
        <charset val="128"/>
      </rPr>
      <t>ブッチャー</t>
    </r>
    <r>
      <rPr>
        <sz val="11"/>
        <rFont val="Consolas"/>
        <family val="3"/>
      </rPr>
      <t>,</t>
    </r>
    <r>
      <rPr>
        <sz val="11"/>
        <rFont val="游ゴシック Medium"/>
        <family val="3"/>
        <charset val="128"/>
      </rPr>
      <t>アブドーラ・ザ</t>
    </r>
    <phoneticPr fontId="1"/>
  </si>
  <si>
    <r>
      <rPr>
        <sz val="11"/>
        <rFont val="游ゴシック Medium"/>
        <family val="3"/>
        <charset val="128"/>
      </rPr>
      <t>ゴジン・カーン</t>
    </r>
    <phoneticPr fontId="1"/>
  </si>
  <si>
    <r>
      <rPr>
        <sz val="11"/>
        <rFont val="游ゴシック Medium"/>
        <family val="3"/>
        <charset val="128"/>
      </rPr>
      <t>プロレスを</t>
    </r>
    <r>
      <rPr>
        <sz val="11"/>
        <rFont val="Consolas"/>
        <family val="3"/>
      </rPr>
      <t>10</t>
    </r>
    <r>
      <rPr>
        <sz val="11"/>
        <rFont val="游ゴシック Medium"/>
        <family val="3"/>
        <charset val="128"/>
      </rPr>
      <t>倍楽しく見る方法</t>
    </r>
    <r>
      <rPr>
        <sz val="11"/>
        <rFont val="Consolas"/>
        <family val="3"/>
      </rPr>
      <t>/</t>
    </r>
    <r>
      <rPr>
        <sz val="11"/>
        <rFont val="游ゴシック Medium"/>
        <family val="3"/>
        <charset val="128"/>
      </rPr>
      <t>大熱狂</t>
    </r>
    <r>
      <rPr>
        <sz val="11"/>
        <rFont val="Consolas"/>
        <family val="3"/>
      </rPr>
      <t>!</t>
    </r>
    <rPh sb="7" eb="8">
      <t>バイ</t>
    </rPh>
    <rPh sb="8" eb="9">
      <t>タノ</t>
    </rPh>
    <rPh sb="11" eb="12">
      <t>ミ</t>
    </rPh>
    <rPh sb="13" eb="15">
      <t>ホウホウ</t>
    </rPh>
    <rPh sb="16" eb="17">
      <t>ダイ</t>
    </rPh>
    <rPh sb="17" eb="19">
      <t>ネッキョウ</t>
    </rPh>
    <phoneticPr fontId="1"/>
  </si>
  <si>
    <r>
      <rPr>
        <sz val="11"/>
        <rFont val="游ゴシック Medium"/>
        <family val="3"/>
        <charset val="128"/>
      </rPr>
      <t>ワニプックス</t>
    </r>
    <r>
      <rPr>
        <sz val="11"/>
        <rFont val="Consolas"/>
        <family val="3"/>
      </rPr>
      <t>/</t>
    </r>
    <r>
      <rPr>
        <sz val="11"/>
        <rFont val="游ゴシック Medium"/>
        <family val="3"/>
        <charset val="128"/>
      </rPr>
      <t>㈱</t>
    </r>
    <phoneticPr fontId="1"/>
  </si>
  <si>
    <r>
      <rPr>
        <sz val="11"/>
        <rFont val="游ゴシック Medium"/>
        <family val="3"/>
        <charset val="128"/>
      </rPr>
      <t>市川智康</t>
    </r>
    <rPh sb="0" eb="2">
      <t>イチカワ</t>
    </rPh>
    <phoneticPr fontId="1"/>
  </si>
  <si>
    <r>
      <rPr>
        <b/>
        <sz val="11"/>
        <color indexed="33"/>
        <rFont val="游ゴシック Medium"/>
        <family val="3"/>
        <charset val="128"/>
      </rPr>
      <t>仏さまの履歴書</t>
    </r>
    <rPh sb="0" eb="1">
      <t>ホトケ</t>
    </rPh>
    <rPh sb="4" eb="7">
      <t>リレキショ</t>
    </rPh>
    <phoneticPr fontId="1"/>
  </si>
  <si>
    <r>
      <rPr>
        <sz val="11"/>
        <rFont val="游ゴシック Medium"/>
        <family val="3"/>
        <charset val="128"/>
      </rPr>
      <t>水書房</t>
    </r>
    <rPh sb="0" eb="1">
      <t>ミズ</t>
    </rPh>
    <rPh sb="1" eb="3">
      <t>ショボウ</t>
    </rPh>
    <phoneticPr fontId="1"/>
  </si>
  <si>
    <r>
      <rPr>
        <sz val="11"/>
        <rFont val="游ゴシック Medium"/>
        <family val="3"/>
        <charset val="128"/>
      </rPr>
      <t>女の子</t>
    </r>
    <r>
      <rPr>
        <sz val="11"/>
        <rFont val="Consolas"/>
        <family val="3"/>
      </rPr>
      <t>300</t>
    </r>
    <r>
      <rPr>
        <sz val="11"/>
        <rFont val="游ゴシック Medium"/>
        <family val="3"/>
        <charset val="128"/>
      </rPr>
      <t>人委員会</t>
    </r>
    <rPh sb="0" eb="1">
      <t>オンナ</t>
    </rPh>
    <rPh sb="2" eb="3">
      <t>コ</t>
    </rPh>
    <rPh sb="6" eb="7">
      <t>ニン</t>
    </rPh>
    <rPh sb="7" eb="10">
      <t>イインカイ</t>
    </rPh>
    <phoneticPr fontId="1"/>
  </si>
  <si>
    <r>
      <rPr>
        <sz val="11"/>
        <rFont val="游ゴシック Medium"/>
        <family val="3"/>
        <charset val="128"/>
      </rPr>
      <t>恋する女性の</t>
    </r>
    <r>
      <rPr>
        <sz val="11"/>
        <rFont val="Consolas"/>
        <family val="3"/>
      </rPr>
      <t xml:space="preserve"> LOVE &amp; HEAVEN ~</t>
    </r>
    <r>
      <rPr>
        <sz val="11"/>
        <rFont val="游ゴシック Medium"/>
        <family val="3"/>
        <charset val="128"/>
      </rPr>
      <t>楽しいみんなの</t>
    </r>
    <r>
      <rPr>
        <sz val="11"/>
        <rFont val="Consolas"/>
        <family val="3"/>
      </rPr>
      <t>H</t>
    </r>
    <r>
      <rPr>
        <sz val="11"/>
        <rFont val="游ゴシック Medium"/>
        <family val="3"/>
        <charset val="128"/>
      </rPr>
      <t>ファイル</t>
    </r>
    <r>
      <rPr>
        <sz val="11"/>
        <rFont val="Consolas"/>
        <family val="3"/>
      </rPr>
      <t>~</t>
    </r>
    <rPh sb="0" eb="1">
      <t>コイ</t>
    </rPh>
    <rPh sb="3" eb="5">
      <t>ジョセイ</t>
    </rPh>
    <rPh sb="22" eb="23">
      <t>タノ</t>
    </rPh>
    <phoneticPr fontId="1"/>
  </si>
  <si>
    <r>
      <t>SAKURA MOOK 62/</t>
    </r>
    <r>
      <rPr>
        <sz val="11"/>
        <rFont val="游ゴシック Medium"/>
        <family val="3"/>
        <charset val="128"/>
      </rPr>
      <t>雑誌</t>
    </r>
    <r>
      <rPr>
        <sz val="11"/>
        <rFont val="Consolas"/>
        <family val="3"/>
      </rPr>
      <t>64120-62</t>
    </r>
    <rPh sb="15" eb="17">
      <t>ザッシ</t>
    </rPh>
    <phoneticPr fontId="1"/>
  </si>
  <si>
    <r>
      <rPr>
        <sz val="11"/>
        <rFont val="游ゴシック Medium"/>
        <family val="3"/>
        <charset val="128"/>
      </rPr>
      <t>笠倉出版社</t>
    </r>
    <rPh sb="0" eb="2">
      <t>カサクラ</t>
    </rPh>
    <rPh sb="2" eb="5">
      <t>シュッパンシャ</t>
    </rPh>
    <phoneticPr fontId="1"/>
  </si>
  <si>
    <r>
      <rPr>
        <sz val="11"/>
        <rFont val="游ゴシック Medium"/>
        <family val="3"/>
        <charset val="128"/>
      </rPr>
      <t>北中正和</t>
    </r>
    <r>
      <rPr>
        <sz val="11"/>
        <rFont val="Consolas"/>
        <family val="3"/>
      </rPr>
      <t>/</t>
    </r>
    <r>
      <rPr>
        <sz val="11"/>
        <rFont val="游ゴシック Medium"/>
        <family val="3"/>
        <charset val="128"/>
      </rPr>
      <t>かまち潤</t>
    </r>
    <rPh sb="0" eb="2">
      <t>キタナカ</t>
    </rPh>
    <rPh sb="2" eb="4">
      <t>マサカズ</t>
    </rPh>
    <rPh sb="8" eb="9">
      <t>ジュン</t>
    </rPh>
    <phoneticPr fontId="1"/>
  </si>
  <si>
    <r>
      <rPr>
        <sz val="11"/>
        <rFont val="游ゴシック Medium"/>
        <family val="3"/>
        <charset val="128"/>
      </rPr>
      <t>ロック決定版</t>
    </r>
    <rPh sb="3" eb="6">
      <t>ケッテイバン</t>
    </rPh>
    <phoneticPr fontId="1"/>
  </si>
  <si>
    <r>
      <rPr>
        <sz val="11"/>
        <rFont val="游ゴシック Medium"/>
        <family val="3"/>
        <charset val="128"/>
      </rPr>
      <t>磯田健一郎</t>
    </r>
    <rPh sb="0" eb="2">
      <t>イソダ</t>
    </rPh>
    <rPh sb="2" eb="5">
      <t>ケンイチロウ</t>
    </rPh>
    <phoneticPr fontId="1"/>
  </si>
  <si>
    <r>
      <rPr>
        <sz val="11"/>
        <rFont val="游ゴシック Medium"/>
        <family val="3"/>
        <charset val="128"/>
      </rPr>
      <t>近代・現代</t>
    </r>
    <r>
      <rPr>
        <sz val="11"/>
        <rFont val="Consolas"/>
        <family val="3"/>
      </rPr>
      <t>France</t>
    </r>
    <r>
      <rPr>
        <sz val="11"/>
        <rFont val="游ゴシック Medium"/>
        <family val="3"/>
        <charset val="128"/>
      </rPr>
      <t>音楽入門</t>
    </r>
    <r>
      <rPr>
        <sz val="11"/>
        <rFont val="Consolas"/>
        <family val="3"/>
      </rPr>
      <t>/</t>
    </r>
    <r>
      <rPr>
        <sz val="11"/>
        <rFont val="游ゴシック Medium"/>
        <family val="3"/>
        <charset val="128"/>
      </rPr>
      <t>お薦め</t>
    </r>
    <r>
      <rPr>
        <sz val="11"/>
        <rFont val="Consolas"/>
        <family val="3"/>
      </rPr>
      <t>CD</t>
    </r>
    <r>
      <rPr>
        <sz val="11"/>
        <rFont val="游ゴシック Medium"/>
        <family val="3"/>
        <charset val="128"/>
      </rPr>
      <t>ガイドつき</t>
    </r>
    <r>
      <rPr>
        <sz val="11"/>
        <rFont val="Consolas"/>
        <family val="3"/>
      </rPr>
      <t>/</t>
    </r>
    <r>
      <rPr>
        <sz val="11"/>
        <rFont val="游ゴシック Medium"/>
        <family val="3"/>
        <charset val="128"/>
      </rPr>
      <t>サティのように聴いてみたい</t>
    </r>
    <rPh sb="0" eb="2">
      <t>キンダイ</t>
    </rPh>
    <rPh sb="3" eb="5">
      <t>ゲンダイ</t>
    </rPh>
    <rPh sb="11" eb="13">
      <t>オンガク</t>
    </rPh>
    <rPh sb="13" eb="15">
      <t>ニュウモン</t>
    </rPh>
    <rPh sb="17" eb="18">
      <t>スス</t>
    </rPh>
    <rPh sb="34" eb="35">
      <t>キ</t>
    </rPh>
    <phoneticPr fontId="1"/>
  </si>
  <si>
    <r>
      <rPr>
        <sz val="11"/>
        <rFont val="游ゴシック Medium"/>
        <family val="3"/>
        <charset val="128"/>
      </rPr>
      <t>浅田</t>
    </r>
    <r>
      <rPr>
        <sz val="11"/>
        <rFont val="Consolas"/>
        <family val="3"/>
      </rPr>
      <t xml:space="preserve"> </t>
    </r>
    <r>
      <rPr>
        <sz val="11"/>
        <rFont val="游ゴシック Medium"/>
        <family val="3"/>
        <charset val="128"/>
      </rPr>
      <t>彰</t>
    </r>
    <rPh sb="0" eb="2">
      <t>アサダ</t>
    </rPh>
    <rPh sb="3" eb="4">
      <t>アキラ</t>
    </rPh>
    <phoneticPr fontId="1"/>
  </si>
  <si>
    <r>
      <rPr>
        <sz val="11"/>
        <rFont val="游ゴシック Medium"/>
        <family val="3"/>
        <charset val="128"/>
      </rPr>
      <t>「イルカの本」編集部</t>
    </r>
    <rPh sb="5" eb="6">
      <t>ホン</t>
    </rPh>
    <rPh sb="7" eb="10">
      <t>ヘンシュウブ</t>
    </rPh>
    <phoneticPr fontId="1"/>
  </si>
  <si>
    <r>
      <rPr>
        <sz val="11"/>
        <rFont val="游ゴシック Medium"/>
        <family val="3"/>
        <charset val="128"/>
      </rPr>
      <t>「浅田</t>
    </r>
    <r>
      <rPr>
        <sz val="11"/>
        <rFont val="Consolas"/>
        <family val="3"/>
      </rPr>
      <t xml:space="preserve"> </t>
    </r>
    <r>
      <rPr>
        <sz val="11"/>
        <rFont val="游ゴシック Medium"/>
        <family val="3"/>
        <charset val="128"/>
      </rPr>
      <t>彰」</t>
    </r>
    <r>
      <rPr>
        <sz val="11"/>
        <rFont val="Consolas"/>
        <family val="3"/>
      </rPr>
      <t>/</t>
    </r>
    <r>
      <rPr>
        <sz val="11"/>
        <rFont val="游ゴシック Medium"/>
        <family val="3"/>
        <charset val="128"/>
      </rPr>
      <t>「知」の</t>
    </r>
    <r>
      <rPr>
        <sz val="11"/>
        <rFont val="Consolas"/>
        <family val="3"/>
      </rPr>
      <t>Idol</t>
    </r>
    <r>
      <rPr>
        <sz val="11"/>
        <rFont val="游ゴシック Medium"/>
        <family val="3"/>
        <charset val="128"/>
      </rPr>
      <t>の研究読本</t>
    </r>
    <rPh sb="1" eb="3">
      <t>アサダ</t>
    </rPh>
    <rPh sb="4" eb="5">
      <t>アキラ</t>
    </rPh>
    <rPh sb="8" eb="9">
      <t>チ</t>
    </rPh>
    <rPh sb="11" eb="15">
      <t>アイドル</t>
    </rPh>
    <rPh sb="16" eb="18">
      <t>ケンキュウ</t>
    </rPh>
    <rPh sb="18" eb="20">
      <t>トクホン</t>
    </rPh>
    <phoneticPr fontId="1"/>
  </si>
  <si>
    <r>
      <rPr>
        <sz val="11"/>
        <rFont val="游ゴシック Medium"/>
        <family val="3"/>
        <charset val="128"/>
      </rPr>
      <t>イルカの本</t>
    </r>
    <rPh sb="4" eb="5">
      <t>ホン</t>
    </rPh>
    <phoneticPr fontId="1"/>
  </si>
  <si>
    <r>
      <rPr>
        <sz val="11"/>
        <rFont val="游ゴシック Medium"/>
        <family val="3"/>
        <charset val="128"/>
      </rPr>
      <t>プレジデント社</t>
    </r>
    <rPh sb="6" eb="7">
      <t>シャ</t>
    </rPh>
    <phoneticPr fontId="1"/>
  </si>
  <si>
    <r>
      <rPr>
        <sz val="11"/>
        <rFont val="游ゴシック Medium"/>
        <family val="3"/>
        <charset val="128"/>
      </rPr>
      <t>新書</t>
    </r>
    <r>
      <rPr>
        <sz val="11"/>
        <rFont val="Consolas"/>
        <family val="3"/>
      </rPr>
      <t>/</t>
    </r>
    <r>
      <rPr>
        <sz val="11"/>
        <rFont val="游ゴシック Medium"/>
        <family val="3"/>
        <charset val="128"/>
      </rPr>
      <t>雑誌</t>
    </r>
    <rPh sb="0" eb="2">
      <t>シンショ</t>
    </rPh>
    <rPh sb="3" eb="5">
      <t>ザッシ</t>
    </rPh>
    <phoneticPr fontId="1"/>
  </si>
  <si>
    <r>
      <rPr>
        <sz val="11"/>
        <rFont val="游ゴシック Medium"/>
        <family val="3"/>
        <charset val="128"/>
      </rPr>
      <t>日比野克彦</t>
    </r>
    <rPh sb="0" eb="3">
      <t>ヒビノ</t>
    </rPh>
    <rPh sb="3" eb="5">
      <t>カツヒコ</t>
    </rPh>
    <phoneticPr fontId="1"/>
  </si>
  <si>
    <r>
      <rPr>
        <sz val="11"/>
        <rFont val="游ゴシック Medium"/>
        <family val="3"/>
        <charset val="128"/>
      </rPr>
      <t>週刊本</t>
    </r>
    <r>
      <rPr>
        <sz val="11"/>
        <rFont val="Consolas"/>
        <family val="3"/>
      </rPr>
      <t>/The Weekly Fluctuant Book/3</t>
    </r>
    <rPh sb="0" eb="1">
      <t>シュウ</t>
    </rPh>
    <rPh sb="1" eb="3">
      <t>カンポン</t>
    </rPh>
    <phoneticPr fontId="1"/>
  </si>
  <si>
    <r>
      <rPr>
        <sz val="11"/>
        <rFont val="游ゴシック Medium"/>
        <family val="3"/>
        <charset val="128"/>
      </rPr>
      <t>坂本龍一</t>
    </r>
    <rPh sb="0" eb="4">
      <t>サカモトリュウイチ</t>
    </rPh>
    <phoneticPr fontId="1"/>
  </si>
  <si>
    <r>
      <rPr>
        <sz val="11"/>
        <rFont val="游ゴシック Medium"/>
        <family val="3"/>
        <charset val="128"/>
      </rPr>
      <t>書物の地平線</t>
    </r>
    <r>
      <rPr>
        <sz val="11"/>
        <rFont val="Consolas"/>
        <family val="3"/>
      </rPr>
      <t xml:space="preserve"> </t>
    </r>
    <r>
      <rPr>
        <sz val="11"/>
        <rFont val="游ゴシック Medium"/>
        <family val="3"/>
        <charset val="128"/>
      </rPr>
      <t>本本堂未刊行図書目録</t>
    </r>
    <rPh sb="0" eb="2">
      <t>ショモツ</t>
    </rPh>
    <rPh sb="3" eb="6">
      <t>チヘイセン</t>
    </rPh>
    <rPh sb="7" eb="8">
      <t>ホン</t>
    </rPh>
    <rPh sb="8" eb="9">
      <t>ホン</t>
    </rPh>
    <rPh sb="9" eb="10">
      <t>ドウ</t>
    </rPh>
    <rPh sb="10" eb="11">
      <t>ミ</t>
    </rPh>
    <rPh sb="11" eb="13">
      <t>カンコウ</t>
    </rPh>
    <rPh sb="13" eb="15">
      <t>トショ</t>
    </rPh>
    <rPh sb="15" eb="17">
      <t>モクロク</t>
    </rPh>
    <phoneticPr fontId="1"/>
  </si>
  <si>
    <r>
      <rPr>
        <sz val="11"/>
        <rFont val="游ゴシック Medium"/>
        <family val="3"/>
        <charset val="128"/>
      </rPr>
      <t>週刊本</t>
    </r>
    <r>
      <rPr>
        <sz val="11"/>
        <rFont val="Consolas"/>
        <family val="3"/>
      </rPr>
      <t>/The Weekly Fluctuant Book/6</t>
    </r>
    <rPh sb="0" eb="2">
      <t>シュウカン</t>
    </rPh>
    <rPh sb="2" eb="3">
      <t>ボン</t>
    </rPh>
    <phoneticPr fontId="1"/>
  </si>
  <si>
    <r>
      <rPr>
        <sz val="11"/>
        <rFont val="游ゴシック Medium"/>
        <family val="3"/>
        <charset val="128"/>
      </rPr>
      <t>認識</t>
    </r>
    <r>
      <rPr>
        <sz val="11"/>
        <rFont val="Consolas"/>
        <family val="3"/>
      </rPr>
      <t>Machine</t>
    </r>
    <r>
      <rPr>
        <sz val="11"/>
        <rFont val="游ゴシック Medium"/>
        <family val="3"/>
        <charset val="128"/>
      </rPr>
      <t>への</t>
    </r>
    <r>
      <rPr>
        <sz val="11"/>
        <rFont val="Consolas"/>
        <family val="3"/>
      </rPr>
      <t>Requiem</t>
    </r>
    <rPh sb="0" eb="2">
      <t>ニンシキ</t>
    </rPh>
    <rPh sb="2" eb="9">
      <t>マシーン</t>
    </rPh>
    <rPh sb="11" eb="18">
      <t>レクィエム</t>
    </rPh>
    <phoneticPr fontId="1"/>
  </si>
  <si>
    <r>
      <rPr>
        <sz val="11"/>
        <rFont val="游ゴシック Medium"/>
        <family val="3"/>
        <charset val="128"/>
      </rPr>
      <t>週刊本</t>
    </r>
    <r>
      <rPr>
        <sz val="11"/>
        <rFont val="Consolas"/>
        <family val="3"/>
      </rPr>
      <t>/The Weekly Fluctuant Book/21</t>
    </r>
    <rPh sb="0" eb="2">
      <t>シュウカン</t>
    </rPh>
    <rPh sb="2" eb="3">
      <t>ボン</t>
    </rPh>
    <phoneticPr fontId="1"/>
  </si>
  <si>
    <r>
      <rPr>
        <sz val="11"/>
        <rFont val="游ゴシック Medium"/>
        <family val="3"/>
        <charset val="128"/>
      </rPr>
      <t>奇跡の手相術</t>
    </r>
    <r>
      <rPr>
        <sz val="11"/>
        <rFont val="Consolas"/>
        <family val="3"/>
      </rPr>
      <t>/</t>
    </r>
    <r>
      <rPr>
        <sz val="11"/>
        <rFont val="游ゴシック Medium"/>
        <family val="3"/>
        <charset val="128"/>
      </rPr>
      <t>伊藤洋子の</t>
    </r>
    <rPh sb="0" eb="2">
      <t>キセキ</t>
    </rPh>
    <rPh sb="3" eb="5">
      <t>テソウ</t>
    </rPh>
    <rPh sb="5" eb="6">
      <t>ジュツ</t>
    </rPh>
    <rPh sb="7" eb="9">
      <t>イトウ</t>
    </rPh>
    <rPh sb="9" eb="11">
      <t>ヨウコ</t>
    </rPh>
    <phoneticPr fontId="1"/>
  </si>
  <si>
    <r>
      <rPr>
        <sz val="11"/>
        <rFont val="游ゴシック Medium"/>
        <family val="3"/>
        <charset val="128"/>
      </rPr>
      <t>橘出版</t>
    </r>
    <rPh sb="0" eb="1">
      <t>タチバナ</t>
    </rPh>
    <rPh sb="1" eb="3">
      <t>シュッパン</t>
    </rPh>
    <phoneticPr fontId="1"/>
  </si>
  <si>
    <r>
      <rPr>
        <sz val="11"/>
        <rFont val="游ゴシック Medium"/>
        <family val="3"/>
        <charset val="128"/>
      </rPr>
      <t>都築卓司</t>
    </r>
    <rPh sb="0" eb="2">
      <t>ツヅキ</t>
    </rPh>
    <rPh sb="2" eb="4">
      <t>タクジ</t>
    </rPh>
    <phoneticPr fontId="1"/>
  </si>
  <si>
    <r>
      <rPr>
        <sz val="11"/>
        <rFont val="游ゴシック Medium"/>
        <family val="3"/>
        <charset val="128"/>
      </rPr>
      <t>はたして空間は曲がっているか</t>
    </r>
    <r>
      <rPr>
        <sz val="8"/>
        <rFont val="Consolas"/>
        <family val="3"/>
      </rPr>
      <t xml:space="preserve"> </t>
    </r>
    <r>
      <rPr>
        <sz val="8"/>
        <rFont val="游ゴシック Medium"/>
        <family val="3"/>
        <charset val="128"/>
      </rPr>
      <t>誰でもわかる一般相対論</t>
    </r>
    <rPh sb="4" eb="6">
      <t>クウカン</t>
    </rPh>
    <rPh sb="7" eb="8">
      <t>マ</t>
    </rPh>
    <rPh sb="15" eb="16">
      <t>ダレ</t>
    </rPh>
    <rPh sb="21" eb="23">
      <t>イッパン</t>
    </rPh>
    <rPh sb="23" eb="26">
      <t>ソウタイロン</t>
    </rPh>
    <phoneticPr fontId="1"/>
  </si>
  <si>
    <r>
      <rPr>
        <sz val="11"/>
        <rFont val="游ゴシック Medium"/>
        <family val="3"/>
        <charset val="128"/>
      </rPr>
      <t>マックスウェルの悪魔</t>
    </r>
    <r>
      <rPr>
        <sz val="8"/>
        <rFont val="Consolas"/>
        <family val="3"/>
      </rPr>
      <t xml:space="preserve"> </t>
    </r>
    <r>
      <rPr>
        <sz val="8"/>
        <rFont val="游ゴシック Medium"/>
        <family val="3"/>
        <charset val="128"/>
      </rPr>
      <t>確率から物理学へ</t>
    </r>
    <rPh sb="8" eb="10">
      <t>アクマ</t>
    </rPh>
    <rPh sb="11" eb="13">
      <t>カクリツ</t>
    </rPh>
    <rPh sb="15" eb="18">
      <t>ブツリガク</t>
    </rPh>
    <phoneticPr fontId="1"/>
  </si>
  <si>
    <r>
      <rPr>
        <sz val="11"/>
        <rFont val="游ゴシック Medium"/>
        <family val="3"/>
        <charset val="128"/>
      </rPr>
      <t>橋本</t>
    </r>
    <r>
      <rPr>
        <sz val="11"/>
        <rFont val="Consolas"/>
        <family val="3"/>
      </rPr>
      <t xml:space="preserve"> </t>
    </r>
    <r>
      <rPr>
        <sz val="11"/>
        <rFont val="游ゴシック Medium"/>
        <family val="3"/>
        <charset val="128"/>
      </rPr>
      <t>尚</t>
    </r>
    <rPh sb="0" eb="2">
      <t>ハシモト</t>
    </rPh>
    <rPh sb="3" eb="4">
      <t>タカシ</t>
    </rPh>
    <phoneticPr fontId="1"/>
  </si>
  <si>
    <r>
      <rPr>
        <sz val="11"/>
        <rFont val="游ゴシック Medium"/>
        <family val="3"/>
        <charset val="128"/>
      </rPr>
      <t>科学常識の盲点</t>
    </r>
    <r>
      <rPr>
        <sz val="8"/>
        <rFont val="Consolas"/>
        <family val="3"/>
      </rPr>
      <t xml:space="preserve"> </t>
    </r>
    <r>
      <rPr>
        <sz val="8"/>
        <rFont val="游ゴシック Medium"/>
        <family val="3"/>
        <charset val="128"/>
      </rPr>
      <t>暮らしの中の物理より</t>
    </r>
    <rPh sb="0" eb="2">
      <t>カガク</t>
    </rPh>
    <rPh sb="2" eb="4">
      <t>ジョウシキ</t>
    </rPh>
    <rPh sb="5" eb="7">
      <t>モウテン</t>
    </rPh>
    <rPh sb="8" eb="9">
      <t>ク</t>
    </rPh>
    <rPh sb="12" eb="13">
      <t>ナカ</t>
    </rPh>
    <rPh sb="14" eb="16">
      <t>ブツリ</t>
    </rPh>
    <phoneticPr fontId="1"/>
  </si>
  <si>
    <r>
      <rPr>
        <sz val="11"/>
        <rFont val="游ゴシック Medium"/>
        <family val="3"/>
        <charset val="128"/>
      </rPr>
      <t>尾関宗園</t>
    </r>
    <rPh sb="0" eb="2">
      <t>オゼキ</t>
    </rPh>
    <rPh sb="2" eb="4">
      <t>ソウエン</t>
    </rPh>
    <phoneticPr fontId="1"/>
  </si>
  <si>
    <r>
      <rPr>
        <sz val="11"/>
        <rFont val="游ゴシック Medium"/>
        <family val="3"/>
        <charset val="128"/>
      </rPr>
      <t>スッキリ禅</t>
    </r>
    <r>
      <rPr>
        <sz val="8"/>
        <rFont val="Consolas"/>
        <family val="3"/>
      </rPr>
      <t xml:space="preserve"> </t>
    </r>
    <r>
      <rPr>
        <sz val="8"/>
        <rFont val="游ゴシック Medium"/>
        <family val="3"/>
        <charset val="128"/>
      </rPr>
      <t>誰でも本領を発揮できる本</t>
    </r>
    <rPh sb="4" eb="5">
      <t>ゼン</t>
    </rPh>
    <rPh sb="6" eb="7">
      <t>ダレ</t>
    </rPh>
    <rPh sb="9" eb="11">
      <t>ホンリョウ</t>
    </rPh>
    <rPh sb="12" eb="14">
      <t>ハッキ</t>
    </rPh>
    <rPh sb="17" eb="18">
      <t>ホン</t>
    </rPh>
    <phoneticPr fontId="1"/>
  </si>
  <si>
    <r>
      <rPr>
        <sz val="11"/>
        <rFont val="游ゴシック Medium"/>
        <family val="3"/>
        <charset val="128"/>
      </rPr>
      <t>阿理研一</t>
    </r>
    <rPh sb="0" eb="2">
      <t>アリ</t>
    </rPh>
    <rPh sb="2" eb="4">
      <t>ケンイチ</t>
    </rPh>
    <phoneticPr fontId="1"/>
  </si>
  <si>
    <r>
      <rPr>
        <sz val="11"/>
        <rFont val="游ゴシック Medium"/>
        <family val="3"/>
        <charset val="128"/>
      </rPr>
      <t>医事評論家</t>
    </r>
    <rPh sb="0" eb="2">
      <t>イジ</t>
    </rPh>
    <rPh sb="2" eb="5">
      <t>ヒョウロンカ</t>
    </rPh>
    <phoneticPr fontId="1"/>
  </si>
  <si>
    <r>
      <rPr>
        <sz val="11"/>
        <rFont val="游ゴシック Medium"/>
        <family val="3"/>
        <charset val="128"/>
      </rPr>
      <t>間違った健康常識</t>
    </r>
    <r>
      <rPr>
        <sz val="11"/>
        <rFont val="Consolas"/>
        <family val="3"/>
      </rPr>
      <t xml:space="preserve"> </t>
    </r>
    <r>
      <rPr>
        <sz val="11"/>
        <rFont val="游ゴシック Medium"/>
        <family val="3"/>
        <charset val="128"/>
      </rPr>
      <t>健康を害さないために必読の</t>
    </r>
    <r>
      <rPr>
        <sz val="11"/>
        <rFont val="Consolas"/>
        <family val="3"/>
      </rPr>
      <t>160</t>
    </r>
    <r>
      <rPr>
        <sz val="11"/>
        <rFont val="游ゴシック Medium"/>
        <family val="3"/>
        <charset val="128"/>
      </rPr>
      <t>項</t>
    </r>
    <rPh sb="0" eb="2">
      <t>マチガ</t>
    </rPh>
    <rPh sb="4" eb="6">
      <t>ケンコウ</t>
    </rPh>
    <rPh sb="6" eb="8">
      <t>ジョウシキ</t>
    </rPh>
    <rPh sb="9" eb="11">
      <t>ケンコウ</t>
    </rPh>
    <rPh sb="12" eb="13">
      <t>ガイ</t>
    </rPh>
    <rPh sb="19" eb="21">
      <t>ヒツドク</t>
    </rPh>
    <rPh sb="25" eb="26">
      <t>コウ</t>
    </rPh>
    <phoneticPr fontId="1"/>
  </si>
  <si>
    <r>
      <rPr>
        <sz val="11"/>
        <rFont val="游ゴシック Medium"/>
        <family val="3"/>
        <charset val="128"/>
      </rPr>
      <t>ルック社</t>
    </r>
    <rPh sb="3" eb="4">
      <t>シャ</t>
    </rPh>
    <phoneticPr fontId="1"/>
  </si>
  <si>
    <r>
      <rPr>
        <sz val="11"/>
        <rFont val="游ゴシック Medium"/>
        <family val="3"/>
        <charset val="128"/>
      </rPr>
      <t>秀樹実家</t>
    </r>
    <r>
      <rPr>
        <sz val="11"/>
        <rFont val="Consolas"/>
        <family val="3"/>
      </rPr>
      <t>/</t>
    </r>
    <r>
      <rPr>
        <sz val="11"/>
        <rFont val="游ゴシック Medium"/>
        <family val="3"/>
        <charset val="128"/>
      </rPr>
      <t>隣の竹中さんち</t>
    </r>
    <rPh sb="0" eb="2">
      <t>ヒデキ</t>
    </rPh>
    <rPh sb="2" eb="4">
      <t>ジッカ</t>
    </rPh>
    <rPh sb="5" eb="6">
      <t>トナリ</t>
    </rPh>
    <rPh sb="7" eb="9">
      <t>タケナカ</t>
    </rPh>
    <phoneticPr fontId="1"/>
  </si>
  <si>
    <r>
      <rPr>
        <sz val="11"/>
        <rFont val="游ゴシック Medium"/>
        <family val="3"/>
        <charset val="128"/>
      </rPr>
      <t>大川博徳</t>
    </r>
    <rPh sb="0" eb="2">
      <t>オオカワ</t>
    </rPh>
    <rPh sb="2" eb="4">
      <t>ヒロノリ</t>
    </rPh>
    <phoneticPr fontId="1"/>
  </si>
  <si>
    <r>
      <rPr>
        <sz val="11"/>
        <rFont val="游ゴシック Medium"/>
        <family val="3"/>
        <charset val="128"/>
      </rPr>
      <t>三重大学助教授</t>
    </r>
    <rPh sb="0" eb="2">
      <t>ミエ</t>
    </rPh>
    <rPh sb="2" eb="4">
      <t>ダイガク</t>
    </rPh>
    <rPh sb="4" eb="7">
      <t>ジョキョウジュ</t>
    </rPh>
    <phoneticPr fontId="1"/>
  </si>
  <si>
    <r>
      <rPr>
        <sz val="11"/>
        <rFont val="游ゴシック Medium"/>
        <family val="3"/>
        <charset val="128"/>
      </rPr>
      <t>生活の恐怖</t>
    </r>
    <r>
      <rPr>
        <sz val="8"/>
        <rFont val="Consolas"/>
        <family val="3"/>
      </rPr>
      <t xml:space="preserve"> </t>
    </r>
    <r>
      <rPr>
        <sz val="8"/>
        <rFont val="游ゴシック Medium"/>
        <family val="3"/>
        <charset val="128"/>
      </rPr>
      <t>お母さん</t>
    </r>
    <r>
      <rPr>
        <sz val="8"/>
        <rFont val="Consolas"/>
        <family val="3"/>
      </rPr>
      <t xml:space="preserve"> ! </t>
    </r>
    <r>
      <rPr>
        <sz val="8"/>
        <rFont val="游ゴシック Medium"/>
        <family val="3"/>
        <charset val="128"/>
      </rPr>
      <t>台所が危険です</t>
    </r>
    <rPh sb="0" eb="2">
      <t>セイカツ</t>
    </rPh>
    <rPh sb="3" eb="5">
      <t>キョウフ</t>
    </rPh>
    <rPh sb="7" eb="8">
      <t>カア</t>
    </rPh>
    <rPh sb="13" eb="15">
      <t>ダイドコロ</t>
    </rPh>
    <rPh sb="16" eb="18">
      <t>キケン</t>
    </rPh>
    <phoneticPr fontId="1"/>
  </si>
  <si>
    <r>
      <rPr>
        <sz val="11"/>
        <rFont val="游ゴシック Medium"/>
        <family val="3"/>
        <charset val="128"/>
      </rPr>
      <t>兵藤</t>
    </r>
    <r>
      <rPr>
        <sz val="11"/>
        <rFont val="Consolas"/>
        <family val="3"/>
      </rPr>
      <t xml:space="preserve"> </t>
    </r>
    <r>
      <rPr>
        <sz val="11"/>
        <rFont val="游ゴシック Medium"/>
        <family val="3"/>
        <charset val="128"/>
      </rPr>
      <t>哲夫</t>
    </r>
    <r>
      <rPr>
        <sz val="11"/>
        <rFont val="Consolas"/>
        <family val="3"/>
      </rPr>
      <t>/</t>
    </r>
    <r>
      <rPr>
        <sz val="11"/>
        <rFont val="游ゴシック Medium"/>
        <family val="3"/>
        <charset val="128"/>
      </rPr>
      <t>柿川</t>
    </r>
    <r>
      <rPr>
        <sz val="11"/>
        <rFont val="Consolas"/>
        <family val="3"/>
      </rPr>
      <t xml:space="preserve"> </t>
    </r>
    <r>
      <rPr>
        <sz val="11"/>
        <rFont val="游ゴシック Medium"/>
        <family val="3"/>
        <charset val="128"/>
      </rPr>
      <t>鮎子</t>
    </r>
    <rPh sb="0" eb="2">
      <t>ヒョウドウ</t>
    </rPh>
    <rPh sb="3" eb="5">
      <t>テツオ</t>
    </rPh>
    <rPh sb="6" eb="8">
      <t>カキカワ</t>
    </rPh>
    <rPh sb="9" eb="11">
      <t>アユコ</t>
    </rPh>
    <phoneticPr fontId="1"/>
  </si>
  <si>
    <r>
      <rPr>
        <sz val="11"/>
        <rFont val="游ゴシック Medium"/>
        <family val="3"/>
        <charset val="128"/>
      </rPr>
      <t>動物病院</t>
    </r>
    <r>
      <rPr>
        <sz val="11"/>
        <rFont val="Consolas"/>
        <family val="3"/>
      </rPr>
      <t>119</t>
    </r>
    <r>
      <rPr>
        <sz val="11"/>
        <rFont val="游ゴシック Medium"/>
        <family val="3"/>
        <charset val="128"/>
      </rPr>
      <t>番</t>
    </r>
    <rPh sb="0" eb="4">
      <t>ドウブツビョウイン</t>
    </rPh>
    <rPh sb="7" eb="8">
      <t>バン</t>
    </rPh>
    <phoneticPr fontId="1"/>
  </si>
  <si>
    <r>
      <rPr>
        <sz val="11"/>
        <rFont val="游ゴシック Medium"/>
        <family val="3"/>
        <charset val="128"/>
      </rPr>
      <t>文春新書</t>
    </r>
    <r>
      <rPr>
        <sz val="11"/>
        <rFont val="Consolas"/>
        <family val="3"/>
      </rPr>
      <t xml:space="preserve"> 441</t>
    </r>
    <rPh sb="0" eb="2">
      <t>ブンシュン</t>
    </rPh>
    <rPh sb="2" eb="4">
      <t>シンショ</t>
    </rPh>
    <phoneticPr fontId="1"/>
  </si>
  <si>
    <r>
      <rPr>
        <sz val="11"/>
        <rFont val="游ゴシック Medium"/>
        <family val="3"/>
        <charset val="128"/>
      </rPr>
      <t>文春新書</t>
    </r>
    <r>
      <rPr>
        <sz val="11"/>
        <rFont val="Consolas"/>
        <family val="3"/>
      </rPr>
      <t>/</t>
    </r>
    <r>
      <rPr>
        <sz val="11"/>
        <rFont val="游ゴシック Medium"/>
        <family val="3"/>
        <charset val="128"/>
      </rPr>
      <t>文藝春秋</t>
    </r>
    <rPh sb="0" eb="2">
      <t>ブンシュン</t>
    </rPh>
    <rPh sb="2" eb="4">
      <t>シンショ</t>
    </rPh>
    <rPh sb="5" eb="7">
      <t>ブンゲイ</t>
    </rPh>
    <rPh sb="7" eb="9">
      <t>シュンジュウ</t>
    </rPh>
    <phoneticPr fontId="1"/>
  </si>
  <si>
    <r>
      <rPr>
        <sz val="11"/>
        <rFont val="游ゴシック Medium"/>
        <family val="3"/>
        <charset val="128"/>
      </rPr>
      <t>兵藤氏本人から寄贈</t>
    </r>
    <rPh sb="0" eb="3">
      <t>ヒョウドウシ</t>
    </rPh>
    <rPh sb="3" eb="5">
      <t>ホンニン</t>
    </rPh>
    <rPh sb="7" eb="9">
      <t>キゾウ</t>
    </rPh>
    <phoneticPr fontId="1"/>
  </si>
  <si>
    <r>
      <rPr>
        <sz val="11"/>
        <rFont val="游ゴシック Medium"/>
        <family val="3"/>
        <charset val="128"/>
      </rPr>
      <t>後藤寿一</t>
    </r>
    <rPh sb="0" eb="2">
      <t>ゴトウ</t>
    </rPh>
    <rPh sb="2" eb="4">
      <t>ジュイチ</t>
    </rPh>
    <phoneticPr fontId="1"/>
  </si>
  <si>
    <r>
      <rPr>
        <sz val="11"/>
        <rFont val="游ゴシック Medium"/>
        <family val="3"/>
        <charset val="128"/>
      </rPr>
      <t>なんかヘンだぞ</t>
    </r>
    <r>
      <rPr>
        <sz val="11"/>
        <rFont val="Consolas"/>
        <family val="3"/>
      </rPr>
      <t xml:space="preserve">! </t>
    </r>
    <r>
      <rPr>
        <sz val="11"/>
        <rFont val="游ゴシック Medium"/>
        <family val="3"/>
        <charset val="128"/>
      </rPr>
      <t>世界史</t>
    </r>
    <rPh sb="9" eb="12">
      <t>セカイシ</t>
    </rPh>
    <phoneticPr fontId="1"/>
  </si>
  <si>
    <r>
      <rPr>
        <sz val="11"/>
        <rFont val="游ゴシック Medium"/>
        <family val="3"/>
        <charset val="128"/>
      </rPr>
      <t>雄鶏社</t>
    </r>
    <rPh sb="0" eb="2">
      <t>オンドリ</t>
    </rPh>
    <rPh sb="2" eb="3">
      <t>シャ</t>
    </rPh>
    <phoneticPr fontId="1"/>
  </si>
  <si>
    <r>
      <rPr>
        <sz val="11"/>
        <rFont val="游ゴシック Medium"/>
        <family val="3"/>
        <charset val="128"/>
      </rPr>
      <t>安富和男</t>
    </r>
    <rPh sb="0" eb="2">
      <t>ヤストミ</t>
    </rPh>
    <rPh sb="2" eb="4">
      <t>カズオ</t>
    </rPh>
    <phoneticPr fontId="1"/>
  </si>
  <si>
    <r>
      <rPr>
        <sz val="11"/>
        <rFont val="游ゴシック Medium"/>
        <family val="3"/>
        <charset val="128"/>
      </rPr>
      <t>詩の中の昆虫たち</t>
    </r>
    <r>
      <rPr>
        <sz val="11"/>
        <rFont val="Consolas"/>
        <family val="3"/>
      </rPr>
      <t xml:space="preserve"> </t>
    </r>
    <r>
      <rPr>
        <sz val="11"/>
        <rFont val="游ゴシック Medium"/>
        <family val="3"/>
        <charset val="128"/>
      </rPr>
      <t>虫たちのコミュニケーション</t>
    </r>
    <rPh sb="0" eb="1">
      <t>ウタ</t>
    </rPh>
    <rPh sb="2" eb="3">
      <t>ナカ</t>
    </rPh>
    <rPh sb="4" eb="6">
      <t>コンチュウ</t>
    </rPh>
    <rPh sb="9" eb="10">
      <t>ムシ</t>
    </rPh>
    <phoneticPr fontId="1"/>
  </si>
  <si>
    <r>
      <rPr>
        <sz val="11"/>
        <rFont val="游ゴシック Medium"/>
        <family val="3"/>
        <charset val="128"/>
      </rPr>
      <t>三一書房</t>
    </r>
    <rPh sb="0" eb="2">
      <t>サンイチ</t>
    </rPh>
    <rPh sb="2" eb="4">
      <t>ショボウ</t>
    </rPh>
    <phoneticPr fontId="1"/>
  </si>
  <si>
    <r>
      <rPr>
        <sz val="11"/>
        <rFont val="游ゴシック Medium"/>
        <family val="3"/>
        <charset val="128"/>
      </rPr>
      <t>鄭</t>
    </r>
    <r>
      <rPr>
        <sz val="11"/>
        <rFont val="Consolas"/>
        <family val="3"/>
      </rPr>
      <t xml:space="preserve"> </t>
    </r>
    <r>
      <rPr>
        <sz val="11"/>
        <rFont val="游ゴシック Medium"/>
        <family val="3"/>
        <charset val="128"/>
      </rPr>
      <t>仁和</t>
    </r>
    <rPh sb="0" eb="1">
      <t>テイ</t>
    </rPh>
    <rPh sb="2" eb="4">
      <t>ジンワ</t>
    </rPh>
    <phoneticPr fontId="1"/>
  </si>
  <si>
    <r>
      <rPr>
        <sz val="11"/>
        <rFont val="游ゴシック Medium"/>
        <family val="3"/>
        <charset val="128"/>
      </rPr>
      <t>訳・編</t>
    </r>
    <rPh sb="0" eb="1">
      <t>ヤク</t>
    </rPh>
    <rPh sb="2" eb="3">
      <t>ヘン</t>
    </rPh>
    <phoneticPr fontId="1"/>
  </si>
  <si>
    <r>
      <rPr>
        <sz val="11"/>
        <rFont val="游ゴシック Medium"/>
        <family val="3"/>
        <charset val="128"/>
      </rPr>
      <t>アメリカ陸軍</t>
    </r>
    <r>
      <rPr>
        <sz val="11"/>
        <rFont val="Consolas"/>
        <family val="3"/>
      </rPr>
      <t xml:space="preserve"> </t>
    </r>
    <r>
      <rPr>
        <sz val="11"/>
        <rFont val="游ゴシック Medium"/>
        <family val="3"/>
        <charset val="128"/>
      </rPr>
      <t>サバイバル</t>
    </r>
    <r>
      <rPr>
        <sz val="11"/>
        <rFont val="Consolas"/>
        <family val="3"/>
      </rPr>
      <t xml:space="preserve"> </t>
    </r>
    <r>
      <rPr>
        <sz val="11"/>
        <rFont val="游ゴシック Medium"/>
        <family val="3"/>
        <charset val="128"/>
      </rPr>
      <t>マニュアル</t>
    </r>
    <r>
      <rPr>
        <sz val="11"/>
        <rFont val="Consolas"/>
        <family val="3"/>
      </rPr>
      <t>/U.S.ARMY SURVIVAL MANUAL</t>
    </r>
    <rPh sb="4" eb="6">
      <t>リクグン</t>
    </rPh>
    <phoneticPr fontId="1"/>
  </si>
  <si>
    <r>
      <rPr>
        <sz val="11"/>
        <rFont val="游ゴシック Medium"/>
        <family val="3"/>
        <charset val="128"/>
      </rPr>
      <t>アメリカ陸軍</t>
    </r>
    <r>
      <rPr>
        <sz val="11"/>
        <rFont val="Consolas"/>
        <family val="3"/>
      </rPr>
      <t xml:space="preserve"> </t>
    </r>
    <r>
      <rPr>
        <sz val="11"/>
        <rFont val="游ゴシック Medium"/>
        <family val="3"/>
        <charset val="128"/>
      </rPr>
      <t>サバイバル</t>
    </r>
    <r>
      <rPr>
        <sz val="11"/>
        <rFont val="Consolas"/>
        <family val="3"/>
      </rPr>
      <t xml:space="preserve"> </t>
    </r>
    <r>
      <rPr>
        <sz val="11"/>
        <rFont val="游ゴシック Medium"/>
        <family val="3"/>
        <charset val="128"/>
      </rPr>
      <t>マニュアル</t>
    </r>
    <r>
      <rPr>
        <sz val="11"/>
        <rFont val="Consolas"/>
        <family val="3"/>
      </rPr>
      <t xml:space="preserve"> </t>
    </r>
    <r>
      <rPr>
        <sz val="11"/>
        <rFont val="游ゴシック Medium"/>
        <family val="3"/>
        <charset val="128"/>
      </rPr>
      <t>応用編</t>
    </r>
    <r>
      <rPr>
        <sz val="11"/>
        <rFont val="Consolas"/>
        <family val="3"/>
      </rPr>
      <t xml:space="preserve"> </t>
    </r>
    <r>
      <rPr>
        <sz val="11"/>
        <rFont val="游ゴシック Medium"/>
        <family val="3"/>
        <charset val="128"/>
      </rPr>
      <t>サバイバル・テキスト</t>
    </r>
    <r>
      <rPr>
        <sz val="11"/>
        <rFont val="Consolas"/>
        <family val="3"/>
      </rPr>
      <t>/U.S.ARMY SURVIVAL MANUAL 2 SURVIVAL TEXT</t>
    </r>
    <rPh sb="4" eb="6">
      <t>リクグン</t>
    </rPh>
    <rPh sb="19" eb="21">
      <t>オウヨウ</t>
    </rPh>
    <rPh sb="21" eb="22">
      <t>ヘン</t>
    </rPh>
    <phoneticPr fontId="1"/>
  </si>
  <si>
    <r>
      <rPr>
        <sz val="11"/>
        <rFont val="游ゴシック Medium"/>
        <family val="3"/>
        <charset val="128"/>
      </rPr>
      <t>ガルディアン</t>
    </r>
    <r>
      <rPr>
        <sz val="11"/>
        <rFont val="Consolas"/>
        <family val="3"/>
      </rPr>
      <t>,</t>
    </r>
    <r>
      <rPr>
        <sz val="11"/>
        <rFont val="游ゴシック Medium"/>
        <family val="3"/>
        <charset val="128"/>
      </rPr>
      <t>ジャック</t>
    </r>
    <phoneticPr fontId="1"/>
  </si>
  <si>
    <r>
      <rPr>
        <sz val="11"/>
        <rFont val="游ゴシック Medium"/>
        <family val="3"/>
        <charset val="128"/>
      </rPr>
      <t>横山正矢</t>
    </r>
    <rPh sb="0" eb="2">
      <t>ヨコヤマ</t>
    </rPh>
    <rPh sb="2" eb="4">
      <t>マサヤ</t>
    </rPh>
    <phoneticPr fontId="1"/>
  </si>
  <si>
    <r>
      <rPr>
        <sz val="11"/>
        <rFont val="游ゴシック Medium"/>
        <family val="3"/>
        <charset val="128"/>
      </rPr>
      <t>フランスの民謡</t>
    </r>
    <r>
      <rPr>
        <sz val="11"/>
        <rFont val="Consolas"/>
        <family val="3"/>
      </rPr>
      <t>/La Chanson Populaire Francaise</t>
    </r>
    <rPh sb="5" eb="7">
      <t>ミンヨウ</t>
    </rPh>
    <phoneticPr fontId="1"/>
  </si>
  <si>
    <r>
      <rPr>
        <sz val="11"/>
        <rFont val="游ゴシック Medium"/>
        <family val="3"/>
        <charset val="128"/>
      </rPr>
      <t>国際出版社</t>
    </r>
    <rPh sb="0" eb="2">
      <t>コクサイ</t>
    </rPh>
    <rPh sb="2" eb="5">
      <t>シュッパンシャ</t>
    </rPh>
    <phoneticPr fontId="1"/>
  </si>
  <si>
    <r>
      <rPr>
        <sz val="11"/>
        <rFont val="游ゴシック Medium"/>
        <family val="3"/>
        <charset val="128"/>
      </rPr>
      <t>木村正明</t>
    </r>
    <r>
      <rPr>
        <sz val="11"/>
        <rFont val="Consolas"/>
        <family val="3"/>
      </rPr>
      <t/>
    </r>
    <rPh sb="0" eb="2">
      <t>キムラ</t>
    </rPh>
    <rPh sb="2" eb="4">
      <t>マサアキ</t>
    </rPh>
    <phoneticPr fontId="1"/>
  </si>
  <si>
    <r>
      <t>Madagascar/Collection Que Sais-Je? N</t>
    </r>
    <r>
      <rPr>
        <sz val="11"/>
        <rFont val="游ゴシック Medium"/>
        <family val="3"/>
        <charset val="128"/>
      </rPr>
      <t>ﾟ</t>
    </r>
    <r>
      <rPr>
        <sz val="11"/>
        <rFont val="Consolas"/>
        <family val="3"/>
      </rPr>
      <t>529</t>
    </r>
    <rPh sb="0" eb="10">
      <t>マダガスカル</t>
    </rPh>
    <rPh sb="11" eb="21">
      <t>コレクション</t>
    </rPh>
    <rPh sb="22" eb="34">
      <t>クセジュ</t>
    </rPh>
    <phoneticPr fontId="1"/>
  </si>
  <si>
    <r>
      <rPr>
        <sz val="11"/>
        <rFont val="游ゴシック Medium"/>
        <family val="3"/>
        <charset val="128"/>
      </rPr>
      <t>文庫</t>
    </r>
    <r>
      <rPr>
        <sz val="11"/>
        <rFont val="Consolas"/>
        <family val="3"/>
      </rPr>
      <t>Que sais-je? 696/1986</t>
    </r>
    <rPh sb="0" eb="2">
      <t>ブンコ</t>
    </rPh>
    <rPh sb="2" eb="14">
      <t>クセジュ</t>
    </rPh>
    <phoneticPr fontId="1"/>
  </si>
  <si>
    <r>
      <rPr>
        <sz val="11"/>
        <rFont val="游ゴシック Medium"/>
        <family val="3"/>
        <charset val="128"/>
      </rPr>
      <t>新美南吉</t>
    </r>
    <rPh sb="0" eb="2">
      <t>ニイミ</t>
    </rPh>
    <rPh sb="2" eb="4">
      <t>ナンキチ</t>
    </rPh>
    <phoneticPr fontId="1"/>
  </si>
  <si>
    <r>
      <rPr>
        <sz val="11"/>
        <rFont val="游ゴシック Medium"/>
        <family val="3"/>
        <charset val="128"/>
      </rPr>
      <t>ごんぎつね</t>
    </r>
    <r>
      <rPr>
        <sz val="11"/>
        <rFont val="Consolas"/>
        <family val="3"/>
      </rPr>
      <t>|Gon, the Fox</t>
    </r>
    <phoneticPr fontId="1"/>
  </si>
  <si>
    <r>
      <t>IBC</t>
    </r>
    <r>
      <rPr>
        <sz val="11"/>
        <rFont val="游ゴシック Medium"/>
        <family val="3"/>
        <charset val="128"/>
      </rPr>
      <t>パブリッシング</t>
    </r>
    <phoneticPr fontId="1"/>
  </si>
  <si>
    <r>
      <rPr>
        <sz val="11"/>
        <rFont val="游ゴシック Medium"/>
        <family val="3"/>
        <charset val="128"/>
      </rPr>
      <t>乙一</t>
    </r>
    <rPh sb="0" eb="1">
      <t>オツ</t>
    </rPh>
    <rPh sb="1" eb="2">
      <t>イチ</t>
    </rPh>
    <phoneticPr fontId="1"/>
  </si>
  <si>
    <r>
      <rPr>
        <sz val="11"/>
        <rFont val="游ゴシック Medium"/>
        <family val="3"/>
        <charset val="128"/>
      </rPr>
      <t>石ノ目</t>
    </r>
    <rPh sb="0" eb="1">
      <t>イシ</t>
    </rPh>
    <rPh sb="2" eb="3">
      <t>メ</t>
    </rPh>
    <phoneticPr fontId="1"/>
  </si>
  <si>
    <r>
      <rPr>
        <sz val="11"/>
        <rFont val="游ゴシック Medium"/>
        <family val="3"/>
        <charset val="128"/>
      </rPr>
      <t>恐怖の黄金時代</t>
    </r>
    <rPh sb="0" eb="2">
      <t>キョウフ</t>
    </rPh>
    <rPh sb="3" eb="5">
      <t>オウゴン</t>
    </rPh>
    <rPh sb="5" eb="7">
      <t>ジダイ</t>
    </rPh>
    <phoneticPr fontId="1"/>
  </si>
  <si>
    <r>
      <rPr>
        <sz val="11"/>
        <rFont val="游ゴシック Medium"/>
        <family val="3"/>
        <charset val="128"/>
      </rPr>
      <t>集英社新書</t>
    </r>
    <rPh sb="0" eb="3">
      <t>シュウエイシャ</t>
    </rPh>
    <rPh sb="3" eb="5">
      <t>シンショ</t>
    </rPh>
    <phoneticPr fontId="1"/>
  </si>
  <si>
    <r>
      <rPr>
        <strike/>
        <sz val="11"/>
        <rFont val="游ゴシック Medium"/>
        <family val="3"/>
        <charset val="128"/>
      </rPr>
      <t>散文</t>
    </r>
    <rPh sb="0" eb="2">
      <t>サンブン</t>
    </rPh>
    <phoneticPr fontId="1"/>
  </si>
  <si>
    <r>
      <rPr>
        <strike/>
        <sz val="11"/>
        <rFont val="游ゴシック Medium"/>
        <family val="3"/>
        <charset val="128"/>
      </rPr>
      <t>殊能将之</t>
    </r>
    <rPh sb="0" eb="2">
      <t>シュノウ</t>
    </rPh>
    <rPh sb="2" eb="4">
      <t>マサユキ</t>
    </rPh>
    <phoneticPr fontId="1"/>
  </si>
  <si>
    <r>
      <rPr>
        <strike/>
        <sz val="11"/>
        <rFont val="游ゴシック Medium"/>
        <family val="3"/>
        <charset val="128"/>
      </rPr>
      <t>黒い仏</t>
    </r>
    <r>
      <rPr>
        <strike/>
        <sz val="11"/>
        <rFont val="Consolas"/>
        <family val="3"/>
      </rPr>
      <t>/Black Buddha</t>
    </r>
    <rPh sb="0" eb="1">
      <t>クロ</t>
    </rPh>
    <rPh sb="2" eb="3">
      <t>ホトケ</t>
    </rPh>
    <rPh sb="4" eb="9">
      <t>ブラック</t>
    </rPh>
    <rPh sb="10" eb="16">
      <t>ブッダ</t>
    </rPh>
    <phoneticPr fontId="1"/>
  </si>
  <si>
    <r>
      <rPr>
        <strike/>
        <sz val="11"/>
        <rFont val="游ゴシック Medium"/>
        <family val="3"/>
        <charset val="128"/>
      </rPr>
      <t>講談社</t>
    </r>
    <r>
      <rPr>
        <strike/>
        <sz val="11"/>
        <rFont val="Consolas"/>
        <family val="3"/>
      </rPr>
      <t>Novels/</t>
    </r>
    <r>
      <rPr>
        <strike/>
        <sz val="11"/>
        <rFont val="游ゴシック Medium"/>
        <family val="3"/>
        <charset val="128"/>
      </rPr>
      <t>講談社</t>
    </r>
    <rPh sb="0" eb="3">
      <t>コウダンシャ</t>
    </rPh>
    <rPh sb="3" eb="9">
      <t>ノベルス</t>
    </rPh>
    <rPh sb="10" eb="13">
      <t>コウダンシャ</t>
    </rPh>
    <phoneticPr fontId="1"/>
  </si>
  <si>
    <r>
      <rPr>
        <b/>
        <sz val="11"/>
        <color indexed="33"/>
        <rFont val="游ゴシック Medium"/>
        <family val="3"/>
        <charset val="128"/>
      </rPr>
      <t>ヴィリエ・ド・リラダン</t>
    </r>
    <r>
      <rPr>
        <b/>
        <sz val="11"/>
        <color indexed="33"/>
        <rFont val="Consolas"/>
        <family val="3"/>
      </rPr>
      <t>/</t>
    </r>
    <r>
      <rPr>
        <b/>
        <sz val="11"/>
        <color indexed="33"/>
        <rFont val="游ゴシック Medium"/>
        <family val="3"/>
        <charset val="128"/>
      </rPr>
      <t>他</t>
    </r>
    <rPh sb="12" eb="13">
      <t>ホカ</t>
    </rPh>
    <phoneticPr fontId="1"/>
  </si>
  <si>
    <r>
      <t>France</t>
    </r>
    <r>
      <rPr>
        <b/>
        <sz val="11"/>
        <color indexed="33"/>
        <rFont val="游ゴシック Medium"/>
        <family val="3"/>
        <charset val="128"/>
      </rPr>
      <t>幻想小説傑作集</t>
    </r>
    <r>
      <rPr>
        <b/>
        <sz val="11"/>
        <color indexed="33"/>
        <rFont val="Consolas"/>
        <family val="3"/>
      </rPr>
      <t>/</t>
    </r>
    <r>
      <rPr>
        <b/>
        <sz val="11"/>
        <color indexed="33"/>
        <rFont val="游ゴシック Medium"/>
        <family val="3"/>
        <charset val="128"/>
      </rPr>
      <t>ヴェラ</t>
    </r>
    <r>
      <rPr>
        <b/>
        <sz val="11"/>
        <color indexed="33"/>
        <rFont val="Consolas"/>
        <family val="3"/>
      </rPr>
      <t>/</t>
    </r>
    <r>
      <rPr>
        <b/>
        <sz val="11"/>
        <color indexed="33"/>
        <rFont val="游ゴシック Medium"/>
        <family val="3"/>
        <charset val="128"/>
      </rPr>
      <t>他</t>
    </r>
    <rPh sb="0" eb="6">
      <t>フランス</t>
    </rPh>
    <rPh sb="6" eb="8">
      <t>ゲンソウ</t>
    </rPh>
    <rPh sb="8" eb="10">
      <t>ショウセツ</t>
    </rPh>
    <rPh sb="10" eb="13">
      <t>ケッサクシュウ</t>
    </rPh>
    <rPh sb="18" eb="19">
      <t>ホカ</t>
    </rPh>
    <phoneticPr fontId="1"/>
  </si>
  <si>
    <r>
      <rPr>
        <sz val="11"/>
        <rFont val="游ゴシック Medium"/>
        <family val="3"/>
        <charset val="128"/>
      </rPr>
      <t>白水</t>
    </r>
    <r>
      <rPr>
        <sz val="11"/>
        <rFont val="Consolas"/>
        <family val="3"/>
      </rPr>
      <t>u Books</t>
    </r>
    <rPh sb="0" eb="2">
      <t>ハクスイ</t>
    </rPh>
    <rPh sb="4" eb="9">
      <t>ブックス</t>
    </rPh>
    <phoneticPr fontId="1"/>
  </si>
  <si>
    <r>
      <rPr>
        <b/>
        <sz val="11"/>
        <color indexed="33"/>
        <rFont val="游ゴシック Medium"/>
        <family val="3"/>
        <charset val="128"/>
      </rPr>
      <t>澁澤龍彦</t>
    </r>
    <rPh sb="0" eb="4">
      <t>シブサワタツヒコ</t>
    </rPh>
    <phoneticPr fontId="1"/>
  </si>
  <si>
    <r>
      <rPr>
        <b/>
        <sz val="11"/>
        <color indexed="33"/>
        <rFont val="游ゴシック Medium"/>
        <family val="3"/>
        <charset val="128"/>
      </rPr>
      <t>城の中のイギリス人</t>
    </r>
    <r>
      <rPr>
        <b/>
        <sz val="11"/>
        <color indexed="33"/>
        <rFont val="Consolas"/>
        <family val="3"/>
      </rPr>
      <t>/L'Anglais Decrit dans le Chateau Ferme</t>
    </r>
    <rPh sb="0" eb="1">
      <t>シロ</t>
    </rPh>
    <rPh sb="2" eb="3">
      <t>ナカ</t>
    </rPh>
    <rPh sb="8" eb="9">
      <t>ジン</t>
    </rPh>
    <phoneticPr fontId="1"/>
  </si>
  <si>
    <r>
      <rPr>
        <sz val="11"/>
        <rFont val="游ゴシック Medium"/>
        <family val="3"/>
        <charset val="128"/>
      </rPr>
      <t>黒い美術館</t>
    </r>
    <r>
      <rPr>
        <sz val="11"/>
        <rFont val="Consolas"/>
        <family val="3"/>
      </rPr>
      <t>/Le Musee Noir</t>
    </r>
    <rPh sb="0" eb="1">
      <t>クロ</t>
    </rPh>
    <rPh sb="2" eb="5">
      <t>ビジュツカン</t>
    </rPh>
    <phoneticPr fontId="1"/>
  </si>
  <si>
    <r>
      <rPr>
        <sz val="11"/>
        <rFont val="游ゴシック Medium"/>
        <family val="3"/>
        <charset val="128"/>
      </rPr>
      <t>狼の太陽</t>
    </r>
    <r>
      <rPr>
        <sz val="11"/>
        <rFont val="Consolas"/>
        <family val="3"/>
      </rPr>
      <t>/Soleil des Loups</t>
    </r>
    <rPh sb="0" eb="1">
      <t>オオカミ</t>
    </rPh>
    <rPh sb="2" eb="4">
      <t>タイヨウ</t>
    </rPh>
    <phoneticPr fontId="1"/>
  </si>
  <si>
    <r>
      <rPr>
        <sz val="11"/>
        <rFont val="游ゴシック Medium"/>
        <family val="3"/>
        <charset val="128"/>
      </rPr>
      <t>オートバイ</t>
    </r>
    <r>
      <rPr>
        <sz val="11"/>
        <rFont val="Consolas"/>
        <family val="3"/>
      </rPr>
      <t>/La Motocyclette</t>
    </r>
    <phoneticPr fontId="1"/>
  </si>
  <si>
    <r>
      <rPr>
        <sz val="11"/>
        <rFont val="游ゴシック Medium"/>
        <family val="3"/>
        <charset val="128"/>
      </rPr>
      <t>大橋吉之助</t>
    </r>
    <rPh sb="0" eb="2">
      <t>オオハシ</t>
    </rPh>
    <rPh sb="2" eb="5">
      <t>キチノスケ</t>
    </rPh>
    <phoneticPr fontId="1"/>
  </si>
  <si>
    <r>
      <rPr>
        <sz val="11"/>
        <rFont val="游ゴシック Medium"/>
        <family val="3"/>
        <charset val="128"/>
      </rPr>
      <t>志村正雄</t>
    </r>
    <r>
      <rPr>
        <sz val="11"/>
        <rFont val="Consolas"/>
        <family val="3"/>
      </rPr>
      <t>/</t>
    </r>
    <r>
      <rPr>
        <sz val="11"/>
        <rFont val="游ゴシック Medium"/>
        <family val="3"/>
        <charset val="128"/>
      </rPr>
      <t>河野一郎</t>
    </r>
    <rPh sb="0" eb="2">
      <t>シムラ</t>
    </rPh>
    <rPh sb="2" eb="4">
      <t>マサオ</t>
    </rPh>
    <rPh sb="5" eb="7">
      <t>コウノ</t>
    </rPh>
    <rPh sb="7" eb="9">
      <t>イチロウ</t>
    </rPh>
    <phoneticPr fontId="1"/>
  </si>
  <si>
    <r>
      <rPr>
        <sz val="11"/>
        <rFont val="游ゴシック Medium"/>
        <family val="3"/>
        <charset val="128"/>
      </rPr>
      <t>呪い</t>
    </r>
    <r>
      <rPr>
        <sz val="11"/>
        <rFont val="Consolas"/>
        <family val="3"/>
      </rPr>
      <t>/One Arm</t>
    </r>
    <rPh sb="0" eb="1">
      <t>ノロ</t>
    </rPh>
    <phoneticPr fontId="1"/>
  </si>
  <si>
    <r>
      <rPr>
        <sz val="11"/>
        <rFont val="游ゴシック Medium"/>
        <family val="3"/>
        <charset val="128"/>
      </rPr>
      <t>田村隆一</t>
    </r>
    <r>
      <rPr>
        <sz val="11"/>
        <rFont val="Consolas"/>
        <family val="3"/>
      </rPr>
      <t>/Schindelman,Joseph</t>
    </r>
    <rPh sb="0" eb="2">
      <t>タムラ</t>
    </rPh>
    <rPh sb="2" eb="4">
      <t>リュウイチ</t>
    </rPh>
    <rPh sb="5" eb="16">
      <t>シンデルマン</t>
    </rPh>
    <rPh sb="17" eb="23">
      <t>ジョセフ</t>
    </rPh>
    <phoneticPr fontId="1"/>
  </si>
  <si>
    <r>
      <rPr>
        <sz val="11"/>
        <rFont val="游ゴシック Medium"/>
        <family val="3"/>
        <charset val="128"/>
      </rPr>
      <t>チョコレート工場の秘密</t>
    </r>
    <r>
      <rPr>
        <sz val="11"/>
        <rFont val="Consolas"/>
        <family val="3"/>
      </rPr>
      <t>/Charlie and the Chocolate Factory</t>
    </r>
    <rPh sb="6" eb="8">
      <t>コウジョウ</t>
    </rPh>
    <rPh sb="9" eb="11">
      <t>ヒミツ</t>
    </rPh>
    <phoneticPr fontId="1"/>
  </si>
  <si>
    <r>
      <rPr>
        <sz val="11"/>
        <rFont val="游ゴシック Medium"/>
        <family val="3"/>
        <charset val="128"/>
      </rPr>
      <t>てのり文庫</t>
    </r>
    <r>
      <rPr>
        <sz val="11"/>
        <rFont val="Consolas"/>
        <family val="3"/>
      </rPr>
      <t xml:space="preserve"> 058</t>
    </r>
    <rPh sb="3" eb="5">
      <t>ブンコ</t>
    </rPh>
    <phoneticPr fontId="1"/>
  </si>
  <si>
    <r>
      <rPr>
        <sz val="11"/>
        <rFont val="游ゴシック Medium"/>
        <family val="3"/>
        <charset val="128"/>
      </rPr>
      <t>評論社</t>
    </r>
    <rPh sb="0" eb="2">
      <t>ヒョウロン</t>
    </rPh>
    <rPh sb="2" eb="3">
      <t>シャ</t>
    </rPh>
    <phoneticPr fontId="1"/>
  </si>
  <si>
    <r>
      <rPr>
        <sz val="11"/>
        <rFont val="游ゴシック Medium"/>
        <family val="3"/>
        <charset val="128"/>
      </rPr>
      <t>内藤</t>
    </r>
    <r>
      <rPr>
        <sz val="11"/>
        <rFont val="Consolas"/>
        <family val="3"/>
      </rPr>
      <t xml:space="preserve"> </t>
    </r>
    <r>
      <rPr>
        <sz val="11"/>
        <rFont val="游ゴシック Medium"/>
        <family val="3"/>
        <charset val="128"/>
      </rPr>
      <t>濯</t>
    </r>
    <rPh sb="0" eb="2">
      <t>ナイトウ</t>
    </rPh>
    <rPh sb="3" eb="4">
      <t>アロウ</t>
    </rPh>
    <phoneticPr fontId="1"/>
  </si>
  <si>
    <r>
      <rPr>
        <sz val="11"/>
        <rFont val="游ゴシック Medium"/>
        <family val="3"/>
        <charset val="128"/>
      </rPr>
      <t>星の王子さま</t>
    </r>
    <r>
      <rPr>
        <sz val="11"/>
        <rFont val="Consolas"/>
        <family val="3"/>
      </rPr>
      <t>/Le Petit Prince</t>
    </r>
    <rPh sb="0" eb="1">
      <t>ホシ</t>
    </rPh>
    <rPh sb="2" eb="4">
      <t>オウジ</t>
    </rPh>
    <phoneticPr fontId="1"/>
  </si>
  <si>
    <r>
      <rPr>
        <sz val="11"/>
        <rFont val="游ゴシック Medium"/>
        <family val="3"/>
        <charset val="128"/>
      </rPr>
      <t>岩波少年文庫</t>
    </r>
    <r>
      <rPr>
        <sz val="11"/>
        <rFont val="Consolas"/>
        <family val="3"/>
      </rPr>
      <t>2010</t>
    </r>
    <rPh sb="0" eb="2">
      <t>イワナミ</t>
    </rPh>
    <rPh sb="2" eb="4">
      <t>ショウネン</t>
    </rPh>
    <rPh sb="4" eb="6">
      <t>ブンコ</t>
    </rPh>
    <phoneticPr fontId="1"/>
  </si>
  <si>
    <r>
      <rPr>
        <sz val="11"/>
        <rFont val="游ゴシック Medium"/>
        <family val="3"/>
        <charset val="128"/>
      </rPr>
      <t>岡本圭次郎</t>
    </r>
    <rPh sb="0" eb="2">
      <t>オカモト</t>
    </rPh>
    <rPh sb="2" eb="5">
      <t>ケイジロウ</t>
    </rPh>
    <phoneticPr fontId="1"/>
  </si>
  <si>
    <r>
      <rPr>
        <sz val="11"/>
        <rFont val="游ゴシック Medium"/>
        <family val="3"/>
        <charset val="128"/>
      </rPr>
      <t>註解</t>
    </r>
    <rPh sb="0" eb="2">
      <t>チュウカイ</t>
    </rPh>
    <phoneticPr fontId="1"/>
  </si>
  <si>
    <r>
      <t>Poe</t>
    </r>
    <r>
      <rPr>
        <sz val="11"/>
        <rFont val="游ゴシック Medium"/>
        <family val="3"/>
        <charset val="128"/>
      </rPr>
      <t>短篇集</t>
    </r>
    <r>
      <rPr>
        <sz val="11"/>
        <rFont val="Consolas"/>
        <family val="3"/>
      </rPr>
      <t>/E.A.Poe's Short Stories</t>
    </r>
    <rPh sb="0" eb="3">
      <t>ポー</t>
    </rPh>
    <rPh sb="3" eb="6">
      <t>タンペンシュウ</t>
    </rPh>
    <rPh sb="11" eb="14">
      <t>ポー</t>
    </rPh>
    <rPh sb="17" eb="22">
      <t>ショート</t>
    </rPh>
    <rPh sb="23" eb="30">
      <t>ストーリーズ</t>
    </rPh>
    <phoneticPr fontId="1"/>
  </si>
  <si>
    <r>
      <rPr>
        <sz val="11"/>
        <rFont val="游ゴシック Medium"/>
        <family val="3"/>
        <charset val="128"/>
      </rPr>
      <t>直読直解アトム英文双書</t>
    </r>
    <r>
      <rPr>
        <sz val="11"/>
        <rFont val="Consolas"/>
        <family val="3"/>
      </rPr>
      <t>/17/</t>
    </r>
    <r>
      <rPr>
        <sz val="11"/>
        <rFont val="游ゴシック Medium"/>
        <family val="3"/>
        <charset val="128"/>
      </rPr>
      <t>高校向</t>
    </r>
    <r>
      <rPr>
        <sz val="11"/>
        <rFont val="Consolas"/>
        <family val="3"/>
      </rPr>
      <t>/Atom Books by Ready Vocabulary Method</t>
    </r>
    <rPh sb="0" eb="2">
      <t>チョクドク</t>
    </rPh>
    <rPh sb="2" eb="3">
      <t>チョク</t>
    </rPh>
    <rPh sb="3" eb="4">
      <t>カイ</t>
    </rPh>
    <rPh sb="7" eb="9">
      <t>エイブン</t>
    </rPh>
    <rPh sb="9" eb="11">
      <t>ソウショ</t>
    </rPh>
    <rPh sb="15" eb="17">
      <t>コウコウ</t>
    </rPh>
    <rPh sb="17" eb="18">
      <t>ムケ</t>
    </rPh>
    <rPh sb="19" eb="23">
      <t>アトム</t>
    </rPh>
    <rPh sb="24" eb="29">
      <t>ブックス</t>
    </rPh>
    <rPh sb="30" eb="32">
      <t>バイ</t>
    </rPh>
    <rPh sb="33" eb="38">
      <t>レディ　</t>
    </rPh>
    <rPh sb="39" eb="49">
      <t>ヴォキャブラリ</t>
    </rPh>
    <rPh sb="50" eb="56">
      <t>メソッド</t>
    </rPh>
    <phoneticPr fontId="1"/>
  </si>
  <si>
    <r>
      <rPr>
        <sz val="11"/>
        <rFont val="游ゴシック Medium"/>
        <family val="3"/>
        <charset val="128"/>
      </rPr>
      <t>学生社</t>
    </r>
    <rPh sb="0" eb="2">
      <t>ガクセイ</t>
    </rPh>
    <rPh sb="2" eb="3">
      <t>シャ</t>
    </rPh>
    <phoneticPr fontId="1"/>
  </si>
  <si>
    <r>
      <rPr>
        <sz val="11"/>
        <rFont val="游ゴシック Medium"/>
        <family val="3"/>
        <charset val="128"/>
      </rPr>
      <t>洋書</t>
    </r>
    <rPh sb="0" eb="2">
      <t>ヨウショ</t>
    </rPh>
    <phoneticPr fontId="1"/>
  </si>
  <si>
    <r>
      <rPr>
        <sz val="11"/>
        <rFont val="游ゴシック Medium"/>
        <family val="3"/>
        <charset val="128"/>
      </rPr>
      <t>直読直解アトム英文双書</t>
    </r>
    <r>
      <rPr>
        <sz val="11"/>
        <rFont val="Consolas"/>
        <family val="3"/>
      </rPr>
      <t>/13/</t>
    </r>
    <r>
      <rPr>
        <sz val="11"/>
        <rFont val="游ゴシック Medium"/>
        <family val="3"/>
        <charset val="128"/>
      </rPr>
      <t>高校向</t>
    </r>
    <r>
      <rPr>
        <sz val="11"/>
        <rFont val="Consolas"/>
        <family val="3"/>
      </rPr>
      <t>/Atom Books by Ready Vocabulary Method</t>
    </r>
    <rPh sb="0" eb="2">
      <t>チョクドク</t>
    </rPh>
    <rPh sb="2" eb="3">
      <t>チョク</t>
    </rPh>
    <rPh sb="3" eb="4">
      <t>カイ</t>
    </rPh>
    <rPh sb="7" eb="9">
      <t>エイブン</t>
    </rPh>
    <rPh sb="9" eb="11">
      <t>ソウショ</t>
    </rPh>
    <rPh sb="15" eb="17">
      <t>コウコウ</t>
    </rPh>
    <rPh sb="17" eb="18">
      <t>ムケ</t>
    </rPh>
    <rPh sb="19" eb="23">
      <t>アトム</t>
    </rPh>
    <rPh sb="24" eb="29">
      <t>ブックス</t>
    </rPh>
    <rPh sb="30" eb="32">
      <t>バイ</t>
    </rPh>
    <rPh sb="33" eb="38">
      <t>レディ　</t>
    </rPh>
    <rPh sb="39" eb="49">
      <t>ヴォキャブラリ</t>
    </rPh>
    <rPh sb="50" eb="56">
      <t>メソッド</t>
    </rPh>
    <phoneticPr fontId="1"/>
  </si>
  <si>
    <r>
      <t>Grimm</t>
    </r>
    <r>
      <rPr>
        <sz val="11"/>
        <rFont val="游ゴシック Medium"/>
        <family val="3"/>
        <charset val="128"/>
      </rPr>
      <t>兄弟</t>
    </r>
    <r>
      <rPr>
        <sz val="11"/>
        <rFont val="Consolas"/>
        <family val="3"/>
      </rPr>
      <t>(Jakob &amp; Wilhelm)</t>
    </r>
    <rPh sb="0" eb="5">
      <t>グリム</t>
    </rPh>
    <rPh sb="5" eb="7">
      <t>キョウダイ</t>
    </rPh>
    <rPh sb="8" eb="13">
      <t>ヤーコップ</t>
    </rPh>
    <rPh sb="16" eb="23">
      <t>ウィルヘルム</t>
    </rPh>
    <phoneticPr fontId="1"/>
  </si>
  <si>
    <r>
      <rPr>
        <sz val="11"/>
        <rFont val="游ゴシック Medium"/>
        <family val="3"/>
        <charset val="128"/>
      </rPr>
      <t>武井亮吉</t>
    </r>
    <rPh sb="0" eb="2">
      <t>タケイ</t>
    </rPh>
    <rPh sb="2" eb="4">
      <t>リョウキチ</t>
    </rPh>
    <phoneticPr fontId="1"/>
  </si>
  <si>
    <r>
      <rPr>
        <sz val="11"/>
        <rFont val="游ゴシック Medium"/>
        <family val="3"/>
        <charset val="128"/>
      </rPr>
      <t>新訳註叢書</t>
    </r>
    <r>
      <rPr>
        <sz val="11"/>
        <rFont val="Consolas"/>
        <family val="3"/>
      </rPr>
      <t xml:space="preserve"> 18</t>
    </r>
    <rPh sb="0" eb="1">
      <t>シン</t>
    </rPh>
    <rPh sb="1" eb="2">
      <t>ヤク</t>
    </rPh>
    <rPh sb="2" eb="3">
      <t>チュウ</t>
    </rPh>
    <rPh sb="3" eb="5">
      <t>ソウショ</t>
    </rPh>
    <phoneticPr fontId="1"/>
  </si>
  <si>
    <r>
      <rPr>
        <sz val="11"/>
        <rFont val="游ゴシック Medium"/>
        <family val="3"/>
        <charset val="128"/>
      </rPr>
      <t>松本書店</t>
    </r>
    <r>
      <rPr>
        <sz val="11"/>
        <rFont val="Consolas"/>
        <family val="3"/>
      </rPr>
      <t>_</t>
    </r>
    <r>
      <rPr>
        <sz val="11"/>
        <rFont val="游ゴシック Medium"/>
        <family val="3"/>
        <charset val="128"/>
      </rPr>
      <t>名古屋南大津通</t>
    </r>
    <rPh sb="0" eb="2">
      <t>マツモト</t>
    </rPh>
    <rPh sb="2" eb="4">
      <t>ショテン</t>
    </rPh>
    <rPh sb="5" eb="8">
      <t>ナゴヤ</t>
    </rPh>
    <rPh sb="8" eb="9">
      <t>ミナミ</t>
    </rPh>
    <rPh sb="9" eb="12">
      <t>オオツドオリ</t>
    </rPh>
    <phoneticPr fontId="1"/>
  </si>
  <si>
    <r>
      <t>ancient/ethnic/</t>
    </r>
    <r>
      <rPr>
        <sz val="11"/>
        <rFont val="游ゴシック Medium"/>
        <family val="3"/>
        <charset val="128"/>
      </rPr>
      <t>文学</t>
    </r>
    <rPh sb="15" eb="17">
      <t>ブンガク</t>
    </rPh>
    <phoneticPr fontId="1"/>
  </si>
  <si>
    <r>
      <rPr>
        <sz val="11"/>
        <rFont val="游ゴシック Medium"/>
        <family val="3"/>
        <charset val="128"/>
      </rPr>
      <t>菊池淑子</t>
    </r>
    <rPh sb="0" eb="2">
      <t>キクチ</t>
    </rPh>
    <rPh sb="2" eb="4">
      <t>ヨシコ</t>
    </rPh>
    <phoneticPr fontId="1"/>
  </si>
  <si>
    <r>
      <rPr>
        <sz val="11"/>
        <rFont val="游ゴシック Medium"/>
        <family val="3"/>
        <charset val="128"/>
      </rPr>
      <t>カリーラとディムナ</t>
    </r>
    <r>
      <rPr>
        <sz val="11"/>
        <rFont val="Consolas"/>
        <family val="3"/>
      </rPr>
      <t>/Arabia</t>
    </r>
    <r>
      <rPr>
        <sz val="11"/>
        <rFont val="游ゴシック Medium"/>
        <family val="3"/>
        <charset val="128"/>
      </rPr>
      <t>の寓話</t>
    </r>
    <r>
      <rPr>
        <sz val="11"/>
        <rFont val="Consolas"/>
        <family val="3"/>
      </rPr>
      <t>/Kitab Kalila wa Dimna</t>
    </r>
    <rPh sb="10" eb="16">
      <t>アラビア</t>
    </rPh>
    <rPh sb="17" eb="19">
      <t>グウワ</t>
    </rPh>
    <phoneticPr fontId="1"/>
  </si>
  <si>
    <r>
      <rPr>
        <sz val="11"/>
        <rFont val="游ゴシック Medium"/>
        <family val="3"/>
        <charset val="128"/>
      </rPr>
      <t>東洋文庫</t>
    </r>
    <r>
      <rPr>
        <sz val="11"/>
        <rFont val="Consolas"/>
        <family val="3"/>
      </rPr>
      <t>331/</t>
    </r>
    <r>
      <rPr>
        <sz val="11"/>
        <rFont val="游ゴシック Medium"/>
        <family val="3"/>
        <charset val="128"/>
      </rPr>
      <t>平凡社</t>
    </r>
    <rPh sb="0" eb="4">
      <t>トウヨウブンコ</t>
    </rPh>
    <rPh sb="8" eb="11">
      <t>ヘイボンシャ</t>
    </rPh>
    <phoneticPr fontId="1"/>
  </si>
  <si>
    <r>
      <rPr>
        <sz val="11"/>
        <rFont val="游ゴシック Medium"/>
        <family val="3"/>
        <charset val="128"/>
      </rPr>
      <t>文庫</t>
    </r>
    <rPh sb="0" eb="2">
      <t>ブンコ</t>
    </rPh>
    <phoneticPr fontId="1"/>
  </si>
  <si>
    <r>
      <rPr>
        <sz val="11"/>
        <rFont val="游ゴシック Medium"/>
        <family val="3"/>
        <charset val="128"/>
      </rPr>
      <t>河合豊彰</t>
    </r>
    <rPh sb="0" eb="2">
      <t>カワイ</t>
    </rPh>
    <rPh sb="2" eb="4">
      <t>トヨアキ</t>
    </rPh>
    <phoneticPr fontId="1"/>
  </si>
  <si>
    <r>
      <rPr>
        <sz val="11"/>
        <rFont val="游ゴシック Medium"/>
        <family val="3"/>
        <charset val="128"/>
      </rPr>
      <t>おりがみ</t>
    </r>
    <phoneticPr fontId="1"/>
  </si>
  <si>
    <r>
      <rPr>
        <sz val="11"/>
        <rFont val="游ゴシック Medium"/>
        <family val="3"/>
        <charset val="128"/>
      </rPr>
      <t>保育社</t>
    </r>
    <rPh sb="0" eb="3">
      <t>ホイクシャ</t>
    </rPh>
    <phoneticPr fontId="1"/>
  </si>
  <si>
    <r>
      <rPr>
        <sz val="11"/>
        <rFont val="游ゴシック Medium"/>
        <family val="3"/>
        <charset val="128"/>
      </rPr>
      <t>創作おりがみ</t>
    </r>
    <rPh sb="0" eb="2">
      <t>ソウサク</t>
    </rPh>
    <phoneticPr fontId="1"/>
  </si>
  <si>
    <r>
      <rPr>
        <sz val="11"/>
        <rFont val="游ゴシック Medium"/>
        <family val="3"/>
        <charset val="128"/>
      </rPr>
      <t>玉井幸助</t>
    </r>
    <rPh sb="0" eb="2">
      <t>タマイ</t>
    </rPh>
    <rPh sb="2" eb="4">
      <t>コウスケ</t>
    </rPh>
    <phoneticPr fontId="1"/>
  </si>
  <si>
    <r>
      <rPr>
        <sz val="11"/>
        <rFont val="游ゴシック Medium"/>
        <family val="3"/>
        <charset val="128"/>
      </rPr>
      <t>校訂</t>
    </r>
    <rPh sb="0" eb="2">
      <t>コウテイ</t>
    </rPh>
    <phoneticPr fontId="1"/>
  </si>
  <si>
    <r>
      <rPr>
        <sz val="11"/>
        <rFont val="游ゴシック Medium"/>
        <family val="3"/>
        <charset val="128"/>
      </rPr>
      <t>問はず語り</t>
    </r>
    <rPh sb="0" eb="1">
      <t>ト</t>
    </rPh>
    <rPh sb="3" eb="4">
      <t>カタ</t>
    </rPh>
    <phoneticPr fontId="1"/>
  </si>
  <si>
    <r>
      <rPr>
        <sz val="11"/>
        <rFont val="游ゴシック Medium"/>
        <family val="3"/>
        <charset val="128"/>
      </rPr>
      <t>岩波文庫</t>
    </r>
    <rPh sb="0" eb="4">
      <t>イワナミブンコ</t>
    </rPh>
    <phoneticPr fontId="1"/>
  </si>
  <si>
    <r>
      <rPr>
        <sz val="11"/>
        <rFont val="游ゴシック Medium"/>
        <family val="3"/>
        <charset val="128"/>
      </rPr>
      <t>古今亭志ん生</t>
    </r>
    <rPh sb="0" eb="3">
      <t>ココンテイ</t>
    </rPh>
    <rPh sb="3" eb="4">
      <t>シ</t>
    </rPh>
    <rPh sb="5" eb="6">
      <t>ショウ</t>
    </rPh>
    <phoneticPr fontId="1"/>
  </si>
  <si>
    <r>
      <rPr>
        <sz val="11"/>
        <rFont val="游ゴシック Medium"/>
        <family val="3"/>
        <charset val="128"/>
      </rPr>
      <t>びんぼう自慢</t>
    </r>
    <rPh sb="4" eb="6">
      <t>ジマン</t>
    </rPh>
    <phoneticPr fontId="1"/>
  </si>
  <si>
    <r>
      <rPr>
        <sz val="11"/>
        <rFont val="游ゴシック Medium"/>
        <family val="3"/>
        <charset val="128"/>
      </rPr>
      <t>志ん生文庫</t>
    </r>
    <r>
      <rPr>
        <sz val="11"/>
        <rFont val="Consolas"/>
        <family val="3"/>
      </rPr>
      <t>6</t>
    </r>
    <rPh sb="0" eb="1">
      <t>シ</t>
    </rPh>
    <rPh sb="2" eb="3">
      <t>ショウ</t>
    </rPh>
    <rPh sb="3" eb="5">
      <t>ブンコ</t>
    </rPh>
    <phoneticPr fontId="1"/>
  </si>
  <si>
    <r>
      <rPr>
        <sz val="11"/>
        <rFont val="游ゴシック Medium"/>
        <family val="3"/>
        <charset val="128"/>
      </rPr>
      <t>八勝堂書店</t>
    </r>
    <rPh sb="0" eb="3">
      <t>ハッショウドウ</t>
    </rPh>
    <rPh sb="3" eb="5">
      <t>ショテン</t>
    </rPh>
    <phoneticPr fontId="1"/>
  </si>
  <si>
    <r>
      <rPr>
        <sz val="11"/>
        <rFont val="游ゴシック Medium"/>
        <family val="3"/>
        <charset val="128"/>
      </rPr>
      <t>小川未明</t>
    </r>
    <rPh sb="0" eb="2">
      <t>オガワ</t>
    </rPh>
    <rPh sb="2" eb="4">
      <t>ミメイ</t>
    </rPh>
    <phoneticPr fontId="1"/>
  </si>
  <si>
    <r>
      <rPr>
        <sz val="11"/>
        <rFont val="游ゴシック Medium"/>
        <family val="3"/>
        <charset val="128"/>
      </rPr>
      <t>小川未明童話集</t>
    </r>
    <rPh sb="0" eb="2">
      <t>オガワ</t>
    </rPh>
    <rPh sb="2" eb="4">
      <t>ミメイ</t>
    </rPh>
    <rPh sb="4" eb="7">
      <t>ドウワシュウ</t>
    </rPh>
    <phoneticPr fontId="1"/>
  </si>
  <si>
    <r>
      <rPr>
        <sz val="11"/>
        <rFont val="游ゴシック Medium"/>
        <family val="3"/>
        <charset val="128"/>
      </rPr>
      <t>鈴木三重吉</t>
    </r>
    <rPh sb="0" eb="5">
      <t>スズキミエキチ</t>
    </rPh>
    <phoneticPr fontId="1"/>
  </si>
  <si>
    <r>
      <rPr>
        <sz val="11"/>
        <rFont val="游ゴシック Medium"/>
        <family val="3"/>
        <charset val="128"/>
      </rPr>
      <t>勝尾金弥</t>
    </r>
    <rPh sb="0" eb="2">
      <t>カツオ</t>
    </rPh>
    <rPh sb="2" eb="4">
      <t>キンヤ</t>
    </rPh>
    <phoneticPr fontId="1"/>
  </si>
  <si>
    <r>
      <rPr>
        <sz val="11"/>
        <rFont val="游ゴシック Medium"/>
        <family val="3"/>
        <charset val="128"/>
      </rPr>
      <t>鈴木三重吉童話集</t>
    </r>
    <rPh sb="0" eb="5">
      <t>スズキミエキチ</t>
    </rPh>
    <rPh sb="5" eb="8">
      <t>ドウワシュウ</t>
    </rPh>
    <phoneticPr fontId="1"/>
  </si>
  <si>
    <r>
      <rPr>
        <sz val="11"/>
        <rFont val="游ゴシック Medium"/>
        <family val="3"/>
        <charset val="128"/>
      </rPr>
      <t>桑の実</t>
    </r>
    <rPh sb="0" eb="1">
      <t>クワ</t>
    </rPh>
    <rPh sb="2" eb="3">
      <t>ミ</t>
    </rPh>
    <phoneticPr fontId="1"/>
  </si>
  <si>
    <r>
      <rPr>
        <sz val="11"/>
        <rFont val="游ゴシック Medium"/>
        <family val="3"/>
        <charset val="128"/>
      </rPr>
      <t>古事記物語</t>
    </r>
    <rPh sb="0" eb="3">
      <t>コジキ</t>
    </rPh>
    <rPh sb="3" eb="5">
      <t>モノガタリ</t>
    </rPh>
    <phoneticPr fontId="1"/>
  </si>
  <si>
    <r>
      <rPr>
        <sz val="11"/>
        <rFont val="游ゴシック Medium"/>
        <family val="3"/>
        <charset val="128"/>
      </rPr>
      <t>角川文庫</t>
    </r>
    <rPh sb="0" eb="4">
      <t>カドカワブンコ</t>
    </rPh>
    <phoneticPr fontId="1"/>
  </si>
  <si>
    <r>
      <rPr>
        <sz val="11"/>
        <rFont val="游ゴシック Medium"/>
        <family val="3"/>
        <charset val="128"/>
      </rPr>
      <t>竹下文子</t>
    </r>
    <rPh sb="0" eb="2">
      <t>タケシタ</t>
    </rPh>
    <rPh sb="2" eb="4">
      <t>フミコ</t>
    </rPh>
    <phoneticPr fontId="1"/>
  </si>
  <si>
    <r>
      <rPr>
        <sz val="11"/>
        <rFont val="游ゴシック Medium"/>
        <family val="3"/>
        <charset val="128"/>
      </rPr>
      <t>星と</t>
    </r>
    <r>
      <rPr>
        <sz val="11"/>
        <rFont val="Consolas"/>
        <family val="3"/>
      </rPr>
      <t>Trumpet</t>
    </r>
    <rPh sb="0" eb="1">
      <t>ホシ</t>
    </rPh>
    <rPh sb="2" eb="9">
      <t>トランペット</t>
    </rPh>
    <phoneticPr fontId="1"/>
  </si>
  <si>
    <r>
      <rPr>
        <sz val="11"/>
        <rFont val="游ゴシック Medium"/>
        <family val="3"/>
        <charset val="128"/>
      </rPr>
      <t>講談社文庫</t>
    </r>
    <rPh sb="0" eb="5">
      <t>コウダンシャブンコ</t>
    </rPh>
    <phoneticPr fontId="1"/>
  </si>
  <si>
    <r>
      <rPr>
        <sz val="11"/>
        <rFont val="游ゴシック Medium"/>
        <family val="3"/>
        <charset val="128"/>
      </rPr>
      <t>子供の四季</t>
    </r>
    <rPh sb="0" eb="2">
      <t>コドモ</t>
    </rPh>
    <rPh sb="3" eb="5">
      <t>シキ</t>
    </rPh>
    <phoneticPr fontId="1"/>
  </si>
  <si>
    <r>
      <rPr>
        <sz val="11"/>
        <rFont val="游ゴシック Medium"/>
        <family val="3"/>
        <charset val="128"/>
      </rPr>
      <t>坪田譲治</t>
    </r>
    <rPh sb="0" eb="2">
      <t>ツボタ</t>
    </rPh>
    <rPh sb="2" eb="4">
      <t>ジョウジ</t>
    </rPh>
    <phoneticPr fontId="1"/>
  </si>
  <si>
    <r>
      <rPr>
        <sz val="11"/>
        <rFont val="游ゴシック Medium"/>
        <family val="3"/>
        <charset val="128"/>
      </rPr>
      <t>浜田広介</t>
    </r>
    <rPh sb="0" eb="2">
      <t>ハマダ</t>
    </rPh>
    <rPh sb="2" eb="4">
      <t>ヒロスケ</t>
    </rPh>
    <phoneticPr fontId="1"/>
  </si>
  <si>
    <r>
      <rPr>
        <sz val="11"/>
        <rFont val="游ゴシック Medium"/>
        <family val="3"/>
        <charset val="128"/>
      </rPr>
      <t>浜田広介童話集</t>
    </r>
    <rPh sb="0" eb="2">
      <t>ハマダ</t>
    </rPh>
    <rPh sb="2" eb="4">
      <t>ヒロスケ</t>
    </rPh>
    <rPh sb="4" eb="7">
      <t>ドウワシュウ</t>
    </rPh>
    <phoneticPr fontId="1"/>
  </si>
  <si>
    <r>
      <rPr>
        <sz val="11"/>
        <rFont val="游ゴシック Medium"/>
        <family val="3"/>
        <charset val="128"/>
      </rPr>
      <t>更科</t>
    </r>
    <r>
      <rPr>
        <sz val="11"/>
        <rFont val="Consolas"/>
        <family val="3"/>
      </rPr>
      <t xml:space="preserve"> </t>
    </r>
    <r>
      <rPr>
        <sz val="11"/>
        <rFont val="游ゴシック Medium"/>
        <family val="3"/>
        <charset val="128"/>
      </rPr>
      <t>源蔵</t>
    </r>
    <rPh sb="0" eb="2">
      <t>サラシナ</t>
    </rPh>
    <rPh sb="3" eb="5">
      <t>ゲンゾウ</t>
    </rPh>
    <phoneticPr fontId="1"/>
  </si>
  <si>
    <r>
      <rPr>
        <sz val="11"/>
        <rFont val="游ゴシック Medium"/>
        <family val="3"/>
        <charset val="128"/>
      </rPr>
      <t>アイヌの伝説</t>
    </r>
    <rPh sb="4" eb="6">
      <t>デンセツ</t>
    </rPh>
    <phoneticPr fontId="1"/>
  </si>
  <si>
    <r>
      <rPr>
        <sz val="11"/>
        <rFont val="游ゴシック Medium"/>
        <family val="3"/>
        <charset val="128"/>
      </rPr>
      <t>アイヌの伝説集より</t>
    </r>
    <rPh sb="4" eb="6">
      <t>デンセツ</t>
    </rPh>
    <rPh sb="6" eb="7">
      <t>シュウ</t>
    </rPh>
    <phoneticPr fontId="1"/>
  </si>
  <si>
    <r>
      <rPr>
        <sz val="11"/>
        <rFont val="游ゴシック Medium"/>
        <family val="3"/>
        <charset val="128"/>
      </rPr>
      <t>風光社</t>
    </r>
    <rPh sb="0" eb="2">
      <t>フウコウ</t>
    </rPh>
    <rPh sb="2" eb="3">
      <t>シャ</t>
    </rPh>
    <phoneticPr fontId="1"/>
  </si>
  <si>
    <r>
      <t>Xmas</t>
    </r>
    <r>
      <rPr>
        <sz val="11"/>
        <rFont val="游ゴシック Medium"/>
        <family val="3"/>
        <charset val="128"/>
      </rPr>
      <t>にドイウロコヨーコちゃんから</t>
    </r>
    <phoneticPr fontId="1"/>
  </si>
  <si>
    <r>
      <rPr>
        <sz val="11"/>
        <rFont val="游ゴシック Medium"/>
        <family val="3"/>
        <charset val="128"/>
      </rPr>
      <t>和綴じ</t>
    </r>
    <rPh sb="0" eb="2">
      <t>ワト</t>
    </rPh>
    <phoneticPr fontId="1"/>
  </si>
  <si>
    <r>
      <rPr>
        <sz val="11"/>
        <rFont val="游ゴシック Medium"/>
        <family val="3"/>
        <charset val="128"/>
      </rPr>
      <t>戸隠民俗館</t>
    </r>
    <rPh sb="0" eb="2">
      <t>トガクシ</t>
    </rPh>
    <rPh sb="2" eb="4">
      <t>ミンゾク</t>
    </rPh>
    <rPh sb="4" eb="5">
      <t>カン</t>
    </rPh>
    <phoneticPr fontId="1"/>
  </si>
  <si>
    <r>
      <rPr>
        <sz val="11"/>
        <rFont val="游ゴシック Medium"/>
        <family val="3"/>
        <charset val="128"/>
      </rPr>
      <t>むかしむかしあったそうな─戸隠の昔ばなし</t>
    </r>
    <rPh sb="13" eb="15">
      <t>トガクシ</t>
    </rPh>
    <rPh sb="16" eb="17">
      <t>ムカシ</t>
    </rPh>
    <phoneticPr fontId="1"/>
  </si>
  <si>
    <r>
      <rPr>
        <sz val="11"/>
        <rFont val="游ゴシック Medium"/>
        <family val="3"/>
        <charset val="128"/>
      </rPr>
      <t>横開き</t>
    </r>
    <rPh sb="0" eb="1">
      <t>ヨコ</t>
    </rPh>
    <rPh sb="1" eb="2">
      <t>ビラ</t>
    </rPh>
    <phoneticPr fontId="1"/>
  </si>
  <si>
    <r>
      <rPr>
        <sz val="11"/>
        <rFont val="游ゴシック Medium"/>
        <family val="3"/>
        <charset val="128"/>
      </rPr>
      <t>昔むかしの笑いばなし</t>
    </r>
    <rPh sb="0" eb="1">
      <t>ムカシ</t>
    </rPh>
    <rPh sb="5" eb="6">
      <t>ワラ</t>
    </rPh>
    <phoneticPr fontId="1"/>
  </si>
  <si>
    <r>
      <rPr>
        <sz val="11"/>
        <rFont val="游ゴシック Medium"/>
        <family val="3"/>
        <charset val="128"/>
      </rPr>
      <t>民話</t>
    </r>
    <r>
      <rPr>
        <sz val="11"/>
        <rFont val="Consolas"/>
        <family val="3"/>
      </rPr>
      <t xml:space="preserve"> </t>
    </r>
    <r>
      <rPr>
        <sz val="11"/>
        <rFont val="游ゴシック Medium"/>
        <family val="3"/>
        <charset val="128"/>
      </rPr>
      <t>艶色ばなし</t>
    </r>
    <rPh sb="0" eb="2">
      <t>ミンワ</t>
    </rPh>
    <rPh sb="3" eb="4">
      <t>イロ</t>
    </rPh>
    <rPh sb="4" eb="5">
      <t>イロ</t>
    </rPh>
    <phoneticPr fontId="1"/>
  </si>
  <si>
    <r>
      <rPr>
        <sz val="11"/>
        <rFont val="游ゴシック Medium"/>
        <family val="3"/>
        <charset val="128"/>
      </rPr>
      <t>成人向</t>
    </r>
    <rPh sb="0" eb="3">
      <t>セイジンムケ</t>
    </rPh>
    <phoneticPr fontId="1"/>
  </si>
  <si>
    <r>
      <rPr>
        <sz val="11"/>
        <rFont val="游ゴシック Medium"/>
        <family val="3"/>
        <charset val="128"/>
      </rPr>
      <t>茶々文庫</t>
    </r>
    <r>
      <rPr>
        <sz val="11"/>
        <rFont val="Consolas"/>
        <family val="3"/>
      </rPr>
      <t/>
    </r>
    <rPh sb="0" eb="2">
      <t>チャチャ</t>
    </rPh>
    <rPh sb="2" eb="4">
      <t>ブンコ</t>
    </rPh>
    <phoneticPr fontId="1"/>
  </si>
  <si>
    <r>
      <rPr>
        <sz val="11"/>
        <rFont val="游ゴシック Medium"/>
        <family val="3"/>
        <charset val="128"/>
      </rPr>
      <t>むかしむかしの</t>
    </r>
    <r>
      <rPr>
        <sz val="11"/>
        <rFont val="Consolas"/>
        <family val="3"/>
      </rPr>
      <t xml:space="preserve"> </t>
    </r>
    <r>
      <rPr>
        <sz val="11"/>
        <rFont val="游ゴシック Medium"/>
        <family val="3"/>
        <charset val="128"/>
      </rPr>
      <t>艶色話</t>
    </r>
    <r>
      <rPr>
        <sz val="11"/>
        <rFont val="Consolas"/>
        <family val="3"/>
      </rPr>
      <t xml:space="preserve"> </t>
    </r>
    <r>
      <rPr>
        <sz val="11"/>
        <rFont val="游ゴシック Medium"/>
        <family val="3"/>
        <charset val="128"/>
      </rPr>
      <t>第三集</t>
    </r>
    <rPh sb="8" eb="9">
      <t>イロ</t>
    </rPh>
    <rPh sb="9" eb="10">
      <t>イロ</t>
    </rPh>
    <rPh sb="10" eb="11">
      <t>バナシ</t>
    </rPh>
    <rPh sb="12" eb="13">
      <t>ダイ</t>
    </rPh>
    <rPh sb="13" eb="15">
      <t>サンシュウ</t>
    </rPh>
    <phoneticPr fontId="1"/>
  </si>
  <si>
    <r>
      <rPr>
        <sz val="11"/>
        <rFont val="游ゴシック Medium"/>
        <family val="3"/>
        <charset val="128"/>
      </rPr>
      <t>矢島文夫</t>
    </r>
    <rPh sb="0" eb="2">
      <t>ヤジマ</t>
    </rPh>
    <rPh sb="2" eb="4">
      <t>フミオ</t>
    </rPh>
    <phoneticPr fontId="1"/>
  </si>
  <si>
    <r>
      <rPr>
        <sz val="11"/>
        <rFont val="游ゴシック Medium"/>
        <family val="3"/>
        <charset val="128"/>
      </rPr>
      <t>ギルガメシュ叙事詩</t>
    </r>
    <r>
      <rPr>
        <sz val="11"/>
        <rFont val="Consolas"/>
        <family val="3"/>
      </rPr>
      <t>/</t>
    </r>
    <r>
      <rPr>
        <sz val="11"/>
        <rFont val="游ゴシック Medium"/>
        <family val="3"/>
        <charset val="128"/>
      </rPr>
      <t>付</t>
    </r>
    <r>
      <rPr>
        <sz val="11"/>
        <rFont val="Consolas"/>
        <family val="3"/>
      </rPr>
      <t xml:space="preserve"> </t>
    </r>
    <r>
      <rPr>
        <sz val="11"/>
        <rFont val="游ゴシック Medium"/>
        <family val="3"/>
        <charset val="128"/>
      </rPr>
      <t>イシュタルの冥界下り</t>
    </r>
    <rPh sb="6" eb="9">
      <t>ジョジシ</t>
    </rPh>
    <rPh sb="10" eb="11">
      <t>フロク</t>
    </rPh>
    <rPh sb="18" eb="20">
      <t>メイカイ</t>
    </rPh>
    <rPh sb="20" eb="21">
      <t>クダ</t>
    </rPh>
    <phoneticPr fontId="1"/>
  </si>
  <si>
    <r>
      <rPr>
        <sz val="11"/>
        <rFont val="游ゴシック Medium"/>
        <family val="3"/>
        <charset val="128"/>
      </rPr>
      <t>ちくま学芸文庫</t>
    </r>
    <rPh sb="3" eb="7">
      <t>ガクゲイブンコ</t>
    </rPh>
    <phoneticPr fontId="1"/>
  </si>
  <si>
    <r>
      <rPr>
        <sz val="11"/>
        <rFont val="游ゴシック Medium"/>
        <family val="3"/>
        <charset val="128"/>
      </rPr>
      <t>呉</t>
    </r>
    <r>
      <rPr>
        <sz val="11"/>
        <rFont val="Consolas"/>
        <family val="3"/>
      </rPr>
      <t xml:space="preserve"> </t>
    </r>
    <r>
      <rPr>
        <sz val="11"/>
        <rFont val="游ゴシック Medium"/>
        <family val="3"/>
        <charset val="128"/>
      </rPr>
      <t>茂一</t>
    </r>
    <rPh sb="0" eb="1">
      <t>クレ</t>
    </rPh>
    <rPh sb="2" eb="4">
      <t>シゲイチ</t>
    </rPh>
    <phoneticPr fontId="1"/>
  </si>
  <si>
    <r>
      <rPr>
        <sz val="11"/>
        <rFont val="游ゴシック Medium"/>
        <family val="3"/>
        <charset val="128"/>
      </rPr>
      <t>ギリシア神話</t>
    </r>
    <rPh sb="4" eb="6">
      <t>シンワ</t>
    </rPh>
    <phoneticPr fontId="1"/>
  </si>
  <si>
    <r>
      <rPr>
        <sz val="11"/>
        <rFont val="游ゴシック Medium"/>
        <family val="3"/>
        <charset val="128"/>
      </rPr>
      <t>塚原幹夫</t>
    </r>
    <rPh sb="0" eb="2">
      <t>ツカハラ</t>
    </rPh>
    <rPh sb="2" eb="4">
      <t>ミキオ</t>
    </rPh>
    <phoneticPr fontId="1"/>
  </si>
  <si>
    <r>
      <t>Aesop</t>
    </r>
    <r>
      <rPr>
        <sz val="11"/>
        <rFont val="游ゴシック Medium"/>
        <family val="3"/>
        <charset val="128"/>
      </rPr>
      <t>寓話集</t>
    </r>
    <r>
      <rPr>
        <sz val="11"/>
        <rFont val="Consolas"/>
        <family val="3"/>
      </rPr>
      <t>/</t>
    </r>
    <r>
      <rPr>
        <sz val="11"/>
        <rFont val="游ゴシック Medium"/>
        <family val="3"/>
        <charset val="128"/>
      </rPr>
      <t>新訳</t>
    </r>
    <rPh sb="0" eb="5">
      <t>イソップ</t>
    </rPh>
    <rPh sb="5" eb="7">
      <t>グウワ</t>
    </rPh>
    <rPh sb="7" eb="8">
      <t>シュウ</t>
    </rPh>
    <rPh sb="9" eb="11">
      <t>シンヤク</t>
    </rPh>
    <phoneticPr fontId="1"/>
  </si>
  <si>
    <r>
      <rPr>
        <sz val="11"/>
        <rFont val="游ゴシック Medium"/>
        <family val="3"/>
        <charset val="128"/>
      </rPr>
      <t>植田敏郎</t>
    </r>
    <rPh sb="0" eb="2">
      <t>ウエダ</t>
    </rPh>
    <rPh sb="2" eb="4">
      <t>トシロウ</t>
    </rPh>
    <phoneticPr fontId="1"/>
  </si>
  <si>
    <r>
      <rPr>
        <sz val="11"/>
        <rFont val="游ゴシック Medium"/>
        <family val="3"/>
        <charset val="128"/>
      </rPr>
      <t>白雪姫</t>
    </r>
    <rPh sb="0" eb="2">
      <t>シラユキ</t>
    </rPh>
    <rPh sb="2" eb="3">
      <t>ヒメ</t>
    </rPh>
    <phoneticPr fontId="1"/>
  </si>
  <si>
    <r>
      <t>Grimm</t>
    </r>
    <r>
      <rPr>
        <sz val="11"/>
        <rFont val="游ゴシック Medium"/>
        <family val="3"/>
        <charset val="128"/>
      </rPr>
      <t>童話集Ⅰ</t>
    </r>
    <rPh sb="0" eb="5">
      <t>グリム</t>
    </rPh>
    <rPh sb="5" eb="8">
      <t>ドウワシュウ</t>
    </rPh>
    <phoneticPr fontId="1"/>
  </si>
  <si>
    <r>
      <rPr>
        <sz val="11"/>
        <rFont val="游ゴシック Medium"/>
        <family val="3"/>
        <charset val="128"/>
      </rPr>
      <t>ヘンゼルとグレーテル</t>
    </r>
    <phoneticPr fontId="1"/>
  </si>
  <si>
    <r>
      <t>Grimm</t>
    </r>
    <r>
      <rPr>
        <sz val="11"/>
        <rFont val="游ゴシック Medium"/>
        <family val="3"/>
        <charset val="128"/>
      </rPr>
      <t>童話集Ⅱ</t>
    </r>
    <rPh sb="0" eb="5">
      <t>グリム</t>
    </rPh>
    <rPh sb="5" eb="8">
      <t>ドウワシュウ</t>
    </rPh>
    <phoneticPr fontId="1"/>
  </si>
  <si>
    <r>
      <t>Bremen</t>
    </r>
    <r>
      <rPr>
        <sz val="11"/>
        <rFont val="游ゴシック Medium"/>
        <family val="3"/>
        <charset val="128"/>
      </rPr>
      <t>の音楽隊</t>
    </r>
    <rPh sb="0" eb="6">
      <t>ブレーメン</t>
    </rPh>
    <rPh sb="7" eb="10">
      <t>オンガクタイ</t>
    </rPh>
    <phoneticPr fontId="1"/>
  </si>
  <si>
    <r>
      <t>Grimm</t>
    </r>
    <r>
      <rPr>
        <sz val="11"/>
        <rFont val="游ゴシック Medium"/>
        <family val="3"/>
        <charset val="128"/>
      </rPr>
      <t>童話集Ⅲ</t>
    </r>
    <rPh sb="0" eb="5">
      <t>グリム</t>
    </rPh>
    <rPh sb="5" eb="8">
      <t>ドウワシュウ</t>
    </rPh>
    <phoneticPr fontId="1"/>
  </si>
  <si>
    <r>
      <rPr>
        <sz val="11"/>
        <rFont val="游ゴシック Medium"/>
        <family val="3"/>
        <charset val="128"/>
      </rPr>
      <t>種村季弘</t>
    </r>
    <rPh sb="0" eb="2">
      <t>タネムラ</t>
    </rPh>
    <rPh sb="2" eb="4">
      <t>スエヒロ</t>
    </rPh>
    <phoneticPr fontId="1"/>
  </si>
  <si>
    <r>
      <rPr>
        <sz val="11"/>
        <rFont val="游ゴシック Medium"/>
        <family val="3"/>
        <charset val="128"/>
      </rPr>
      <t>くるみ割り人形とねずみの王様</t>
    </r>
    <rPh sb="3" eb="4">
      <t>ワ</t>
    </rPh>
    <rPh sb="5" eb="7">
      <t>ニンギョウ</t>
    </rPh>
    <rPh sb="12" eb="14">
      <t>オウサマ</t>
    </rPh>
    <phoneticPr fontId="1"/>
  </si>
  <si>
    <r>
      <rPr>
        <sz val="11"/>
        <rFont val="游ゴシック Medium"/>
        <family val="3"/>
        <charset val="128"/>
      </rPr>
      <t>河出文庫</t>
    </r>
    <r>
      <rPr>
        <sz val="11"/>
        <rFont val="Consolas"/>
        <family val="3"/>
      </rPr>
      <t>/</t>
    </r>
    <r>
      <rPr>
        <sz val="11"/>
        <rFont val="游ゴシック Medium"/>
        <family val="3"/>
        <charset val="128"/>
      </rPr>
      <t>河出書房新社</t>
    </r>
    <phoneticPr fontId="1"/>
  </si>
  <si>
    <r>
      <rPr>
        <sz val="11"/>
        <rFont val="游ゴシック Medium"/>
        <family val="3"/>
        <charset val="128"/>
      </rPr>
      <t>矢川澄子</t>
    </r>
    <rPh sb="0" eb="2">
      <t>ヤガワ</t>
    </rPh>
    <rPh sb="2" eb="4">
      <t>スミコ</t>
    </rPh>
    <phoneticPr fontId="1"/>
  </si>
  <si>
    <r>
      <rPr>
        <sz val="11"/>
        <rFont val="游ゴシック Medium"/>
        <family val="3"/>
        <charset val="128"/>
      </rPr>
      <t>たるの中から生まれた話</t>
    </r>
    <r>
      <rPr>
        <sz val="11"/>
        <rFont val="Consolas"/>
        <family val="3"/>
      </rPr>
      <t>/Geschichten aus der Tonne</t>
    </r>
    <rPh sb="3" eb="4">
      <t>ナカ</t>
    </rPh>
    <rPh sb="6" eb="7">
      <t>ウ</t>
    </rPh>
    <rPh sb="10" eb="11">
      <t>ハナシ</t>
    </rPh>
    <phoneticPr fontId="1"/>
  </si>
  <si>
    <r>
      <rPr>
        <sz val="11"/>
        <rFont val="游ゴシック Medium"/>
        <family val="3"/>
        <charset val="128"/>
      </rPr>
      <t>福武文庫</t>
    </r>
    <rPh sb="0" eb="4">
      <t>フクタケブンコ</t>
    </rPh>
    <phoneticPr fontId="1"/>
  </si>
  <si>
    <r>
      <rPr>
        <sz val="11"/>
        <rFont val="游ゴシック Medium"/>
        <family val="3"/>
        <charset val="128"/>
      </rPr>
      <t>丘沢静也</t>
    </r>
    <rPh sb="0" eb="2">
      <t>オカザワ</t>
    </rPh>
    <rPh sb="2" eb="4">
      <t>シズヤ</t>
    </rPh>
    <phoneticPr fontId="1"/>
  </si>
  <si>
    <r>
      <rPr>
        <sz val="11"/>
        <rFont val="游ゴシック Medium"/>
        <family val="3"/>
        <charset val="128"/>
      </rPr>
      <t>だれが、いばら姫を起こしたのか</t>
    </r>
    <r>
      <rPr>
        <sz val="11"/>
        <rFont val="Consolas"/>
        <family val="3"/>
      </rPr>
      <t>/Grimm</t>
    </r>
    <r>
      <rPr>
        <sz val="11"/>
        <rFont val="游ゴシック Medium"/>
        <family val="3"/>
        <charset val="128"/>
      </rPr>
      <t>童話をひっかきまわす</t>
    </r>
    <rPh sb="7" eb="8">
      <t>ヒメ</t>
    </rPh>
    <rPh sb="9" eb="10">
      <t>オ</t>
    </rPh>
    <rPh sb="16" eb="21">
      <t>グリム</t>
    </rPh>
    <rPh sb="21" eb="23">
      <t>ドウワ</t>
    </rPh>
    <phoneticPr fontId="1"/>
  </si>
  <si>
    <r>
      <rPr>
        <sz val="11"/>
        <rFont val="游ゴシック Medium"/>
        <family val="3"/>
        <charset val="128"/>
      </rPr>
      <t>ちくま文庫</t>
    </r>
    <rPh sb="3" eb="5">
      <t>ブンコ</t>
    </rPh>
    <phoneticPr fontId="1"/>
  </si>
  <si>
    <r>
      <rPr>
        <sz val="11"/>
        <rFont val="游ゴシック Medium"/>
        <family val="3"/>
        <charset val="128"/>
      </rPr>
      <t>解説</t>
    </r>
    <r>
      <rPr>
        <sz val="11"/>
        <rFont val="Consolas"/>
        <family val="3"/>
      </rPr>
      <t>:</t>
    </r>
    <r>
      <rPr>
        <sz val="11"/>
        <rFont val="游ゴシック Medium"/>
        <family val="3"/>
        <charset val="128"/>
      </rPr>
      <t>林</t>
    </r>
    <r>
      <rPr>
        <sz val="11"/>
        <rFont val="Consolas"/>
        <family val="3"/>
      </rPr>
      <t xml:space="preserve"> </t>
    </r>
    <r>
      <rPr>
        <sz val="11"/>
        <rFont val="游ゴシック Medium"/>
        <family val="3"/>
        <charset val="128"/>
      </rPr>
      <t>光</t>
    </r>
    <rPh sb="0" eb="2">
      <t>カイセツ</t>
    </rPh>
    <rPh sb="3" eb="4">
      <t>ハヤシ</t>
    </rPh>
    <rPh sb="5" eb="6">
      <t>ヒカル</t>
    </rPh>
    <phoneticPr fontId="1"/>
  </si>
  <si>
    <r>
      <rPr>
        <sz val="11"/>
        <rFont val="游ゴシック Medium"/>
        <family val="3"/>
        <charset val="128"/>
      </rPr>
      <t>蒲松齢</t>
    </r>
    <rPh sb="0" eb="3">
      <t>ホショウレイ</t>
    </rPh>
    <phoneticPr fontId="1"/>
  </si>
  <si>
    <r>
      <rPr>
        <sz val="11"/>
        <rFont val="游ゴシック Medium"/>
        <family val="3"/>
        <charset val="128"/>
      </rPr>
      <t>柴田天馬</t>
    </r>
    <rPh sb="0" eb="2">
      <t>シバタ</t>
    </rPh>
    <rPh sb="2" eb="4">
      <t>テンマ</t>
    </rPh>
    <phoneticPr fontId="1"/>
  </si>
  <si>
    <r>
      <rPr>
        <sz val="11"/>
        <rFont val="游ゴシック Medium"/>
        <family val="3"/>
        <charset val="128"/>
      </rPr>
      <t>聊斎志異</t>
    </r>
    <r>
      <rPr>
        <sz val="11"/>
        <rFont val="Consolas"/>
        <family val="3"/>
      </rPr>
      <t>/</t>
    </r>
    <r>
      <rPr>
        <sz val="11"/>
        <rFont val="游ゴシック Medium"/>
        <family val="3"/>
        <charset val="128"/>
      </rPr>
      <t>完訳</t>
    </r>
    <r>
      <rPr>
        <sz val="11"/>
        <rFont val="Consolas"/>
        <family val="3"/>
      </rPr>
      <t>/</t>
    </r>
    <r>
      <rPr>
        <sz val="11"/>
        <rFont val="游ゴシック Medium"/>
        <family val="3"/>
        <charset val="128"/>
      </rPr>
      <t>第一巻</t>
    </r>
    <rPh sb="0" eb="4">
      <t>リョウサイシイ</t>
    </rPh>
    <rPh sb="5" eb="7">
      <t>カンヤク</t>
    </rPh>
    <rPh sb="8" eb="9">
      <t>ダイ</t>
    </rPh>
    <rPh sb="9" eb="11">
      <t>イッカン</t>
    </rPh>
    <phoneticPr fontId="1"/>
  </si>
  <si>
    <r>
      <rPr>
        <sz val="11"/>
        <rFont val="游ゴシック Medium"/>
        <family val="3"/>
        <charset val="128"/>
      </rPr>
      <t>守屋陽一</t>
    </r>
    <rPh sb="0" eb="2">
      <t>モリヤ</t>
    </rPh>
    <rPh sb="2" eb="4">
      <t>ヨウイチ</t>
    </rPh>
    <phoneticPr fontId="1"/>
  </si>
  <si>
    <r>
      <rPr>
        <sz val="11"/>
        <rFont val="游ゴシック Medium"/>
        <family val="3"/>
        <charset val="128"/>
      </rPr>
      <t>オズの魔法使い</t>
    </r>
    <rPh sb="3" eb="6">
      <t>マホウツカ</t>
    </rPh>
    <phoneticPr fontId="1"/>
  </si>
  <si>
    <r>
      <rPr>
        <sz val="11"/>
        <rFont val="游ゴシック Medium"/>
        <family val="3"/>
        <charset val="128"/>
      </rPr>
      <t>ポプラポケット文庫</t>
    </r>
    <r>
      <rPr>
        <sz val="11"/>
        <rFont val="Consolas"/>
        <family val="3"/>
      </rPr>
      <t>403-1</t>
    </r>
    <rPh sb="7" eb="9">
      <t>ブンコ</t>
    </rPh>
    <phoneticPr fontId="1"/>
  </si>
  <si>
    <r>
      <rPr>
        <sz val="11"/>
        <rFont val="游ゴシック Medium"/>
        <family val="3"/>
        <charset val="128"/>
      </rPr>
      <t>青梅</t>
    </r>
    <rPh sb="0" eb="2">
      <t>アオウメ</t>
    </rPh>
    <phoneticPr fontId="1"/>
  </si>
  <si>
    <r>
      <rPr>
        <sz val="11"/>
        <rFont val="游ゴシック Medium"/>
        <family val="3"/>
        <charset val="128"/>
      </rPr>
      <t>集英社文庫</t>
    </r>
    <rPh sb="0" eb="5">
      <t>シュウエイシャブンコ</t>
    </rPh>
    <phoneticPr fontId="1"/>
  </si>
  <si>
    <r>
      <rPr>
        <sz val="11"/>
        <rFont val="游ゴシック Medium"/>
        <family val="3"/>
        <charset val="128"/>
      </rPr>
      <t>井上陽水</t>
    </r>
    <rPh sb="0" eb="2">
      <t>イノウエ</t>
    </rPh>
    <rPh sb="2" eb="4">
      <t>ヨウスイ</t>
    </rPh>
    <phoneticPr fontId="1"/>
  </si>
  <si>
    <r>
      <rPr>
        <sz val="11"/>
        <rFont val="游ゴシック Medium"/>
        <family val="3"/>
        <charset val="128"/>
      </rPr>
      <t>ラインダンス</t>
    </r>
    <phoneticPr fontId="1"/>
  </si>
  <si>
    <r>
      <rPr>
        <sz val="11"/>
        <rFont val="游ゴシック Medium"/>
        <family val="3"/>
        <charset val="128"/>
      </rPr>
      <t>三代目魚武</t>
    </r>
    <r>
      <rPr>
        <sz val="11"/>
        <rFont val="Consolas"/>
        <family val="3"/>
      </rPr>
      <t>/</t>
    </r>
    <r>
      <rPr>
        <sz val="11"/>
        <rFont val="游ゴシック Medium"/>
        <family val="3"/>
        <charset val="128"/>
      </rPr>
      <t>濱田成夫</t>
    </r>
    <rPh sb="0" eb="3">
      <t>サンダイメ</t>
    </rPh>
    <rPh sb="3" eb="5">
      <t>ウオタケ</t>
    </rPh>
    <rPh sb="6" eb="8">
      <t>ハマダ</t>
    </rPh>
    <rPh sb="8" eb="10">
      <t>シゲオ</t>
    </rPh>
    <phoneticPr fontId="1"/>
  </si>
  <si>
    <r>
      <rPr>
        <sz val="11"/>
        <rFont val="游ゴシック Medium"/>
        <family val="3"/>
        <charset val="128"/>
      </rPr>
      <t>自由になあれ</t>
    </r>
    <rPh sb="0" eb="2">
      <t>ジユウ</t>
    </rPh>
    <phoneticPr fontId="1"/>
  </si>
  <si>
    <r>
      <rPr>
        <sz val="11"/>
        <rFont val="游ゴシック Medium"/>
        <family val="3"/>
        <charset val="128"/>
      </rPr>
      <t>君が前の彼氏としたキスの回数なんて</t>
    </r>
    <r>
      <rPr>
        <sz val="11"/>
        <rFont val="Consolas"/>
        <family val="3"/>
      </rPr>
      <t>/</t>
    </r>
    <r>
      <rPr>
        <sz val="11"/>
        <rFont val="游ゴシック Medium"/>
        <family val="3"/>
        <charset val="128"/>
      </rPr>
      <t>俺が３日でぬいてやるぜ</t>
    </r>
    <rPh sb="0" eb="1">
      <t>キミ</t>
    </rPh>
    <rPh sb="2" eb="3">
      <t>マエ</t>
    </rPh>
    <rPh sb="4" eb="6">
      <t>カレシ</t>
    </rPh>
    <rPh sb="12" eb="14">
      <t>カイスウ</t>
    </rPh>
    <rPh sb="18" eb="19">
      <t>オレ</t>
    </rPh>
    <rPh sb="21" eb="22">
      <t>カ</t>
    </rPh>
    <phoneticPr fontId="1"/>
  </si>
  <si>
    <r>
      <rPr>
        <sz val="11"/>
        <rFont val="游ゴシック Medium"/>
        <family val="3"/>
        <charset val="128"/>
      </rPr>
      <t>おまえがこの世に５人いたとしても</t>
    </r>
    <r>
      <rPr>
        <sz val="11"/>
        <rFont val="Consolas"/>
        <family val="3"/>
      </rPr>
      <t>/</t>
    </r>
    <r>
      <rPr>
        <sz val="11"/>
        <rFont val="游ゴシック Medium"/>
        <family val="3"/>
        <charset val="128"/>
      </rPr>
      <t>５人ともこの俺様の女にしてみせる</t>
    </r>
    <rPh sb="6" eb="7">
      <t>ヨ</t>
    </rPh>
    <rPh sb="9" eb="10">
      <t>ニン</t>
    </rPh>
    <rPh sb="18" eb="19">
      <t>ニン</t>
    </rPh>
    <rPh sb="23" eb="24">
      <t>オレ</t>
    </rPh>
    <rPh sb="24" eb="25">
      <t>サマ</t>
    </rPh>
    <rPh sb="26" eb="27">
      <t>オンナ</t>
    </rPh>
    <phoneticPr fontId="1"/>
  </si>
  <si>
    <r>
      <rPr>
        <sz val="11"/>
        <rFont val="游ゴシック Medium"/>
        <family val="3"/>
        <charset val="128"/>
      </rPr>
      <t>高村光太郎</t>
    </r>
    <rPh sb="0" eb="2">
      <t>タカムラ</t>
    </rPh>
    <rPh sb="2" eb="5">
      <t>コウタロウ</t>
    </rPh>
    <phoneticPr fontId="1"/>
  </si>
  <si>
    <r>
      <rPr>
        <sz val="11"/>
        <rFont val="游ゴシック Medium"/>
        <family val="3"/>
        <charset val="128"/>
      </rPr>
      <t>草野心平</t>
    </r>
    <rPh sb="0" eb="2">
      <t>クサノ</t>
    </rPh>
    <rPh sb="2" eb="4">
      <t>シンペイ</t>
    </rPh>
    <phoneticPr fontId="1"/>
  </si>
  <si>
    <r>
      <rPr>
        <sz val="11"/>
        <rFont val="游ゴシック Medium"/>
        <family val="3"/>
        <charset val="128"/>
      </rPr>
      <t>高村光太郎詩集</t>
    </r>
    <rPh sb="0" eb="2">
      <t>タカムラ</t>
    </rPh>
    <rPh sb="2" eb="5">
      <t>コウタロウ</t>
    </rPh>
    <rPh sb="5" eb="7">
      <t>シシュウ</t>
    </rPh>
    <phoneticPr fontId="1"/>
  </si>
  <si>
    <r>
      <rPr>
        <sz val="11"/>
        <rFont val="游ゴシック Medium"/>
        <family val="3"/>
        <charset val="128"/>
      </rPr>
      <t>北原白秋</t>
    </r>
    <rPh sb="0" eb="2">
      <t>キタハラ</t>
    </rPh>
    <rPh sb="2" eb="4">
      <t>ハクシュウ</t>
    </rPh>
    <phoneticPr fontId="1"/>
  </si>
  <si>
    <r>
      <rPr>
        <sz val="11"/>
        <rFont val="游ゴシック Medium"/>
        <family val="3"/>
        <charset val="128"/>
      </rPr>
      <t>神西</t>
    </r>
    <r>
      <rPr>
        <sz val="11"/>
        <rFont val="Consolas"/>
        <family val="3"/>
      </rPr>
      <t xml:space="preserve"> </t>
    </r>
    <r>
      <rPr>
        <sz val="11"/>
        <rFont val="游ゴシック Medium"/>
        <family val="3"/>
        <charset val="128"/>
      </rPr>
      <t>清</t>
    </r>
    <rPh sb="0" eb="2">
      <t>ジンサイ</t>
    </rPh>
    <rPh sb="3" eb="4">
      <t>キヨシ</t>
    </rPh>
    <phoneticPr fontId="1"/>
  </si>
  <si>
    <r>
      <rPr>
        <sz val="11"/>
        <rFont val="游ゴシック Medium"/>
        <family val="3"/>
        <charset val="128"/>
      </rPr>
      <t>北原白秋詩集</t>
    </r>
    <rPh sb="0" eb="2">
      <t>キタハラ</t>
    </rPh>
    <rPh sb="2" eb="4">
      <t>ハクシュウ</t>
    </rPh>
    <rPh sb="4" eb="6">
      <t>シシュウ</t>
    </rPh>
    <phoneticPr fontId="1"/>
  </si>
  <si>
    <r>
      <rPr>
        <sz val="11"/>
        <rFont val="游ゴシック Medium"/>
        <family val="3"/>
        <charset val="128"/>
      </rPr>
      <t>立原道造</t>
    </r>
    <rPh sb="0" eb="2">
      <t>タチハラ</t>
    </rPh>
    <rPh sb="2" eb="4">
      <t>ミチゾウ</t>
    </rPh>
    <phoneticPr fontId="1"/>
  </si>
  <si>
    <r>
      <rPr>
        <sz val="11"/>
        <rFont val="游ゴシック Medium"/>
        <family val="3"/>
        <charset val="128"/>
      </rPr>
      <t>姫野カオルコ</t>
    </r>
    <rPh sb="0" eb="2">
      <t>ヒメノ</t>
    </rPh>
    <phoneticPr fontId="1"/>
  </si>
  <si>
    <r>
      <rPr>
        <sz val="11"/>
        <rFont val="游ゴシック Medium"/>
        <family val="3"/>
        <charset val="128"/>
      </rPr>
      <t>優しき歌</t>
    </r>
    <rPh sb="0" eb="1">
      <t>ヤサ</t>
    </rPh>
    <rPh sb="3" eb="4">
      <t>ウタ</t>
    </rPh>
    <phoneticPr fontId="1"/>
  </si>
  <si>
    <r>
      <rPr>
        <sz val="11"/>
        <rFont val="游ゴシック Medium"/>
        <family val="3"/>
        <charset val="128"/>
      </rPr>
      <t>絶版</t>
    </r>
    <rPh sb="0" eb="2">
      <t>ゼッパン</t>
    </rPh>
    <phoneticPr fontId="1"/>
  </si>
  <si>
    <r>
      <rPr>
        <sz val="11"/>
        <rFont val="游ゴシック Medium"/>
        <family val="3"/>
        <charset val="128"/>
      </rPr>
      <t>谷山浩子</t>
    </r>
    <rPh sb="0" eb="2">
      <t>タニヤマ</t>
    </rPh>
    <rPh sb="2" eb="4">
      <t>ヒロコ</t>
    </rPh>
    <phoneticPr fontId="1"/>
  </si>
  <si>
    <r>
      <rPr>
        <sz val="11"/>
        <rFont val="游ゴシック Medium"/>
        <family val="3"/>
        <charset val="128"/>
      </rPr>
      <t>ねこの森には帰れない</t>
    </r>
    <rPh sb="3" eb="4">
      <t>モリ</t>
    </rPh>
    <rPh sb="6" eb="7">
      <t>カエ</t>
    </rPh>
    <phoneticPr fontId="1"/>
  </si>
  <si>
    <r>
      <rPr>
        <sz val="11"/>
        <rFont val="游ゴシック Medium"/>
        <family val="3"/>
        <charset val="128"/>
      </rPr>
      <t>中原中也</t>
    </r>
    <rPh sb="0" eb="2">
      <t>ナカハラ</t>
    </rPh>
    <rPh sb="2" eb="4">
      <t>チュウヤ</t>
    </rPh>
    <phoneticPr fontId="1"/>
  </si>
  <si>
    <r>
      <rPr>
        <sz val="11"/>
        <rFont val="游ゴシック Medium"/>
        <family val="3"/>
        <charset val="128"/>
      </rPr>
      <t>吉田熈生</t>
    </r>
    <rPh sb="0" eb="2">
      <t>ヨシダ</t>
    </rPh>
    <rPh sb="2" eb="4">
      <t>ヒロオ</t>
    </rPh>
    <phoneticPr fontId="1"/>
  </si>
  <si>
    <r>
      <rPr>
        <sz val="11"/>
        <rFont val="游ゴシック Medium"/>
        <family val="3"/>
        <charset val="128"/>
      </rPr>
      <t>中原中也全詩歌集</t>
    </r>
    <rPh sb="0" eb="2">
      <t>ナカハラ</t>
    </rPh>
    <rPh sb="2" eb="4">
      <t>チュウヤ</t>
    </rPh>
    <rPh sb="4" eb="5">
      <t>ゼン</t>
    </rPh>
    <rPh sb="5" eb="7">
      <t>シイカ</t>
    </rPh>
    <rPh sb="7" eb="8">
      <t>シュウ</t>
    </rPh>
    <phoneticPr fontId="1"/>
  </si>
  <si>
    <r>
      <rPr>
        <sz val="11"/>
        <rFont val="游ゴシック Medium"/>
        <family val="3"/>
        <charset val="128"/>
      </rPr>
      <t>講談社文芸文庫</t>
    </r>
    <rPh sb="0" eb="7">
      <t>コウダンシャブンゲイブンコ</t>
    </rPh>
    <phoneticPr fontId="1"/>
  </si>
  <si>
    <r>
      <rPr>
        <sz val="11"/>
        <rFont val="游ゴシック Medium"/>
        <family val="3"/>
        <charset val="128"/>
      </rPr>
      <t>村野四郎</t>
    </r>
    <rPh sb="0" eb="2">
      <t>ムラノ</t>
    </rPh>
    <rPh sb="2" eb="4">
      <t>シロウ</t>
    </rPh>
    <phoneticPr fontId="1"/>
  </si>
  <si>
    <r>
      <rPr>
        <sz val="11"/>
        <rFont val="游ゴシック Medium"/>
        <family val="3"/>
        <charset val="128"/>
      </rPr>
      <t>西脇順三郎詩集</t>
    </r>
    <rPh sb="0" eb="2">
      <t>ニシワキ</t>
    </rPh>
    <rPh sb="2" eb="5">
      <t>ジュンザブロウ</t>
    </rPh>
    <rPh sb="5" eb="7">
      <t>シシュウ</t>
    </rPh>
    <phoneticPr fontId="1"/>
  </si>
  <si>
    <r>
      <rPr>
        <sz val="11"/>
        <rFont val="游ゴシック Medium"/>
        <family val="3"/>
        <charset val="128"/>
      </rPr>
      <t>かげろふの日記</t>
    </r>
    <r>
      <rPr>
        <sz val="11"/>
        <rFont val="Consolas"/>
        <family val="3"/>
      </rPr>
      <t>/</t>
    </r>
    <r>
      <rPr>
        <sz val="11"/>
        <rFont val="游ゴシック Medium"/>
        <family val="3"/>
        <charset val="128"/>
      </rPr>
      <t>曠野</t>
    </r>
    <rPh sb="5" eb="7">
      <t>ニッキ</t>
    </rPh>
    <rPh sb="8" eb="10">
      <t>アラノ</t>
    </rPh>
    <phoneticPr fontId="1"/>
  </si>
  <si>
    <r>
      <rPr>
        <sz val="11"/>
        <rFont val="游ゴシック Medium"/>
        <family val="3"/>
        <charset val="128"/>
      </rPr>
      <t>幼年時代</t>
    </r>
    <r>
      <rPr>
        <sz val="11"/>
        <rFont val="Consolas"/>
        <family val="3"/>
      </rPr>
      <t>/</t>
    </r>
    <r>
      <rPr>
        <sz val="11"/>
        <rFont val="游ゴシック Medium"/>
        <family val="3"/>
        <charset val="128"/>
      </rPr>
      <t>晩夏</t>
    </r>
    <rPh sb="0" eb="2">
      <t>ヨウネン</t>
    </rPh>
    <rPh sb="2" eb="4">
      <t>ジダイ</t>
    </rPh>
    <rPh sb="5" eb="7">
      <t>バンカ</t>
    </rPh>
    <phoneticPr fontId="1"/>
  </si>
  <si>
    <r>
      <rPr>
        <sz val="11"/>
        <rFont val="游ゴシック Medium"/>
        <family val="3"/>
        <charset val="128"/>
      </rPr>
      <t>燃ゆる頬</t>
    </r>
    <r>
      <rPr>
        <sz val="11"/>
        <rFont val="Consolas"/>
        <family val="3"/>
      </rPr>
      <t>/</t>
    </r>
    <r>
      <rPr>
        <sz val="11"/>
        <rFont val="游ゴシック Medium"/>
        <family val="3"/>
        <charset val="128"/>
      </rPr>
      <t>聖家族</t>
    </r>
    <rPh sb="0" eb="3">
      <t>モユル</t>
    </rPh>
    <rPh sb="3" eb="4">
      <t>ホホ</t>
    </rPh>
    <rPh sb="5" eb="6">
      <t>セイ</t>
    </rPh>
    <rPh sb="6" eb="8">
      <t>カゾク</t>
    </rPh>
    <phoneticPr fontId="1"/>
  </si>
  <si>
    <r>
      <rPr>
        <sz val="11"/>
        <rFont val="游ゴシック Medium"/>
        <family val="3"/>
        <charset val="128"/>
      </rPr>
      <t>堀</t>
    </r>
    <r>
      <rPr>
        <sz val="11"/>
        <rFont val="Consolas"/>
        <family val="3"/>
      </rPr>
      <t xml:space="preserve"> </t>
    </r>
    <r>
      <rPr>
        <sz val="11"/>
        <rFont val="游ゴシック Medium"/>
        <family val="3"/>
        <charset val="128"/>
      </rPr>
      <t>多恵子</t>
    </r>
    <rPh sb="0" eb="1">
      <t>ホリ</t>
    </rPh>
    <rPh sb="2" eb="5">
      <t>タエコ</t>
    </rPh>
    <phoneticPr fontId="1"/>
  </si>
  <si>
    <r>
      <rPr>
        <sz val="11"/>
        <rFont val="游ゴシック Medium"/>
        <family val="3"/>
        <charset val="128"/>
      </rPr>
      <t>妻への手紙</t>
    </r>
    <rPh sb="0" eb="1">
      <t>ツマ</t>
    </rPh>
    <rPh sb="3" eb="5">
      <t>テガミ</t>
    </rPh>
    <phoneticPr fontId="1"/>
  </si>
  <si>
    <r>
      <rPr>
        <sz val="11"/>
        <rFont val="游ゴシック Medium"/>
        <family val="3"/>
        <charset val="128"/>
      </rPr>
      <t>小川和佑</t>
    </r>
    <rPh sb="0" eb="2">
      <t>オガワ</t>
    </rPh>
    <rPh sb="2" eb="3">
      <t>カズスケ</t>
    </rPh>
    <rPh sb="3" eb="4">
      <t>スケ</t>
    </rPh>
    <phoneticPr fontId="1"/>
  </si>
  <si>
    <r>
      <rPr>
        <sz val="11"/>
        <rFont val="游ゴシック Medium"/>
        <family val="3"/>
        <charset val="128"/>
      </rPr>
      <t>堀</t>
    </r>
    <r>
      <rPr>
        <sz val="11"/>
        <rFont val="Consolas"/>
        <family val="3"/>
      </rPr>
      <t xml:space="preserve"> </t>
    </r>
    <r>
      <rPr>
        <sz val="11"/>
        <rFont val="游ゴシック Medium"/>
        <family val="3"/>
        <charset val="128"/>
      </rPr>
      <t>辰雄</t>
    </r>
    <r>
      <rPr>
        <sz val="11"/>
        <rFont val="Consolas"/>
        <family val="3"/>
      </rPr>
      <t xml:space="preserve"> </t>
    </r>
    <r>
      <rPr>
        <sz val="11"/>
        <rFont val="游ゴシック Medium"/>
        <family val="3"/>
        <charset val="128"/>
      </rPr>
      <t>その愛と詩</t>
    </r>
    <rPh sb="0" eb="4">
      <t>ホリタツオ</t>
    </rPh>
    <rPh sb="7" eb="8">
      <t>アイ</t>
    </rPh>
    <rPh sb="9" eb="10">
      <t>シ</t>
    </rPh>
    <phoneticPr fontId="1"/>
  </si>
  <si>
    <r>
      <rPr>
        <sz val="11"/>
        <rFont val="游ゴシック Medium"/>
        <family val="3"/>
        <charset val="128"/>
      </rPr>
      <t>旺文社文庫</t>
    </r>
    <rPh sb="0" eb="5">
      <t>オウブンシャブンコ</t>
    </rPh>
    <phoneticPr fontId="1"/>
  </si>
  <si>
    <r>
      <rPr>
        <sz val="11"/>
        <rFont val="游ゴシック Medium"/>
        <family val="3"/>
        <charset val="128"/>
      </rPr>
      <t>杉山春生</t>
    </r>
    <rPh sb="0" eb="2">
      <t>スギヤマ</t>
    </rPh>
    <rPh sb="2" eb="4">
      <t>ハルオ</t>
    </rPh>
    <phoneticPr fontId="1"/>
  </si>
  <si>
    <r>
      <rPr>
        <sz val="11"/>
        <rFont val="游ゴシック Medium"/>
        <family val="3"/>
        <charset val="128"/>
      </rPr>
      <t>村野四郎詩集</t>
    </r>
    <rPh sb="0" eb="2">
      <t>ムラノ</t>
    </rPh>
    <rPh sb="2" eb="4">
      <t>シロウ</t>
    </rPh>
    <rPh sb="4" eb="6">
      <t>シシュウ</t>
    </rPh>
    <phoneticPr fontId="1"/>
  </si>
  <si>
    <r>
      <rPr>
        <sz val="11"/>
        <rFont val="游ゴシック Medium"/>
        <family val="3"/>
        <charset val="128"/>
      </rPr>
      <t>宮沢賢治</t>
    </r>
    <rPh sb="0" eb="2">
      <t>ミヤザワ</t>
    </rPh>
    <rPh sb="2" eb="4">
      <t>ケンジ</t>
    </rPh>
    <phoneticPr fontId="1"/>
  </si>
  <si>
    <r>
      <rPr>
        <sz val="11"/>
        <rFont val="游ゴシック Medium"/>
        <family val="3"/>
        <charset val="128"/>
      </rPr>
      <t>草野心平</t>
    </r>
    <rPh sb="0" eb="4">
      <t>クサノシンペイ</t>
    </rPh>
    <phoneticPr fontId="1"/>
  </si>
  <si>
    <r>
      <rPr>
        <sz val="11"/>
        <rFont val="游ゴシック Medium"/>
        <family val="3"/>
        <charset val="128"/>
      </rPr>
      <t>宮沢賢治詩集</t>
    </r>
    <rPh sb="0" eb="2">
      <t>ミヤザワ</t>
    </rPh>
    <rPh sb="2" eb="4">
      <t>ケンジ</t>
    </rPh>
    <rPh sb="4" eb="6">
      <t>シシュウ</t>
    </rPh>
    <phoneticPr fontId="1"/>
  </si>
  <si>
    <r>
      <rPr>
        <sz val="11"/>
        <rFont val="游ゴシック Medium"/>
        <family val="3"/>
        <charset val="128"/>
      </rPr>
      <t>風の又三郎</t>
    </r>
    <rPh sb="0" eb="1">
      <t>カゼ</t>
    </rPh>
    <rPh sb="2" eb="5">
      <t>マタサブロウ</t>
    </rPh>
    <phoneticPr fontId="1"/>
  </si>
  <si>
    <r>
      <t>Moonriders</t>
    </r>
    <r>
      <rPr>
        <sz val="11"/>
        <rFont val="游ゴシック Medium"/>
        <family val="3"/>
        <charset val="128"/>
      </rPr>
      <t>詩集</t>
    </r>
    <rPh sb="0" eb="10">
      <t>ムーンライダーズ</t>
    </rPh>
    <rPh sb="10" eb="12">
      <t>シシュウ</t>
    </rPh>
    <phoneticPr fontId="1"/>
  </si>
  <si>
    <r>
      <rPr>
        <sz val="11"/>
        <rFont val="游ゴシック Medium"/>
        <family val="3"/>
        <charset val="128"/>
      </rPr>
      <t>八木重吉</t>
    </r>
    <rPh sb="0" eb="2">
      <t>ヤギ</t>
    </rPh>
    <rPh sb="2" eb="4">
      <t>ジュウキチ</t>
    </rPh>
    <phoneticPr fontId="1"/>
  </si>
  <si>
    <r>
      <rPr>
        <sz val="11"/>
        <rFont val="游ゴシック Medium"/>
        <family val="3"/>
        <charset val="128"/>
      </rPr>
      <t>郷原</t>
    </r>
    <r>
      <rPr>
        <sz val="11"/>
        <rFont val="Consolas"/>
        <family val="3"/>
      </rPr>
      <t xml:space="preserve"> </t>
    </r>
    <r>
      <rPr>
        <sz val="11"/>
        <rFont val="游ゴシック Medium"/>
        <family val="3"/>
        <charset val="128"/>
      </rPr>
      <t>宏</t>
    </r>
    <rPh sb="0" eb="2">
      <t>ゴウハラ</t>
    </rPh>
    <rPh sb="3" eb="4">
      <t>ヒロシ</t>
    </rPh>
    <phoneticPr fontId="1"/>
  </si>
  <si>
    <r>
      <rPr>
        <sz val="11"/>
        <rFont val="游ゴシック Medium"/>
        <family val="3"/>
        <charset val="128"/>
      </rPr>
      <t>八木重吉詩集</t>
    </r>
    <rPh sb="0" eb="2">
      <t>ヤギ</t>
    </rPh>
    <rPh sb="2" eb="4">
      <t>ジュウキチ</t>
    </rPh>
    <rPh sb="4" eb="6">
      <t>シシュウ</t>
    </rPh>
    <phoneticPr fontId="1"/>
  </si>
  <si>
    <r>
      <rPr>
        <sz val="11"/>
        <rFont val="游ゴシック Medium"/>
        <family val="3"/>
        <charset val="128"/>
      </rPr>
      <t>與謝野晶子</t>
    </r>
    <rPh sb="0" eb="3">
      <t>ヨサノ</t>
    </rPh>
    <rPh sb="3" eb="5">
      <t>アキコ</t>
    </rPh>
    <phoneticPr fontId="1"/>
  </si>
  <si>
    <r>
      <rPr>
        <sz val="11"/>
        <rFont val="游ゴシック Medium"/>
        <family val="3"/>
        <charset val="128"/>
      </rPr>
      <t>みだれ髪</t>
    </r>
    <r>
      <rPr>
        <sz val="11"/>
        <rFont val="Consolas"/>
        <family val="3"/>
      </rPr>
      <t>/</t>
    </r>
    <r>
      <rPr>
        <sz val="11"/>
        <rFont val="游ゴシック Medium"/>
        <family val="3"/>
        <charset val="128"/>
      </rPr>
      <t>付</t>
    </r>
    <r>
      <rPr>
        <sz val="11"/>
        <rFont val="Consolas"/>
        <family val="3"/>
      </rPr>
      <t xml:space="preserve"> </t>
    </r>
    <r>
      <rPr>
        <sz val="11"/>
        <rFont val="游ゴシック Medium"/>
        <family val="3"/>
        <charset val="128"/>
      </rPr>
      <t>みだれ髪拾遺</t>
    </r>
    <rPh sb="3" eb="4">
      <t>ガミ</t>
    </rPh>
    <rPh sb="5" eb="6">
      <t>フロク</t>
    </rPh>
    <rPh sb="10" eb="11">
      <t>ガミ</t>
    </rPh>
    <rPh sb="11" eb="13">
      <t>シュウイ</t>
    </rPh>
    <phoneticPr fontId="1"/>
  </si>
  <si>
    <r>
      <rPr>
        <b/>
        <sz val="11"/>
        <color indexed="33"/>
        <rFont val="游ゴシック Medium"/>
        <family val="3"/>
        <charset val="128"/>
      </rPr>
      <t>中野重治・小野十三郎・高橋新吉・山之内貘</t>
    </r>
    <rPh sb="0" eb="2">
      <t>ナカノ</t>
    </rPh>
    <rPh sb="2" eb="4">
      <t>シゲハル</t>
    </rPh>
    <rPh sb="5" eb="7">
      <t>オノ</t>
    </rPh>
    <rPh sb="7" eb="10">
      <t>トオサブロウ</t>
    </rPh>
    <rPh sb="11" eb="13">
      <t>タカハシ</t>
    </rPh>
    <rPh sb="13" eb="15">
      <t>シンキチ</t>
    </rPh>
    <rPh sb="16" eb="19">
      <t>ヤマノウチ</t>
    </rPh>
    <rPh sb="19" eb="20">
      <t>バク</t>
    </rPh>
    <phoneticPr fontId="1"/>
  </si>
  <si>
    <r>
      <rPr>
        <b/>
        <sz val="11"/>
        <color indexed="33"/>
        <rFont val="游ゴシック Medium"/>
        <family val="3"/>
        <charset val="128"/>
      </rPr>
      <t>日本の詩歌</t>
    </r>
    <r>
      <rPr>
        <b/>
        <sz val="11"/>
        <color indexed="33"/>
        <rFont val="Consolas"/>
        <family val="3"/>
      </rPr>
      <t>20</t>
    </r>
    <r>
      <rPr>
        <b/>
        <sz val="11"/>
        <color indexed="33"/>
        <rFont val="游ゴシック Medium"/>
        <family val="3"/>
        <charset val="128"/>
      </rPr>
      <t>・中野重治・小野十三郎・高橋新吉・山之内貘</t>
    </r>
    <rPh sb="0" eb="2">
      <t>ニホン</t>
    </rPh>
    <rPh sb="3" eb="5">
      <t>シイカ</t>
    </rPh>
    <rPh sb="8" eb="10">
      <t>ナカノ</t>
    </rPh>
    <rPh sb="10" eb="12">
      <t>シゲハル</t>
    </rPh>
    <rPh sb="13" eb="15">
      <t>オノ</t>
    </rPh>
    <rPh sb="15" eb="18">
      <t>トオサブロウ</t>
    </rPh>
    <rPh sb="19" eb="21">
      <t>タカハシ</t>
    </rPh>
    <rPh sb="21" eb="23">
      <t>シンキチ</t>
    </rPh>
    <rPh sb="24" eb="27">
      <t>ヤマノウチ</t>
    </rPh>
    <rPh sb="27" eb="28">
      <t>バク</t>
    </rPh>
    <phoneticPr fontId="1"/>
  </si>
  <si>
    <r>
      <rPr>
        <sz val="11"/>
        <rFont val="游ゴシック Medium"/>
        <family val="3"/>
        <charset val="128"/>
      </rPr>
      <t>日本の詩歌</t>
    </r>
    <r>
      <rPr>
        <sz val="11"/>
        <rFont val="Consolas"/>
        <family val="3"/>
      </rPr>
      <t>20</t>
    </r>
    <rPh sb="0" eb="2">
      <t>ニホン</t>
    </rPh>
    <rPh sb="3" eb="5">
      <t>シイカ</t>
    </rPh>
    <phoneticPr fontId="1"/>
  </si>
  <si>
    <r>
      <t>ancient/ethnic</t>
    </r>
    <r>
      <rPr>
        <sz val="11"/>
        <rFont val="游ゴシック Medium"/>
        <family val="3"/>
        <charset val="128"/>
      </rPr>
      <t>詩</t>
    </r>
    <rPh sb="14" eb="15">
      <t>シ</t>
    </rPh>
    <phoneticPr fontId="1"/>
  </si>
  <si>
    <r>
      <rPr>
        <sz val="11"/>
        <rFont val="游ゴシック Medium"/>
        <family val="3"/>
        <charset val="128"/>
      </rPr>
      <t>小川亮作</t>
    </r>
    <rPh sb="0" eb="2">
      <t>オガワ</t>
    </rPh>
    <rPh sb="2" eb="4">
      <t>リョウサク</t>
    </rPh>
    <phoneticPr fontId="1"/>
  </si>
  <si>
    <r>
      <rPr>
        <sz val="11"/>
        <rFont val="游ゴシック Medium"/>
        <family val="3"/>
        <charset val="128"/>
      </rPr>
      <t>堀口大學</t>
    </r>
    <rPh sb="0" eb="2">
      <t>ホリグチ</t>
    </rPh>
    <rPh sb="2" eb="4">
      <t>ダイガク</t>
    </rPh>
    <phoneticPr fontId="1"/>
  </si>
  <si>
    <r>
      <t>Apollinaire</t>
    </r>
    <r>
      <rPr>
        <sz val="11"/>
        <rFont val="游ゴシック Medium"/>
        <family val="3"/>
        <charset val="128"/>
      </rPr>
      <t>詩集</t>
    </r>
    <rPh sb="0" eb="11">
      <t>アポリネール</t>
    </rPh>
    <rPh sb="11" eb="13">
      <t>シシュウ</t>
    </rPh>
    <phoneticPr fontId="1"/>
  </si>
  <si>
    <r>
      <rPr>
        <sz val="11"/>
        <rFont val="游ゴシック Medium"/>
        <family val="3"/>
        <charset val="128"/>
      </rPr>
      <t>鈴木</t>
    </r>
    <r>
      <rPr>
        <sz val="11"/>
        <rFont val="Consolas"/>
        <family val="3"/>
      </rPr>
      <t xml:space="preserve"> </t>
    </r>
    <r>
      <rPr>
        <sz val="11"/>
        <rFont val="游ゴシック Medium"/>
        <family val="3"/>
        <charset val="128"/>
      </rPr>
      <t>豊</t>
    </r>
    <rPh sb="0" eb="2">
      <t>スズキ</t>
    </rPh>
    <rPh sb="3" eb="4">
      <t>ユタカ</t>
    </rPh>
    <phoneticPr fontId="1"/>
  </si>
  <si>
    <r>
      <rPr>
        <sz val="11"/>
        <rFont val="游ゴシック Medium"/>
        <family val="3"/>
        <charset val="128"/>
      </rPr>
      <t>異端教祖株式会社</t>
    </r>
    <rPh sb="0" eb="2">
      <t>イタン</t>
    </rPh>
    <rPh sb="2" eb="4">
      <t>キョウソ</t>
    </rPh>
    <rPh sb="4" eb="8">
      <t>カブシキガイシャ</t>
    </rPh>
    <phoneticPr fontId="1"/>
  </si>
  <si>
    <r>
      <t>subculture/</t>
    </r>
    <r>
      <rPr>
        <sz val="11"/>
        <rFont val="游ゴシック Medium"/>
        <family val="3"/>
        <charset val="128"/>
      </rPr>
      <t>詩</t>
    </r>
    <rPh sb="11" eb="12">
      <t>シ</t>
    </rPh>
    <phoneticPr fontId="1"/>
  </si>
  <si>
    <r>
      <rPr>
        <sz val="11"/>
        <rFont val="游ゴシック Medium"/>
        <family val="3"/>
        <charset val="128"/>
      </rPr>
      <t>一万一千の鞭</t>
    </r>
    <r>
      <rPr>
        <sz val="11"/>
        <rFont val="Consolas"/>
        <family val="3"/>
      </rPr>
      <t>/Les Onze Mille Verges</t>
    </r>
    <rPh sb="0" eb="4">
      <t>イチマンイッセン</t>
    </rPh>
    <rPh sb="5" eb="6">
      <t>ムチ</t>
    </rPh>
    <phoneticPr fontId="1"/>
  </si>
  <si>
    <r>
      <rPr>
        <sz val="11"/>
        <rFont val="游ゴシック Medium"/>
        <family val="3"/>
        <charset val="128"/>
      </rPr>
      <t>東郷青児</t>
    </r>
    <rPh sb="0" eb="2">
      <t>トウゴウ</t>
    </rPh>
    <rPh sb="2" eb="4">
      <t>セイジ</t>
    </rPh>
    <phoneticPr fontId="1"/>
  </si>
  <si>
    <r>
      <rPr>
        <sz val="11"/>
        <rFont val="游ゴシック Medium"/>
        <family val="3"/>
        <charset val="128"/>
      </rPr>
      <t>恐るべき子供たち</t>
    </r>
    <r>
      <rPr>
        <sz val="11"/>
        <rFont val="Consolas"/>
        <family val="3"/>
      </rPr>
      <t>/Les Enfants Terribles</t>
    </r>
    <rPh sb="0" eb="1">
      <t>オソ</t>
    </rPh>
    <rPh sb="4" eb="6">
      <t>コドモ</t>
    </rPh>
    <phoneticPr fontId="1"/>
  </si>
  <si>
    <r>
      <t>Cocteau</t>
    </r>
    <r>
      <rPr>
        <sz val="11"/>
        <rFont val="游ゴシック Medium"/>
        <family val="3"/>
        <charset val="128"/>
      </rPr>
      <t>詩集</t>
    </r>
    <rPh sb="0" eb="7">
      <t>コクトー</t>
    </rPh>
    <rPh sb="7" eb="9">
      <t>シシュウ</t>
    </rPh>
    <phoneticPr fontId="1"/>
  </si>
  <si>
    <r>
      <t>Sandburg,</t>
    </r>
    <r>
      <rPr>
        <sz val="11"/>
        <rFont val="游ゴシック Medium"/>
        <family val="3"/>
        <charset val="128"/>
      </rPr>
      <t>カール</t>
    </r>
    <rPh sb="0" eb="8">
      <t>サンドバーグ</t>
    </rPh>
    <phoneticPr fontId="1"/>
  </si>
  <si>
    <r>
      <rPr>
        <sz val="11"/>
        <rFont val="游ゴシック Medium"/>
        <family val="3"/>
        <charset val="128"/>
      </rPr>
      <t>安藤一郎</t>
    </r>
    <r>
      <rPr>
        <sz val="11"/>
        <rFont val="Consolas"/>
        <family val="3"/>
      </rPr>
      <t>/</t>
    </r>
    <r>
      <rPr>
        <sz val="11"/>
        <rFont val="游ゴシック Medium"/>
        <family val="3"/>
        <charset val="128"/>
      </rPr>
      <t>河野一郎</t>
    </r>
    <rPh sb="0" eb="2">
      <t>アンドウ</t>
    </rPh>
    <rPh sb="2" eb="4">
      <t>イチロウ</t>
    </rPh>
    <rPh sb="5" eb="7">
      <t>コウノ</t>
    </rPh>
    <rPh sb="7" eb="9">
      <t>イチロウ</t>
    </rPh>
    <phoneticPr fontId="1"/>
  </si>
  <si>
    <r>
      <t>Sandburg</t>
    </r>
    <r>
      <rPr>
        <sz val="11"/>
        <rFont val="游ゴシック Medium"/>
        <family val="3"/>
        <charset val="128"/>
      </rPr>
      <t>詩集</t>
    </r>
    <rPh sb="0" eb="8">
      <t>サンドバーグ</t>
    </rPh>
    <rPh sb="8" eb="10">
      <t>シシュウ</t>
    </rPh>
    <phoneticPr fontId="1"/>
  </si>
  <si>
    <r>
      <rPr>
        <sz val="11"/>
        <rFont val="游ゴシック Medium"/>
        <family val="3"/>
        <charset val="128"/>
      </rPr>
      <t>上田和夫</t>
    </r>
    <rPh sb="0" eb="2">
      <t>ウエダ</t>
    </rPh>
    <rPh sb="2" eb="4">
      <t>カズオ</t>
    </rPh>
    <phoneticPr fontId="1"/>
  </si>
  <si>
    <r>
      <t>Shelley</t>
    </r>
    <r>
      <rPr>
        <sz val="11"/>
        <rFont val="游ゴシック Medium"/>
        <family val="3"/>
        <charset val="128"/>
      </rPr>
      <t>詩集</t>
    </r>
    <rPh sb="0" eb="7">
      <t>シェリー</t>
    </rPh>
    <rPh sb="7" eb="9">
      <t>シシュウ</t>
    </rPh>
    <phoneticPr fontId="1"/>
  </si>
  <si>
    <r>
      <t>Jammes</t>
    </r>
    <r>
      <rPr>
        <sz val="11"/>
        <rFont val="游ゴシック Medium"/>
        <family val="3"/>
        <charset val="128"/>
      </rPr>
      <t>詩集</t>
    </r>
    <rPh sb="0" eb="6">
      <t>ジャム</t>
    </rPh>
    <rPh sb="6" eb="8">
      <t>シシュウ</t>
    </rPh>
    <phoneticPr fontId="1"/>
  </si>
  <si>
    <r>
      <rPr>
        <sz val="11"/>
        <rFont val="游ゴシック Medium"/>
        <family val="3"/>
        <charset val="128"/>
      </rPr>
      <t>妖精詩集</t>
    </r>
    <r>
      <rPr>
        <sz val="11"/>
        <rFont val="Consolas"/>
        <family val="3"/>
      </rPr>
      <t>/Down-Adown-Derry</t>
    </r>
    <rPh sb="0" eb="2">
      <t>ヨウセイ</t>
    </rPh>
    <rPh sb="2" eb="4">
      <t>シシュウ</t>
    </rPh>
    <phoneticPr fontId="1"/>
  </si>
  <si>
    <r>
      <rPr>
        <sz val="11"/>
        <rFont val="游ゴシック Medium"/>
        <family val="3"/>
        <charset val="128"/>
      </rPr>
      <t>ちくま文庫</t>
    </r>
    <r>
      <rPr>
        <sz val="11"/>
        <rFont val="Consolas"/>
        <family val="3"/>
      </rPr>
      <t>/</t>
    </r>
    <r>
      <rPr>
        <sz val="11"/>
        <rFont val="游ゴシック Medium"/>
        <family val="3"/>
        <charset val="128"/>
      </rPr>
      <t>筑摩書房</t>
    </r>
    <rPh sb="3" eb="5">
      <t>ブンコ</t>
    </rPh>
    <rPh sb="6" eb="8">
      <t>チクマ</t>
    </rPh>
    <rPh sb="8" eb="10">
      <t>ショボウ</t>
    </rPh>
    <phoneticPr fontId="1"/>
  </si>
  <si>
    <r>
      <rPr>
        <sz val="11"/>
        <rFont val="游ゴシック Medium"/>
        <family val="3"/>
        <charset val="128"/>
      </rPr>
      <t>片山敏彦</t>
    </r>
    <rPh sb="0" eb="2">
      <t>カタヤマ</t>
    </rPh>
    <rPh sb="2" eb="4">
      <t>トシヒコ</t>
    </rPh>
    <phoneticPr fontId="1"/>
  </si>
  <si>
    <r>
      <rPr>
        <sz val="11"/>
        <rFont val="游ゴシック Medium"/>
        <family val="3"/>
        <charset val="128"/>
      </rPr>
      <t>阿部知二</t>
    </r>
    <rPh sb="0" eb="2">
      <t>アベ</t>
    </rPh>
    <rPh sb="2" eb="4">
      <t>トモジ</t>
    </rPh>
    <phoneticPr fontId="1"/>
  </si>
  <si>
    <r>
      <t>Byron</t>
    </r>
    <r>
      <rPr>
        <sz val="11"/>
        <rFont val="游ゴシック Medium"/>
        <family val="3"/>
        <charset val="128"/>
      </rPr>
      <t>詩集</t>
    </r>
    <rPh sb="0" eb="5">
      <t>バイロン</t>
    </rPh>
    <rPh sb="5" eb="7">
      <t>シシュウ</t>
    </rPh>
    <phoneticPr fontId="1"/>
  </si>
  <si>
    <r>
      <t>Verlaine</t>
    </r>
    <r>
      <rPr>
        <sz val="11"/>
        <rFont val="游ゴシック Medium"/>
        <family val="3"/>
        <charset val="128"/>
      </rPr>
      <t>詩集</t>
    </r>
    <rPh sb="0" eb="8">
      <t>ヴェルレーヌ</t>
    </rPh>
    <rPh sb="8" eb="10">
      <t>シシュウ</t>
    </rPh>
    <phoneticPr fontId="1"/>
  </si>
  <si>
    <r>
      <rPr>
        <sz val="11"/>
        <rFont val="游ゴシック Medium"/>
        <family val="3"/>
        <charset val="128"/>
      </rPr>
      <t>植村敏夫</t>
    </r>
    <rPh sb="0" eb="2">
      <t>ウエムラ</t>
    </rPh>
    <rPh sb="2" eb="4">
      <t>トシオ</t>
    </rPh>
    <phoneticPr fontId="1"/>
  </si>
  <si>
    <r>
      <t>Hesse</t>
    </r>
    <r>
      <rPr>
        <sz val="11"/>
        <rFont val="游ゴシック Medium"/>
        <family val="3"/>
        <charset val="128"/>
      </rPr>
      <t>詩集</t>
    </r>
    <rPh sb="0" eb="5">
      <t>ヘッセ</t>
    </rPh>
    <rPh sb="5" eb="7">
      <t>シシュウ</t>
    </rPh>
    <phoneticPr fontId="1"/>
  </si>
  <si>
    <r>
      <rPr>
        <sz val="11"/>
        <rFont val="游ゴシック Medium"/>
        <family val="3"/>
        <charset val="128"/>
      </rPr>
      <t>阿部</t>
    </r>
    <r>
      <rPr>
        <sz val="11"/>
        <rFont val="Consolas"/>
        <family val="3"/>
      </rPr>
      <t xml:space="preserve"> </t>
    </r>
    <r>
      <rPr>
        <sz val="11"/>
        <rFont val="游ゴシック Medium"/>
        <family val="3"/>
        <charset val="128"/>
      </rPr>
      <t>保</t>
    </r>
    <rPh sb="0" eb="2">
      <t>アベ</t>
    </rPh>
    <rPh sb="3" eb="4">
      <t>タモツ</t>
    </rPh>
    <phoneticPr fontId="1"/>
  </si>
  <si>
    <r>
      <t>Poe</t>
    </r>
    <r>
      <rPr>
        <sz val="11"/>
        <rFont val="游ゴシック Medium"/>
        <family val="3"/>
        <charset val="128"/>
      </rPr>
      <t>詩集</t>
    </r>
    <rPh sb="0" eb="3">
      <t>ポオ</t>
    </rPh>
    <rPh sb="3" eb="5">
      <t>シシュウ</t>
    </rPh>
    <phoneticPr fontId="1"/>
  </si>
  <si>
    <r>
      <rPr>
        <sz val="11"/>
        <rFont val="游ゴシック Medium"/>
        <family val="3"/>
        <charset val="128"/>
      </rPr>
      <t>悪の華</t>
    </r>
    <r>
      <rPr>
        <sz val="11"/>
        <rFont val="Consolas"/>
        <family val="3"/>
      </rPr>
      <t>/Les Fleurs du Mal</t>
    </r>
    <rPh sb="0" eb="1">
      <t>アク</t>
    </rPh>
    <rPh sb="2" eb="3">
      <t>ハナ</t>
    </rPh>
    <phoneticPr fontId="1"/>
  </si>
  <si>
    <r>
      <rPr>
        <sz val="11"/>
        <rFont val="游ゴシック Medium"/>
        <family val="3"/>
        <charset val="128"/>
      </rPr>
      <t>三好達治</t>
    </r>
    <rPh sb="0" eb="2">
      <t>ミヨシ</t>
    </rPh>
    <rPh sb="2" eb="4">
      <t>タツジ</t>
    </rPh>
    <phoneticPr fontId="1"/>
  </si>
  <si>
    <r>
      <rPr>
        <sz val="11"/>
        <rFont val="游ゴシック Medium"/>
        <family val="3"/>
        <charset val="128"/>
      </rPr>
      <t>巴里の憂鬱</t>
    </r>
    <r>
      <rPr>
        <sz val="11"/>
        <rFont val="Consolas"/>
        <family val="3"/>
      </rPr>
      <t>/Le Spleen de Paris</t>
    </r>
    <rPh sb="0" eb="2">
      <t>パリ</t>
    </rPh>
    <rPh sb="3" eb="5">
      <t>ユウウツ</t>
    </rPh>
    <phoneticPr fontId="1"/>
  </si>
  <si>
    <r>
      <rPr>
        <sz val="11"/>
        <rFont val="游ゴシック Medium"/>
        <family val="3"/>
        <charset val="128"/>
      </rPr>
      <t>阿部良雄</t>
    </r>
    <rPh sb="0" eb="2">
      <t>アベ</t>
    </rPh>
    <rPh sb="2" eb="4">
      <t>ヨシオ</t>
    </rPh>
    <phoneticPr fontId="1"/>
  </si>
  <si>
    <r>
      <t>Baudelaire</t>
    </r>
    <r>
      <rPr>
        <sz val="11"/>
        <rFont val="游ゴシック Medium"/>
        <family val="3"/>
        <charset val="128"/>
      </rPr>
      <t>全詩集</t>
    </r>
    <r>
      <rPr>
        <sz val="11"/>
        <rFont val="Consolas"/>
        <family val="3"/>
      </rPr>
      <t>/</t>
    </r>
    <r>
      <rPr>
        <sz val="11"/>
        <rFont val="游ゴシック Medium"/>
        <family val="3"/>
        <charset val="128"/>
      </rPr>
      <t>Ⅰ</t>
    </r>
    <r>
      <rPr>
        <sz val="11"/>
        <rFont val="Consolas"/>
        <family val="3"/>
      </rPr>
      <t>/</t>
    </r>
    <r>
      <rPr>
        <sz val="11"/>
        <rFont val="游ゴシック Medium"/>
        <family val="3"/>
        <charset val="128"/>
      </rPr>
      <t>悪の華</t>
    </r>
    <r>
      <rPr>
        <sz val="11"/>
        <rFont val="Consolas"/>
        <family val="3"/>
      </rPr>
      <t>/</t>
    </r>
    <r>
      <rPr>
        <sz val="11"/>
        <rFont val="游ゴシック Medium"/>
        <family val="3"/>
        <charset val="128"/>
      </rPr>
      <t>漂着物</t>
    </r>
    <r>
      <rPr>
        <sz val="11"/>
        <rFont val="Consolas"/>
        <family val="3"/>
      </rPr>
      <t>/</t>
    </r>
    <r>
      <rPr>
        <sz val="11"/>
        <rFont val="游ゴシック Medium"/>
        <family val="3"/>
        <charset val="128"/>
      </rPr>
      <t>新・悪の華</t>
    </r>
    <rPh sb="0" eb="10">
      <t>ボードレール</t>
    </rPh>
    <rPh sb="10" eb="11">
      <t>ゼン</t>
    </rPh>
    <rPh sb="11" eb="13">
      <t>シシュウ</t>
    </rPh>
    <rPh sb="16" eb="17">
      <t>アク</t>
    </rPh>
    <rPh sb="18" eb="19">
      <t>ハナ</t>
    </rPh>
    <rPh sb="20" eb="23">
      <t>ヒョウチャクブツ</t>
    </rPh>
    <rPh sb="24" eb="25">
      <t>シン</t>
    </rPh>
    <rPh sb="26" eb="27">
      <t>アク</t>
    </rPh>
    <rPh sb="28" eb="29">
      <t>ハナ</t>
    </rPh>
    <phoneticPr fontId="1"/>
  </si>
  <si>
    <r>
      <rPr>
        <sz val="11"/>
        <rFont val="游ゴシック Medium"/>
        <family val="3"/>
        <charset val="128"/>
      </rPr>
      <t>ⅠⅡ</t>
    </r>
    <phoneticPr fontId="1"/>
  </si>
  <si>
    <r>
      <t>Baudelaire</t>
    </r>
    <r>
      <rPr>
        <sz val="11"/>
        <rFont val="游ゴシック Medium"/>
        <family val="3"/>
        <charset val="128"/>
      </rPr>
      <t>全詩集</t>
    </r>
    <r>
      <rPr>
        <sz val="11"/>
        <rFont val="Consolas"/>
        <family val="3"/>
      </rPr>
      <t>/</t>
    </r>
    <r>
      <rPr>
        <sz val="11"/>
        <rFont val="游ゴシック Medium"/>
        <family val="3"/>
        <charset val="128"/>
      </rPr>
      <t>Ⅱ</t>
    </r>
    <r>
      <rPr>
        <sz val="11"/>
        <rFont val="Consolas"/>
        <family val="3"/>
      </rPr>
      <t>/</t>
    </r>
    <r>
      <rPr>
        <sz val="11"/>
        <rFont val="游ゴシック Medium"/>
        <family val="3"/>
        <charset val="128"/>
      </rPr>
      <t>巴里の憂鬱</t>
    </r>
    <r>
      <rPr>
        <sz val="11"/>
        <rFont val="Consolas"/>
        <family val="3"/>
      </rPr>
      <t>/</t>
    </r>
    <r>
      <rPr>
        <sz val="11"/>
        <rFont val="游ゴシック Medium"/>
        <family val="3"/>
        <charset val="128"/>
      </rPr>
      <t>人工天国</t>
    </r>
    <r>
      <rPr>
        <sz val="11"/>
        <rFont val="Consolas"/>
        <family val="3"/>
      </rPr>
      <t>/</t>
    </r>
    <r>
      <rPr>
        <sz val="11"/>
        <rFont val="游ゴシック Medium"/>
        <family val="3"/>
        <charset val="128"/>
      </rPr>
      <t>ラ・ファンファルロ</t>
    </r>
    <rPh sb="0" eb="10">
      <t>ボードレール</t>
    </rPh>
    <rPh sb="10" eb="11">
      <t>ゼン</t>
    </rPh>
    <rPh sb="11" eb="13">
      <t>シシュウ</t>
    </rPh>
    <rPh sb="16" eb="18">
      <t>パリ</t>
    </rPh>
    <rPh sb="19" eb="21">
      <t>ユウウツ</t>
    </rPh>
    <rPh sb="22" eb="24">
      <t>ジンコウ</t>
    </rPh>
    <rPh sb="24" eb="26">
      <t>テンゴク</t>
    </rPh>
    <phoneticPr fontId="1"/>
  </si>
  <si>
    <r>
      <rPr>
        <sz val="11"/>
        <rFont val="游ゴシック Medium"/>
        <family val="3"/>
        <charset val="128"/>
      </rPr>
      <t>祖川</t>
    </r>
    <r>
      <rPr>
        <sz val="11"/>
        <rFont val="Consolas"/>
        <family val="3"/>
      </rPr>
      <t xml:space="preserve"> </t>
    </r>
    <r>
      <rPr>
        <sz val="11"/>
        <rFont val="游ゴシック Medium"/>
        <family val="3"/>
        <charset val="128"/>
      </rPr>
      <t>孝</t>
    </r>
    <rPh sb="0" eb="2">
      <t>ソガハ</t>
    </rPh>
    <rPh sb="3" eb="4">
      <t>タカシ</t>
    </rPh>
    <phoneticPr fontId="1"/>
  </si>
  <si>
    <r>
      <t>Rimbaud</t>
    </r>
    <r>
      <rPr>
        <sz val="11"/>
        <rFont val="游ゴシック Medium"/>
        <family val="3"/>
        <charset val="128"/>
      </rPr>
      <t>の手紙</t>
    </r>
    <rPh sb="0" eb="7">
      <t>ランボオ</t>
    </rPh>
    <rPh sb="8" eb="10">
      <t>テガミ</t>
    </rPh>
    <phoneticPr fontId="1"/>
  </si>
  <si>
    <r>
      <t>Rimbaud</t>
    </r>
    <r>
      <rPr>
        <sz val="11"/>
        <rFont val="游ゴシック Medium"/>
        <family val="3"/>
        <charset val="128"/>
      </rPr>
      <t>詩集</t>
    </r>
    <rPh sb="0" eb="7">
      <t>ランボー</t>
    </rPh>
    <rPh sb="7" eb="9">
      <t>シシュウ</t>
    </rPh>
    <phoneticPr fontId="1"/>
  </si>
  <si>
    <r>
      <rPr>
        <sz val="11"/>
        <rFont val="游ゴシック Medium"/>
        <family val="3"/>
        <charset val="128"/>
      </rPr>
      <t>大山定一</t>
    </r>
    <rPh sb="0" eb="2">
      <t>オオヤマ</t>
    </rPh>
    <rPh sb="2" eb="4">
      <t>テイイチ</t>
    </rPh>
    <phoneticPr fontId="1"/>
  </si>
  <si>
    <r>
      <t>Malte</t>
    </r>
    <r>
      <rPr>
        <sz val="11"/>
        <rFont val="游ゴシック Medium"/>
        <family val="3"/>
        <charset val="128"/>
      </rPr>
      <t>の手記</t>
    </r>
    <r>
      <rPr>
        <sz val="11"/>
        <rFont val="Consolas"/>
        <family val="3"/>
      </rPr>
      <t>/Die Aufzeichnungen des Malte Laurids Brigge</t>
    </r>
    <rPh sb="0" eb="5">
      <t>マルテ</t>
    </rPh>
    <rPh sb="6" eb="8">
      <t>シュキ</t>
    </rPh>
    <rPh sb="32" eb="37">
      <t>マルテ</t>
    </rPh>
    <phoneticPr fontId="1"/>
  </si>
  <si>
    <r>
      <rPr>
        <sz val="11"/>
        <rFont val="游ゴシック Medium"/>
        <family val="3"/>
        <charset val="128"/>
      </rPr>
      <t>富士川英郎</t>
    </r>
    <rPh sb="0" eb="3">
      <t>フジカワ</t>
    </rPh>
    <rPh sb="3" eb="5">
      <t>ヒデオ</t>
    </rPh>
    <phoneticPr fontId="1"/>
  </si>
  <si>
    <r>
      <rPr>
        <sz val="11"/>
        <rFont val="游ゴシック Medium"/>
        <family val="3"/>
        <charset val="128"/>
      </rPr>
      <t>藤井</t>
    </r>
    <r>
      <rPr>
        <sz val="11"/>
        <rFont val="Consolas"/>
        <family val="3"/>
      </rPr>
      <t xml:space="preserve"> </t>
    </r>
    <r>
      <rPr>
        <sz val="11"/>
        <rFont val="游ゴシック Medium"/>
        <family val="3"/>
        <charset val="128"/>
      </rPr>
      <t>寛</t>
    </r>
    <rPh sb="0" eb="2">
      <t>フジイ</t>
    </rPh>
    <rPh sb="3" eb="4">
      <t>ヒロシ</t>
    </rPh>
    <phoneticPr fontId="1"/>
  </si>
  <si>
    <r>
      <t>ancient/subculture/</t>
    </r>
    <r>
      <rPr>
        <sz val="11"/>
        <rFont val="游ゴシック Medium"/>
        <family val="3"/>
        <charset val="128"/>
      </rPr>
      <t>文学</t>
    </r>
    <rPh sb="19" eb="21">
      <t>ブンガク</t>
    </rPh>
    <phoneticPr fontId="1"/>
  </si>
  <si>
    <r>
      <rPr>
        <sz val="11"/>
        <rFont val="游ゴシック Medium"/>
        <family val="3"/>
        <charset val="128"/>
      </rPr>
      <t>多田一臣</t>
    </r>
    <rPh sb="0" eb="2">
      <t>タダ</t>
    </rPh>
    <rPh sb="2" eb="4">
      <t>カズオミ</t>
    </rPh>
    <phoneticPr fontId="1"/>
  </si>
  <si>
    <r>
      <rPr>
        <sz val="11"/>
        <rFont val="游ゴシック Medium"/>
        <family val="3"/>
        <charset val="128"/>
      </rPr>
      <t>校注</t>
    </r>
    <rPh sb="0" eb="1">
      <t>コウ</t>
    </rPh>
    <rPh sb="1" eb="2">
      <t>チュウ</t>
    </rPh>
    <phoneticPr fontId="1"/>
  </si>
  <si>
    <r>
      <rPr>
        <sz val="11"/>
        <rFont val="游ゴシック Medium"/>
        <family val="3"/>
        <charset val="128"/>
      </rPr>
      <t>日本霊異記</t>
    </r>
    <rPh sb="0" eb="2">
      <t>ニホン</t>
    </rPh>
    <rPh sb="2" eb="5">
      <t>リョウイキ</t>
    </rPh>
    <phoneticPr fontId="1"/>
  </si>
  <si>
    <r>
      <rPr>
        <sz val="11"/>
        <rFont val="游ゴシック Medium"/>
        <family val="3"/>
        <charset val="128"/>
      </rPr>
      <t>上中下</t>
    </r>
    <rPh sb="0" eb="3">
      <t>ジョウチュウゲ</t>
    </rPh>
    <phoneticPr fontId="1"/>
  </si>
  <si>
    <r>
      <rPr>
        <sz val="11"/>
        <rFont val="游ゴシック Medium"/>
        <family val="3"/>
        <charset val="128"/>
      </rPr>
      <t>ちくま学芸文庫</t>
    </r>
    <r>
      <rPr>
        <sz val="11"/>
        <rFont val="Consolas"/>
        <family val="3"/>
      </rPr>
      <t>/</t>
    </r>
    <r>
      <rPr>
        <sz val="11"/>
        <rFont val="游ゴシック Medium"/>
        <family val="3"/>
        <charset val="128"/>
      </rPr>
      <t>筑摩書房</t>
    </r>
    <rPh sb="3" eb="5">
      <t>ガクゲイ</t>
    </rPh>
    <rPh sb="5" eb="7">
      <t>ブンコ</t>
    </rPh>
    <rPh sb="8" eb="10">
      <t>チクマ</t>
    </rPh>
    <rPh sb="10" eb="12">
      <t>ショボウ</t>
    </rPh>
    <phoneticPr fontId="1"/>
  </si>
  <si>
    <r>
      <t>ancient/</t>
    </r>
    <r>
      <rPr>
        <sz val="11"/>
        <rFont val="游ゴシック Medium"/>
        <family val="3"/>
        <charset val="128"/>
      </rPr>
      <t>文学</t>
    </r>
    <rPh sb="8" eb="10">
      <t>ブンガク</t>
    </rPh>
    <phoneticPr fontId="1"/>
  </si>
  <si>
    <r>
      <rPr>
        <sz val="11"/>
        <rFont val="游ゴシック Medium"/>
        <family val="3"/>
        <charset val="128"/>
      </rPr>
      <t>中村真一郎</t>
    </r>
    <rPh sb="0" eb="2">
      <t>ナカムラ</t>
    </rPh>
    <rPh sb="2" eb="5">
      <t>シンイチロウ</t>
    </rPh>
    <phoneticPr fontId="1"/>
  </si>
  <si>
    <r>
      <rPr>
        <sz val="11"/>
        <rFont val="游ゴシック Medium"/>
        <family val="3"/>
        <charset val="128"/>
      </rPr>
      <t>とりかえばや物語</t>
    </r>
    <rPh sb="6" eb="8">
      <t>モノガタリ</t>
    </rPh>
    <phoneticPr fontId="1"/>
  </si>
  <si>
    <r>
      <rPr>
        <sz val="11"/>
        <rFont val="游ゴシック Medium"/>
        <family val="3"/>
        <charset val="128"/>
      </rPr>
      <t>神保五彌</t>
    </r>
    <rPh sb="0" eb="2">
      <t>ジンボウ</t>
    </rPh>
    <rPh sb="2" eb="4">
      <t>カズヤ</t>
    </rPh>
    <phoneticPr fontId="1"/>
  </si>
  <si>
    <r>
      <rPr>
        <sz val="11"/>
        <rFont val="游ゴシック Medium"/>
        <family val="3"/>
        <charset val="128"/>
      </rPr>
      <t>浮世風呂</t>
    </r>
    <rPh sb="0" eb="2">
      <t>ウキヨ</t>
    </rPh>
    <rPh sb="2" eb="4">
      <t>ブロ</t>
    </rPh>
    <phoneticPr fontId="1"/>
  </si>
  <si>
    <r>
      <rPr>
        <sz val="11"/>
        <rFont val="游ゴシック Medium"/>
        <family val="3"/>
        <charset val="128"/>
      </rPr>
      <t>三遊亭円朝</t>
    </r>
    <rPh sb="0" eb="3">
      <t>サンユウテイ</t>
    </rPh>
    <rPh sb="3" eb="5">
      <t>エンチョウ</t>
    </rPh>
    <phoneticPr fontId="1"/>
  </si>
  <si>
    <r>
      <rPr>
        <sz val="11"/>
        <rFont val="游ゴシック Medium"/>
        <family val="3"/>
        <charset val="128"/>
      </rPr>
      <t>怪談牡丹燈籠</t>
    </r>
    <r>
      <rPr>
        <sz val="11"/>
        <rFont val="Consolas"/>
        <family val="3"/>
      </rPr>
      <t>/</t>
    </r>
    <r>
      <rPr>
        <sz val="11"/>
        <rFont val="游ゴシック Medium"/>
        <family val="3"/>
        <charset val="128"/>
      </rPr>
      <t>怪談乳房榎</t>
    </r>
    <rPh sb="0" eb="2">
      <t>カイダン</t>
    </rPh>
    <rPh sb="2" eb="4">
      <t>ボタン</t>
    </rPh>
    <rPh sb="4" eb="6">
      <t>トウロウ</t>
    </rPh>
    <rPh sb="7" eb="9">
      <t>カイダン</t>
    </rPh>
    <rPh sb="9" eb="11">
      <t>チブサ</t>
    </rPh>
    <rPh sb="11" eb="12">
      <t>エノキ</t>
    </rPh>
    <phoneticPr fontId="1"/>
  </si>
  <si>
    <r>
      <rPr>
        <sz val="11"/>
        <rFont val="游ゴシック Medium"/>
        <family val="3"/>
        <charset val="128"/>
      </rPr>
      <t>小池藤五郎</t>
    </r>
    <rPh sb="0" eb="2">
      <t>コイケ</t>
    </rPh>
    <rPh sb="2" eb="3">
      <t>トウ</t>
    </rPh>
    <rPh sb="3" eb="5">
      <t>ゴロウ</t>
    </rPh>
    <phoneticPr fontId="1"/>
  </si>
  <si>
    <r>
      <rPr>
        <sz val="11"/>
        <rFont val="游ゴシック Medium"/>
        <family val="3"/>
        <charset val="128"/>
      </rPr>
      <t>南総里見八犬伝</t>
    </r>
    <rPh sb="0" eb="7">
      <t>ナンソウサトミハッケンデン</t>
    </rPh>
    <phoneticPr fontId="1"/>
  </si>
  <si>
    <r>
      <rPr>
        <sz val="11"/>
        <rFont val="游ゴシック Medium"/>
        <family val="3"/>
        <charset val="128"/>
      </rPr>
      <t>藍川</t>
    </r>
    <r>
      <rPr>
        <sz val="11"/>
        <rFont val="Consolas"/>
        <family val="3"/>
      </rPr>
      <t xml:space="preserve"> </t>
    </r>
    <r>
      <rPr>
        <sz val="11"/>
        <rFont val="游ゴシック Medium"/>
        <family val="3"/>
        <charset val="128"/>
      </rPr>
      <t>京</t>
    </r>
    <rPh sb="0" eb="2">
      <t>アイカワ</t>
    </rPh>
    <rPh sb="3" eb="4">
      <t>キョウ</t>
    </rPh>
    <phoneticPr fontId="1"/>
  </si>
  <si>
    <r>
      <rPr>
        <sz val="11"/>
        <rFont val="游ゴシック Medium"/>
        <family val="3"/>
        <charset val="128"/>
      </rPr>
      <t>炎</t>
    </r>
    <rPh sb="0" eb="1">
      <t>ホムラ</t>
    </rPh>
    <phoneticPr fontId="1"/>
  </si>
  <si>
    <r>
      <rPr>
        <sz val="11"/>
        <rFont val="游ゴシック Medium"/>
        <family val="3"/>
        <charset val="128"/>
      </rPr>
      <t>幻冬舎アウトロー文庫</t>
    </r>
    <rPh sb="0" eb="3">
      <t>ゲントウシャ</t>
    </rPh>
    <rPh sb="8" eb="10">
      <t>ブンコ</t>
    </rPh>
    <phoneticPr fontId="1"/>
  </si>
  <si>
    <r>
      <rPr>
        <sz val="11"/>
        <rFont val="游ゴシック Medium"/>
        <family val="3"/>
        <charset val="128"/>
      </rPr>
      <t>青木</t>
    </r>
    <r>
      <rPr>
        <sz val="11"/>
        <rFont val="Consolas"/>
        <family val="3"/>
      </rPr>
      <t xml:space="preserve"> </t>
    </r>
    <r>
      <rPr>
        <sz val="11"/>
        <rFont val="游ゴシック Medium"/>
        <family val="3"/>
        <charset val="128"/>
      </rPr>
      <t>繁</t>
    </r>
    <rPh sb="0" eb="2">
      <t>アオキ</t>
    </rPh>
    <rPh sb="3" eb="4">
      <t>シゲル</t>
    </rPh>
    <phoneticPr fontId="1"/>
  </si>
  <si>
    <r>
      <rPr>
        <sz val="11"/>
        <rFont val="游ゴシック Medium"/>
        <family val="3"/>
        <charset val="128"/>
      </rPr>
      <t>画家の後裔</t>
    </r>
    <rPh sb="0" eb="2">
      <t>ガカ</t>
    </rPh>
    <rPh sb="3" eb="5">
      <t>コウエイ</t>
    </rPh>
    <phoneticPr fontId="1"/>
  </si>
  <si>
    <r>
      <rPr>
        <b/>
        <sz val="11"/>
        <color indexed="33"/>
        <rFont val="游ゴシック Medium"/>
        <family val="3"/>
        <charset val="128"/>
      </rPr>
      <t>赤瀬川原平</t>
    </r>
    <rPh sb="0" eb="3">
      <t>アカセガワ</t>
    </rPh>
    <rPh sb="3" eb="5">
      <t>ゲンペイ</t>
    </rPh>
    <phoneticPr fontId="1"/>
  </si>
  <si>
    <r>
      <rPr>
        <b/>
        <sz val="11"/>
        <color indexed="33"/>
        <rFont val="游ゴシック Medium"/>
        <family val="3"/>
        <charset val="128"/>
      </rPr>
      <t>超芸術　トマソン</t>
    </r>
    <rPh sb="0" eb="1">
      <t>チョウ</t>
    </rPh>
    <rPh sb="1" eb="3">
      <t>ゲイジュツ</t>
    </rPh>
    <phoneticPr fontId="1"/>
  </si>
  <si>
    <r>
      <rPr>
        <sz val="11"/>
        <rFont val="游ゴシック Medium"/>
        <family val="3"/>
        <charset val="128"/>
      </rPr>
      <t>科学と抒情</t>
    </r>
    <rPh sb="0" eb="2">
      <t>カガク</t>
    </rPh>
    <rPh sb="3" eb="5">
      <t>ジョジョウ</t>
    </rPh>
    <phoneticPr fontId="1"/>
  </si>
  <si>
    <r>
      <rPr>
        <sz val="11"/>
        <rFont val="游ゴシック Medium"/>
        <family val="3"/>
        <charset val="128"/>
      </rPr>
      <t>尾辻克彦</t>
    </r>
    <rPh sb="0" eb="2">
      <t>オツジ</t>
    </rPh>
    <rPh sb="2" eb="4">
      <t>カツヒコ</t>
    </rPh>
    <phoneticPr fontId="1"/>
  </si>
  <si>
    <r>
      <rPr>
        <sz val="11"/>
        <rFont val="游ゴシック Medium"/>
        <family val="3"/>
        <charset val="128"/>
      </rPr>
      <t>肌ざわり</t>
    </r>
    <rPh sb="0" eb="1">
      <t>ハダ</t>
    </rPh>
    <phoneticPr fontId="1"/>
  </si>
  <si>
    <r>
      <rPr>
        <sz val="11"/>
        <rFont val="游ゴシック Medium"/>
        <family val="3"/>
        <charset val="128"/>
      </rPr>
      <t>秋里光彦</t>
    </r>
    <rPh sb="0" eb="2">
      <t>アキサト</t>
    </rPh>
    <rPh sb="2" eb="4">
      <t>ミツヒコ</t>
    </rPh>
    <phoneticPr fontId="1"/>
  </si>
  <si>
    <r>
      <rPr>
        <sz val="11"/>
        <rFont val="游ゴシック Medium"/>
        <family val="3"/>
        <charset val="128"/>
      </rPr>
      <t>闇の司</t>
    </r>
    <rPh sb="0" eb="1">
      <t>ヤミ</t>
    </rPh>
    <rPh sb="2" eb="3">
      <t>ツカサ</t>
    </rPh>
    <phoneticPr fontId="1"/>
  </si>
  <si>
    <r>
      <rPr>
        <sz val="11"/>
        <rFont val="游ゴシック Medium"/>
        <family val="3"/>
        <charset val="128"/>
      </rPr>
      <t>ハルキ</t>
    </r>
    <r>
      <rPr>
        <sz val="11"/>
        <rFont val="Consolas"/>
        <family val="3"/>
      </rPr>
      <t>Horror</t>
    </r>
    <r>
      <rPr>
        <sz val="11"/>
        <rFont val="游ゴシック Medium"/>
        <family val="3"/>
        <charset val="128"/>
      </rPr>
      <t>文庫</t>
    </r>
    <r>
      <rPr>
        <sz val="11"/>
        <rFont val="Consolas"/>
        <family val="3"/>
      </rPr>
      <t>/</t>
    </r>
    <r>
      <rPr>
        <sz val="11"/>
        <rFont val="游ゴシック Medium"/>
        <family val="3"/>
        <charset val="128"/>
      </rPr>
      <t>角川春樹事務所</t>
    </r>
    <rPh sb="3" eb="9">
      <t>ホラー</t>
    </rPh>
    <rPh sb="9" eb="11">
      <t>ブンコ</t>
    </rPh>
    <rPh sb="12" eb="14">
      <t>カドカワ</t>
    </rPh>
    <rPh sb="14" eb="16">
      <t>ハルキ</t>
    </rPh>
    <rPh sb="16" eb="18">
      <t>ジム</t>
    </rPh>
    <rPh sb="18" eb="19">
      <t>ショ</t>
    </rPh>
    <phoneticPr fontId="1"/>
  </si>
  <si>
    <r>
      <rPr>
        <sz val="11"/>
        <rFont val="游ゴシック Medium"/>
        <family val="3"/>
        <charset val="128"/>
      </rPr>
      <t>吾妻博勝</t>
    </r>
    <rPh sb="0" eb="2">
      <t>アヅマ</t>
    </rPh>
    <rPh sb="2" eb="4">
      <t>ヒロカツ</t>
    </rPh>
    <phoneticPr fontId="1"/>
  </si>
  <si>
    <r>
      <t>Mafia</t>
    </r>
    <r>
      <rPr>
        <sz val="11"/>
        <rFont val="游ゴシック Medium"/>
        <family val="3"/>
        <charset val="128"/>
      </rPr>
      <t>の棲む街</t>
    </r>
    <r>
      <rPr>
        <sz val="11"/>
        <rFont val="Consolas"/>
        <family val="3"/>
      </rPr>
      <t>/</t>
    </r>
    <r>
      <rPr>
        <sz val="11"/>
        <rFont val="游ゴシック Medium"/>
        <family val="3"/>
        <charset val="128"/>
      </rPr>
      <t>新宿歌舞伎町</t>
    </r>
    <rPh sb="0" eb="5">
      <t>マフィア</t>
    </rPh>
    <rPh sb="6" eb="7">
      <t>ス</t>
    </rPh>
    <rPh sb="8" eb="9">
      <t>マチ</t>
    </rPh>
    <rPh sb="10" eb="12">
      <t>シンジュク</t>
    </rPh>
    <rPh sb="12" eb="15">
      <t>カブキ</t>
    </rPh>
    <rPh sb="15" eb="16">
      <t>チョウ</t>
    </rPh>
    <phoneticPr fontId="1"/>
  </si>
  <si>
    <r>
      <rPr>
        <sz val="11"/>
        <rFont val="游ゴシック Medium"/>
        <family val="3"/>
        <charset val="128"/>
      </rPr>
      <t>文春文庫</t>
    </r>
    <rPh sb="0" eb="4">
      <t>ブンシュンブンコ</t>
    </rPh>
    <phoneticPr fontId="1"/>
  </si>
  <si>
    <r>
      <rPr>
        <sz val="11"/>
        <rFont val="游ゴシック Medium"/>
        <family val="3"/>
        <charset val="128"/>
      </rPr>
      <t>与</t>
    </r>
    <r>
      <rPr>
        <sz val="11"/>
        <rFont val="Consolas"/>
        <family val="3"/>
      </rPr>
      <t xml:space="preserve"> </t>
    </r>
    <r>
      <rPr>
        <sz val="11"/>
        <rFont val="游ゴシック Medium"/>
        <family val="3"/>
        <charset val="128"/>
      </rPr>
      <t>勇輝</t>
    </r>
    <rPh sb="0" eb="1">
      <t>アタエ</t>
    </rPh>
    <rPh sb="2" eb="4">
      <t>ユウキ</t>
    </rPh>
    <phoneticPr fontId="1"/>
  </si>
  <si>
    <r>
      <rPr>
        <sz val="11"/>
        <rFont val="游ゴシック Medium"/>
        <family val="3"/>
        <charset val="128"/>
      </rPr>
      <t>倉本</t>
    </r>
    <r>
      <rPr>
        <sz val="11"/>
        <rFont val="Consolas"/>
        <family val="3"/>
      </rPr>
      <t xml:space="preserve"> </t>
    </r>
    <r>
      <rPr>
        <sz val="11"/>
        <rFont val="游ゴシック Medium"/>
        <family val="3"/>
        <charset val="128"/>
      </rPr>
      <t>聰</t>
    </r>
    <r>
      <rPr>
        <sz val="11"/>
        <rFont val="Consolas"/>
        <family val="3"/>
      </rPr>
      <t>/</t>
    </r>
    <r>
      <rPr>
        <sz val="11"/>
        <rFont val="游ゴシック Medium"/>
        <family val="3"/>
        <charset val="128"/>
      </rPr>
      <t>宮沢嘉彦</t>
    </r>
    <rPh sb="0" eb="2">
      <t>クラモト</t>
    </rPh>
    <rPh sb="3" eb="4">
      <t>ソウ</t>
    </rPh>
    <rPh sb="5" eb="7">
      <t>ミヤザワ</t>
    </rPh>
    <rPh sb="7" eb="9">
      <t>ヨシヒコ</t>
    </rPh>
    <phoneticPr fontId="1"/>
  </si>
  <si>
    <r>
      <rPr>
        <sz val="11"/>
        <rFont val="游ゴシック Medium"/>
        <family val="3"/>
        <charset val="128"/>
      </rPr>
      <t>作</t>
    </r>
    <r>
      <rPr>
        <sz val="11"/>
        <rFont val="Consolas"/>
        <family val="3"/>
      </rPr>
      <t>/</t>
    </r>
    <r>
      <rPr>
        <sz val="11"/>
        <rFont val="游ゴシック Medium"/>
        <family val="3"/>
        <charset val="128"/>
      </rPr>
      <t>撮影</t>
    </r>
    <rPh sb="0" eb="1">
      <t>サク</t>
    </rPh>
    <rPh sb="2" eb="4">
      <t>サツエイ</t>
    </rPh>
    <phoneticPr fontId="1"/>
  </si>
  <si>
    <r>
      <rPr>
        <b/>
        <sz val="11"/>
        <color indexed="33"/>
        <rFont val="游ゴシック Medium"/>
        <family val="3"/>
        <charset val="128"/>
      </rPr>
      <t>有島武郎日記集</t>
    </r>
    <rPh sb="0" eb="2">
      <t>アリシマ</t>
    </rPh>
    <rPh sb="2" eb="4">
      <t>タケオ</t>
    </rPh>
    <rPh sb="4" eb="6">
      <t>ニッキ</t>
    </rPh>
    <rPh sb="6" eb="7">
      <t>シュウ</t>
    </rPh>
    <phoneticPr fontId="1"/>
  </si>
  <si>
    <r>
      <rPr>
        <sz val="11"/>
        <rFont val="游ゴシック Medium"/>
        <family val="3"/>
        <charset val="128"/>
      </rPr>
      <t>改造文庫</t>
    </r>
    <rPh sb="0" eb="2">
      <t>カイゾウ</t>
    </rPh>
    <rPh sb="2" eb="4">
      <t>ブンコ</t>
    </rPh>
    <phoneticPr fontId="1"/>
  </si>
  <si>
    <r>
      <rPr>
        <sz val="11"/>
        <rFont val="游ゴシック Medium"/>
        <family val="3"/>
        <charset val="128"/>
      </rPr>
      <t>古書</t>
    </r>
    <rPh sb="0" eb="2">
      <t>コショ</t>
    </rPh>
    <phoneticPr fontId="1"/>
  </si>
  <si>
    <r>
      <t>Cain</t>
    </r>
    <r>
      <rPr>
        <sz val="11"/>
        <rFont val="游ゴシック Medium"/>
        <family val="3"/>
        <charset val="128"/>
      </rPr>
      <t>の末裔</t>
    </r>
    <rPh sb="0" eb="4">
      <t>カイン</t>
    </rPh>
    <rPh sb="5" eb="7">
      <t>マツエイ</t>
    </rPh>
    <phoneticPr fontId="1"/>
  </si>
  <si>
    <r>
      <rPr>
        <sz val="11"/>
        <rFont val="游ゴシック Medium"/>
        <family val="3"/>
        <charset val="128"/>
      </rPr>
      <t>惜しみなく愛は奪う</t>
    </r>
    <rPh sb="0" eb="1">
      <t>オ</t>
    </rPh>
    <rPh sb="5" eb="6">
      <t>アイ</t>
    </rPh>
    <rPh sb="7" eb="8">
      <t>ウバ</t>
    </rPh>
    <phoneticPr fontId="1"/>
  </si>
  <si>
    <r>
      <rPr>
        <sz val="11"/>
        <rFont val="游ゴシック Medium"/>
        <family val="3"/>
        <charset val="128"/>
      </rPr>
      <t>或る女</t>
    </r>
    <rPh sb="0" eb="1">
      <t>ア</t>
    </rPh>
    <rPh sb="2" eb="3">
      <t>オンナ</t>
    </rPh>
    <phoneticPr fontId="1"/>
  </si>
  <si>
    <r>
      <rPr>
        <sz val="11"/>
        <rFont val="游ゴシック Medium"/>
        <family val="3"/>
        <charset val="128"/>
      </rPr>
      <t>けものたちは故郷をめざす</t>
    </r>
    <rPh sb="6" eb="8">
      <t>コキョウ</t>
    </rPh>
    <phoneticPr fontId="1"/>
  </si>
  <si>
    <r>
      <rPr>
        <sz val="11"/>
        <rFont val="游ゴシック Medium"/>
        <family val="3"/>
        <charset val="128"/>
      </rPr>
      <t>夢の逃亡</t>
    </r>
    <rPh sb="0" eb="1">
      <t>ユメ</t>
    </rPh>
    <rPh sb="2" eb="4">
      <t>トウボウ</t>
    </rPh>
    <phoneticPr fontId="1"/>
  </si>
  <si>
    <r>
      <rPr>
        <sz val="11"/>
        <rFont val="游ゴシック Medium"/>
        <family val="3"/>
        <charset val="128"/>
      </rPr>
      <t>燃えつきた地図</t>
    </r>
    <rPh sb="0" eb="2">
      <t>モエ</t>
    </rPh>
    <rPh sb="5" eb="7">
      <t>チズ</t>
    </rPh>
    <phoneticPr fontId="1"/>
  </si>
  <si>
    <r>
      <rPr>
        <sz val="11"/>
        <rFont val="游ゴシック Medium"/>
        <family val="3"/>
        <charset val="128"/>
      </rPr>
      <t>砂の女</t>
    </r>
    <rPh sb="0" eb="1">
      <t>スナ</t>
    </rPh>
    <rPh sb="2" eb="3">
      <t>オンナ</t>
    </rPh>
    <phoneticPr fontId="1"/>
  </si>
  <si>
    <r>
      <rPr>
        <sz val="11"/>
        <rFont val="游ゴシック Medium"/>
        <family val="3"/>
        <charset val="128"/>
      </rPr>
      <t>友達・棒になった男</t>
    </r>
    <rPh sb="0" eb="2">
      <t>トモダチ</t>
    </rPh>
    <rPh sb="3" eb="4">
      <t>ボウ</t>
    </rPh>
    <rPh sb="8" eb="9">
      <t>オトコ</t>
    </rPh>
    <phoneticPr fontId="1"/>
  </si>
  <si>
    <r>
      <rPr>
        <sz val="11"/>
        <rFont val="游ゴシック Medium"/>
        <family val="3"/>
        <charset val="128"/>
      </rPr>
      <t>他人の顔</t>
    </r>
    <rPh sb="0" eb="2">
      <t>タニン</t>
    </rPh>
    <rPh sb="3" eb="4">
      <t>カオ</t>
    </rPh>
    <phoneticPr fontId="1"/>
  </si>
  <si>
    <r>
      <rPr>
        <sz val="11"/>
        <rFont val="游ゴシック Medium"/>
        <family val="3"/>
        <charset val="128"/>
      </rPr>
      <t>密会</t>
    </r>
    <rPh sb="0" eb="2">
      <t>ミッカイ</t>
    </rPh>
    <phoneticPr fontId="1"/>
  </si>
  <si>
    <r>
      <rPr>
        <sz val="11"/>
        <rFont val="游ゴシック Medium"/>
        <family val="3"/>
        <charset val="128"/>
      </rPr>
      <t>箱男</t>
    </r>
    <rPh sb="0" eb="1">
      <t>ハコ</t>
    </rPh>
    <rPh sb="1" eb="2">
      <t>オトコ</t>
    </rPh>
    <phoneticPr fontId="1"/>
  </si>
  <si>
    <r>
      <t>R62</t>
    </r>
    <r>
      <rPr>
        <sz val="11"/>
        <rFont val="游ゴシック Medium"/>
        <family val="3"/>
        <charset val="128"/>
      </rPr>
      <t>号の発明・鉛の卵</t>
    </r>
    <rPh sb="3" eb="4">
      <t>ゴウ</t>
    </rPh>
    <rPh sb="5" eb="7">
      <t>ハツメイ</t>
    </rPh>
    <rPh sb="8" eb="9">
      <t>ナマリ</t>
    </rPh>
    <rPh sb="10" eb="11">
      <t>タマゴ</t>
    </rPh>
    <phoneticPr fontId="1"/>
  </si>
  <si>
    <r>
      <rPr>
        <sz val="11"/>
        <rFont val="游ゴシック Medium"/>
        <family val="3"/>
        <charset val="128"/>
      </rPr>
      <t>榎本武揚</t>
    </r>
    <rPh sb="0" eb="2">
      <t>エノモト</t>
    </rPh>
    <rPh sb="2" eb="4">
      <t>タケアキ</t>
    </rPh>
    <phoneticPr fontId="1"/>
  </si>
  <si>
    <r>
      <rPr>
        <sz val="11"/>
        <rFont val="游ゴシック Medium"/>
        <family val="3"/>
        <charset val="128"/>
      </rPr>
      <t>飢餓同盟</t>
    </r>
    <rPh sb="0" eb="2">
      <t>キガ</t>
    </rPh>
    <rPh sb="2" eb="4">
      <t>ドウメイ</t>
    </rPh>
    <phoneticPr fontId="1"/>
  </si>
  <si>
    <r>
      <rPr>
        <sz val="11"/>
        <rFont val="游ゴシック Medium"/>
        <family val="3"/>
        <charset val="128"/>
      </rPr>
      <t>幽霊はここにいる・どれい狩り</t>
    </r>
    <rPh sb="0" eb="2">
      <t>ユウレイ</t>
    </rPh>
    <rPh sb="12" eb="13">
      <t>ガ</t>
    </rPh>
    <phoneticPr fontId="1"/>
  </si>
  <si>
    <r>
      <rPr>
        <sz val="11"/>
        <rFont val="游ゴシック Medium"/>
        <family val="3"/>
        <charset val="128"/>
      </rPr>
      <t>石の眼</t>
    </r>
    <rPh sb="0" eb="1">
      <t>イシ</t>
    </rPh>
    <rPh sb="2" eb="3">
      <t>メ</t>
    </rPh>
    <phoneticPr fontId="1"/>
  </si>
  <si>
    <r>
      <rPr>
        <sz val="11"/>
        <rFont val="游ゴシック Medium"/>
        <family val="3"/>
        <charset val="128"/>
      </rPr>
      <t>水中都市・デンドロカカリヤ</t>
    </r>
    <rPh sb="0" eb="2">
      <t>スイチュウ</t>
    </rPh>
    <rPh sb="2" eb="4">
      <t>トシ</t>
    </rPh>
    <phoneticPr fontId="1"/>
  </si>
  <si>
    <r>
      <rPr>
        <sz val="11"/>
        <rFont val="游ゴシック Medium"/>
        <family val="3"/>
        <charset val="128"/>
      </rPr>
      <t>壁</t>
    </r>
    <rPh sb="0" eb="1">
      <t>カベ</t>
    </rPh>
    <phoneticPr fontId="1"/>
  </si>
  <si>
    <r>
      <rPr>
        <sz val="11"/>
        <rFont val="游ゴシック Medium"/>
        <family val="3"/>
        <charset val="128"/>
      </rPr>
      <t>終わりし道の標べに</t>
    </r>
    <rPh sb="0" eb="1">
      <t>オ</t>
    </rPh>
    <rPh sb="4" eb="5">
      <t>ミチ</t>
    </rPh>
    <rPh sb="6" eb="8">
      <t>シルベ</t>
    </rPh>
    <phoneticPr fontId="1"/>
  </si>
  <si>
    <r>
      <rPr>
        <sz val="11"/>
        <rFont val="游ゴシック Medium"/>
        <family val="3"/>
        <charset val="128"/>
      </rPr>
      <t>第四間氷期</t>
    </r>
    <rPh sb="0" eb="2">
      <t>ダイヨン</t>
    </rPh>
    <rPh sb="2" eb="5">
      <t>カンピョウキ</t>
    </rPh>
    <phoneticPr fontId="1"/>
  </si>
  <si>
    <r>
      <rPr>
        <sz val="11"/>
        <rFont val="游ゴシック Medium"/>
        <family val="3"/>
        <charset val="128"/>
      </rPr>
      <t>人間そっくり</t>
    </r>
    <rPh sb="0" eb="2">
      <t>ニンゲン</t>
    </rPh>
    <phoneticPr fontId="1"/>
  </si>
  <si>
    <r>
      <rPr>
        <sz val="11"/>
        <rFont val="游ゴシック Medium"/>
        <family val="3"/>
        <charset val="128"/>
      </rPr>
      <t>無関係な死・時の崖</t>
    </r>
    <rPh sb="0" eb="3">
      <t>ムカンケイ</t>
    </rPh>
    <rPh sb="4" eb="5">
      <t>シ</t>
    </rPh>
    <rPh sb="6" eb="7">
      <t>トキ</t>
    </rPh>
    <rPh sb="8" eb="9">
      <t>ガケ</t>
    </rPh>
    <phoneticPr fontId="1"/>
  </si>
  <si>
    <r>
      <rPr>
        <sz val="11"/>
        <rFont val="游ゴシック Medium"/>
        <family val="3"/>
        <charset val="128"/>
      </rPr>
      <t>死に急ぐ鯨たち</t>
    </r>
    <rPh sb="0" eb="1">
      <t>シ</t>
    </rPh>
    <rPh sb="2" eb="3">
      <t>イソ</t>
    </rPh>
    <rPh sb="4" eb="5">
      <t>クジラ</t>
    </rPh>
    <phoneticPr fontId="1"/>
  </si>
  <si>
    <r>
      <rPr>
        <sz val="11"/>
        <rFont val="游ゴシック Medium"/>
        <family val="3"/>
        <charset val="128"/>
      </rPr>
      <t>笑う月</t>
    </r>
    <rPh sb="0" eb="1">
      <t>ワラ</t>
    </rPh>
    <rPh sb="2" eb="3">
      <t>ツキ</t>
    </rPh>
    <phoneticPr fontId="1"/>
  </si>
  <si>
    <r>
      <rPr>
        <sz val="11"/>
        <rFont val="游ゴシック Medium"/>
        <family val="3"/>
        <charset val="128"/>
      </rPr>
      <t>カーブの向う・ユープケッチャ</t>
    </r>
    <rPh sb="4" eb="5">
      <t>ムコ</t>
    </rPh>
    <phoneticPr fontId="1"/>
  </si>
  <si>
    <r>
      <rPr>
        <sz val="11"/>
        <rFont val="游ゴシック Medium"/>
        <family val="3"/>
        <charset val="128"/>
      </rPr>
      <t>池田</t>
    </r>
    <r>
      <rPr>
        <sz val="11"/>
        <rFont val="Consolas"/>
        <family val="3"/>
      </rPr>
      <t xml:space="preserve"> </t>
    </r>
    <r>
      <rPr>
        <sz val="11"/>
        <rFont val="游ゴシック Medium"/>
        <family val="3"/>
        <charset val="128"/>
      </rPr>
      <t>賢一</t>
    </r>
    <rPh sb="0" eb="2">
      <t>イケダ</t>
    </rPh>
    <rPh sb="3" eb="5">
      <t>ケンイチ</t>
    </rPh>
    <phoneticPr fontId="1"/>
  </si>
  <si>
    <r>
      <rPr>
        <sz val="11"/>
        <rFont val="游ゴシック Medium"/>
        <family val="3"/>
        <charset val="128"/>
      </rPr>
      <t>葡萄舎</t>
    </r>
    <rPh sb="0" eb="2">
      <t>ブドウ</t>
    </rPh>
    <rPh sb="2" eb="3">
      <t>シャ</t>
    </rPh>
    <phoneticPr fontId="1"/>
  </si>
  <si>
    <r>
      <rPr>
        <sz val="11"/>
        <rFont val="游ゴシック Medium"/>
        <family val="3"/>
        <charset val="128"/>
      </rPr>
      <t>インド料理をめぐる冒険</t>
    </r>
    <r>
      <rPr>
        <sz val="11"/>
        <rFont val="Consolas"/>
        <family val="3"/>
      </rPr>
      <t xml:space="preserve"> </t>
    </r>
    <r>
      <rPr>
        <sz val="11"/>
        <rFont val="游ゴシック Medium"/>
        <family val="3"/>
        <charset val="128"/>
      </rPr>
      <t>その</t>
    </r>
    <r>
      <rPr>
        <sz val="11"/>
        <rFont val="Consolas"/>
        <family val="3"/>
      </rPr>
      <t>14</t>
    </r>
    <rPh sb="3" eb="5">
      <t>リョウリ</t>
    </rPh>
    <rPh sb="9" eb="11">
      <t>ボウケン</t>
    </rPh>
    <phoneticPr fontId="1"/>
  </si>
  <si>
    <r>
      <rPr>
        <sz val="11"/>
        <rFont val="游ゴシック Medium"/>
        <family val="3"/>
        <charset val="128"/>
      </rPr>
      <t>めぐる文庫</t>
    </r>
    <r>
      <rPr>
        <sz val="11"/>
        <rFont val="Consolas"/>
        <family val="3"/>
      </rPr>
      <t>/</t>
    </r>
    <r>
      <rPr>
        <sz val="11"/>
        <rFont val="游ゴシック Medium"/>
        <family val="3"/>
        <charset val="128"/>
      </rPr>
      <t>イートミー出版</t>
    </r>
    <rPh sb="3" eb="5">
      <t>ブンコ</t>
    </rPh>
    <rPh sb="11" eb="13">
      <t>シュッパン</t>
    </rPh>
    <phoneticPr fontId="1"/>
  </si>
  <si>
    <r>
      <rPr>
        <sz val="11"/>
        <rFont val="游ゴシック Medium"/>
        <family val="3"/>
        <charset val="128"/>
      </rPr>
      <t>夷斎筆談</t>
    </r>
    <r>
      <rPr>
        <sz val="11"/>
        <rFont val="Consolas"/>
        <family val="3"/>
      </rPr>
      <t xml:space="preserve"> </t>
    </r>
    <r>
      <rPr>
        <sz val="11"/>
        <rFont val="游ゴシック Medium"/>
        <family val="3"/>
        <charset val="128"/>
      </rPr>
      <t>夷斎俚言</t>
    </r>
    <rPh sb="0" eb="2">
      <t>イサイ</t>
    </rPh>
    <rPh sb="2" eb="4">
      <t>ヒツダン</t>
    </rPh>
    <rPh sb="5" eb="7">
      <t>イサイ</t>
    </rPh>
    <rPh sb="7" eb="9">
      <t>リゲン</t>
    </rPh>
    <phoneticPr fontId="1"/>
  </si>
  <si>
    <r>
      <rPr>
        <sz val="11"/>
        <rFont val="游ゴシック Medium"/>
        <family val="3"/>
        <charset val="128"/>
      </rPr>
      <t>ちくま学芸文庫</t>
    </r>
    <r>
      <rPr>
        <sz val="11"/>
        <rFont val="Consolas"/>
        <family val="3"/>
      </rPr>
      <t>/</t>
    </r>
    <r>
      <rPr>
        <sz val="11"/>
        <rFont val="游ゴシック Medium"/>
        <family val="3"/>
        <charset val="128"/>
      </rPr>
      <t>筑摩書房</t>
    </r>
    <rPh sb="3" eb="7">
      <t>ガクゲイブンコ</t>
    </rPh>
    <rPh sb="8" eb="10">
      <t>チクマ</t>
    </rPh>
    <rPh sb="10" eb="12">
      <t>ショボウ</t>
    </rPh>
    <phoneticPr fontId="1"/>
  </si>
  <si>
    <r>
      <rPr>
        <sz val="11"/>
        <rFont val="游ゴシック Medium"/>
        <family val="3"/>
        <charset val="128"/>
      </rPr>
      <t>荒魂</t>
    </r>
    <rPh sb="0" eb="2">
      <t>アラタマ</t>
    </rPh>
    <phoneticPr fontId="1"/>
  </si>
  <si>
    <r>
      <rPr>
        <sz val="11"/>
        <rFont val="游ゴシック Medium"/>
        <family val="3"/>
        <charset val="128"/>
      </rPr>
      <t>講談社文芸文庫</t>
    </r>
    <rPh sb="0" eb="3">
      <t>コウダンシャ</t>
    </rPh>
    <rPh sb="3" eb="5">
      <t>ブンゲイ</t>
    </rPh>
    <rPh sb="5" eb="7">
      <t>ブンコ</t>
    </rPh>
    <phoneticPr fontId="1"/>
  </si>
  <si>
    <r>
      <rPr>
        <sz val="11"/>
        <rFont val="游ゴシック Medium"/>
        <family val="3"/>
        <charset val="128"/>
      </rPr>
      <t>普賢</t>
    </r>
    <rPh sb="0" eb="2">
      <t>フゲン</t>
    </rPh>
    <phoneticPr fontId="1"/>
  </si>
  <si>
    <r>
      <rPr>
        <sz val="11"/>
        <rFont val="游ゴシック Medium"/>
        <family val="3"/>
        <charset val="128"/>
      </rPr>
      <t>六道遊行</t>
    </r>
    <rPh sb="0" eb="2">
      <t>ロクドウ</t>
    </rPh>
    <rPh sb="2" eb="4">
      <t>ユギョウ</t>
    </rPh>
    <phoneticPr fontId="1"/>
  </si>
  <si>
    <r>
      <rPr>
        <sz val="11"/>
        <rFont val="游ゴシック Medium"/>
        <family val="3"/>
        <charset val="128"/>
      </rPr>
      <t>白描</t>
    </r>
    <rPh sb="0" eb="1">
      <t>ハク</t>
    </rPh>
    <rPh sb="1" eb="2">
      <t>ビョウ</t>
    </rPh>
    <phoneticPr fontId="1"/>
  </si>
  <si>
    <r>
      <rPr>
        <sz val="11"/>
        <rFont val="游ゴシック Medium"/>
        <family val="3"/>
        <charset val="128"/>
      </rPr>
      <t>諸國畸人傳</t>
    </r>
    <rPh sb="0" eb="5">
      <t>ショコクキジンデン</t>
    </rPh>
    <phoneticPr fontId="1"/>
  </si>
  <si>
    <r>
      <rPr>
        <sz val="11"/>
        <rFont val="游ゴシック Medium"/>
        <family val="3"/>
        <charset val="128"/>
      </rPr>
      <t>文學大概</t>
    </r>
    <rPh sb="0" eb="4">
      <t>ブンガクタイガイ</t>
    </rPh>
    <phoneticPr fontId="1"/>
  </si>
  <si>
    <r>
      <rPr>
        <sz val="11"/>
        <rFont val="游ゴシック Medium"/>
        <family val="3"/>
        <charset val="128"/>
      </rPr>
      <t>ゆう女始末</t>
    </r>
    <r>
      <rPr>
        <sz val="11"/>
        <rFont val="Consolas"/>
        <family val="3"/>
      </rPr>
      <t>/</t>
    </r>
    <r>
      <rPr>
        <sz val="11"/>
        <rFont val="游ゴシック Medium"/>
        <family val="3"/>
        <charset val="128"/>
      </rPr>
      <t>おまえの敵はおまえだ</t>
    </r>
    <rPh sb="2" eb="3">
      <t>ジョ</t>
    </rPh>
    <rPh sb="3" eb="5">
      <t>シマツ</t>
    </rPh>
    <rPh sb="10" eb="11">
      <t>テキ</t>
    </rPh>
    <phoneticPr fontId="1"/>
  </si>
  <si>
    <r>
      <rPr>
        <sz val="11"/>
        <rFont val="游ゴシック Medium"/>
        <family val="3"/>
        <charset val="128"/>
      </rPr>
      <t>影</t>
    </r>
    <r>
      <rPr>
        <sz val="11"/>
        <rFont val="Consolas"/>
        <family val="3"/>
      </rPr>
      <t>/</t>
    </r>
    <r>
      <rPr>
        <sz val="11"/>
        <rFont val="游ゴシック Medium"/>
        <family val="3"/>
        <charset val="128"/>
      </rPr>
      <t>裸婦変相</t>
    </r>
    <r>
      <rPr>
        <sz val="11"/>
        <rFont val="Consolas"/>
        <family val="3"/>
      </rPr>
      <t>/</t>
    </r>
    <r>
      <rPr>
        <sz val="11"/>
        <rFont val="游ゴシック Medium"/>
        <family val="3"/>
        <charset val="128"/>
      </rPr>
      <t>喜寿童女</t>
    </r>
    <rPh sb="0" eb="1">
      <t>カゲ</t>
    </rPh>
    <rPh sb="2" eb="4">
      <t>ラフ</t>
    </rPh>
    <rPh sb="4" eb="6">
      <t>ヘンソウ</t>
    </rPh>
    <rPh sb="7" eb="9">
      <t>キジュ</t>
    </rPh>
    <rPh sb="9" eb="11">
      <t>ドウジョ</t>
    </rPh>
    <phoneticPr fontId="1"/>
  </si>
  <si>
    <r>
      <rPr>
        <sz val="11"/>
        <rFont val="游ゴシック Medium"/>
        <family val="3"/>
        <charset val="128"/>
      </rPr>
      <t>至福千年</t>
    </r>
    <rPh sb="0" eb="4">
      <t>シフクセンネン</t>
    </rPh>
    <phoneticPr fontId="1"/>
  </si>
  <si>
    <r>
      <rPr>
        <sz val="11"/>
        <rFont val="游ゴシック Medium"/>
        <family val="3"/>
        <charset val="128"/>
      </rPr>
      <t>白頭吟</t>
    </r>
    <rPh sb="0" eb="2">
      <t>ハクトウ</t>
    </rPh>
    <rPh sb="2" eb="3">
      <t>ギン</t>
    </rPh>
    <phoneticPr fontId="1"/>
  </si>
  <si>
    <r>
      <rPr>
        <sz val="11"/>
        <rFont val="游ゴシック Medium"/>
        <family val="3"/>
        <charset val="128"/>
      </rPr>
      <t>江戸文学掌記</t>
    </r>
    <rPh sb="0" eb="4">
      <t>エドブンガク</t>
    </rPh>
    <rPh sb="4" eb="6">
      <t>ショウキ</t>
    </rPh>
    <phoneticPr fontId="1"/>
  </si>
  <si>
    <r>
      <rPr>
        <sz val="11"/>
        <rFont val="游ゴシック Medium"/>
        <family val="3"/>
        <charset val="128"/>
      </rPr>
      <t>天馬賦</t>
    </r>
    <rPh sb="0" eb="2">
      <t>テンマ</t>
    </rPh>
    <rPh sb="2" eb="3">
      <t>フ</t>
    </rPh>
    <phoneticPr fontId="1"/>
  </si>
  <si>
    <r>
      <rPr>
        <sz val="11"/>
        <rFont val="游ゴシック Medium"/>
        <family val="3"/>
        <charset val="128"/>
      </rPr>
      <t>焼跡のイエス・処女懐胎</t>
    </r>
    <rPh sb="0" eb="2">
      <t>ヤケアト</t>
    </rPh>
    <rPh sb="7" eb="9">
      <t>ショジョ</t>
    </rPh>
    <rPh sb="9" eb="11">
      <t>カイタイ</t>
    </rPh>
    <phoneticPr fontId="1"/>
  </si>
  <si>
    <r>
      <rPr>
        <sz val="11"/>
        <rFont val="游ゴシック Medium"/>
        <family val="3"/>
        <charset val="128"/>
      </rPr>
      <t>紫苑物語</t>
    </r>
    <rPh sb="0" eb="2">
      <t>シオン</t>
    </rPh>
    <rPh sb="2" eb="4">
      <t>モノガタリ</t>
    </rPh>
    <phoneticPr fontId="1"/>
  </si>
  <si>
    <r>
      <rPr>
        <sz val="11"/>
        <rFont val="游ゴシック Medium"/>
        <family val="3"/>
        <charset val="128"/>
      </rPr>
      <t>福永武彦</t>
    </r>
    <r>
      <rPr>
        <sz val="11"/>
        <rFont val="Consolas"/>
        <family val="3"/>
      </rPr>
      <t>:</t>
    </r>
    <r>
      <rPr>
        <sz val="11"/>
        <rFont val="游ゴシック Medium"/>
        <family val="3"/>
        <charset val="128"/>
      </rPr>
      <t>解説</t>
    </r>
    <rPh sb="0" eb="2">
      <t>フクナガ</t>
    </rPh>
    <rPh sb="2" eb="4">
      <t>タケヒコ</t>
    </rPh>
    <rPh sb="5" eb="7">
      <t>カイセツ</t>
    </rPh>
    <phoneticPr fontId="1"/>
  </si>
  <si>
    <r>
      <rPr>
        <sz val="11"/>
        <rFont val="游ゴシック Medium"/>
        <family val="3"/>
        <charset val="128"/>
      </rPr>
      <t>新釈雨月物語</t>
    </r>
    <r>
      <rPr>
        <sz val="11"/>
        <rFont val="Consolas"/>
        <family val="3"/>
      </rPr>
      <t>/</t>
    </r>
    <r>
      <rPr>
        <sz val="11"/>
        <rFont val="游ゴシック Medium"/>
        <family val="3"/>
        <charset val="128"/>
      </rPr>
      <t>春雨物語</t>
    </r>
    <rPh sb="0" eb="2">
      <t>シンシャク</t>
    </rPh>
    <rPh sb="2" eb="4">
      <t>ウゲツ</t>
    </rPh>
    <rPh sb="4" eb="6">
      <t>モノガタリ</t>
    </rPh>
    <rPh sb="7" eb="9">
      <t>ハルサメ</t>
    </rPh>
    <rPh sb="9" eb="11">
      <t>モノガタリ</t>
    </rPh>
    <phoneticPr fontId="1"/>
  </si>
  <si>
    <r>
      <rPr>
        <sz val="11"/>
        <rFont val="游ゴシック Medium"/>
        <family val="3"/>
        <charset val="128"/>
      </rPr>
      <t>新釈古事記</t>
    </r>
    <rPh sb="0" eb="2">
      <t>シンシャク</t>
    </rPh>
    <rPh sb="2" eb="5">
      <t>コジキ</t>
    </rPh>
    <phoneticPr fontId="1"/>
  </si>
  <si>
    <r>
      <rPr>
        <sz val="11"/>
        <rFont val="游ゴシック Medium"/>
        <family val="3"/>
        <charset val="128"/>
      </rPr>
      <t>狂風記</t>
    </r>
    <rPh sb="0" eb="3">
      <t>キョウフウキ</t>
    </rPh>
    <phoneticPr fontId="1"/>
  </si>
  <si>
    <r>
      <rPr>
        <sz val="11"/>
        <rFont val="游ゴシック Medium"/>
        <family val="3"/>
        <charset val="128"/>
      </rPr>
      <t>黄金伝説</t>
    </r>
    <r>
      <rPr>
        <sz val="11"/>
        <rFont val="Consolas"/>
        <family val="3"/>
      </rPr>
      <t>/</t>
    </r>
    <r>
      <rPr>
        <sz val="11"/>
        <rFont val="游ゴシック Medium"/>
        <family val="3"/>
        <charset val="128"/>
      </rPr>
      <t>雪のイヴ</t>
    </r>
    <rPh sb="0" eb="2">
      <t>オウゴン</t>
    </rPh>
    <rPh sb="2" eb="4">
      <t>デンセツ</t>
    </rPh>
    <rPh sb="5" eb="6">
      <t>ユキ</t>
    </rPh>
    <phoneticPr fontId="1"/>
  </si>
  <si>
    <r>
      <rPr>
        <sz val="11"/>
        <rFont val="游ゴシック Medium"/>
        <family val="3"/>
        <charset val="128"/>
      </rPr>
      <t>安吾のいる風景</t>
    </r>
    <r>
      <rPr>
        <sz val="11"/>
        <rFont val="Consolas"/>
        <family val="3"/>
      </rPr>
      <t>/</t>
    </r>
    <r>
      <rPr>
        <sz val="11"/>
        <rFont val="游ゴシック Medium"/>
        <family val="3"/>
        <charset val="128"/>
      </rPr>
      <t>敗荷落日</t>
    </r>
    <rPh sb="0" eb="2">
      <t>アンゴ</t>
    </rPh>
    <rPh sb="5" eb="7">
      <t>フウケイ</t>
    </rPh>
    <rPh sb="8" eb="12">
      <t>ハイカラクジツ</t>
    </rPh>
    <phoneticPr fontId="1"/>
  </si>
  <si>
    <r>
      <rPr>
        <sz val="11"/>
        <rFont val="游ゴシック Medium"/>
        <family val="3"/>
        <charset val="128"/>
      </rPr>
      <t>落花</t>
    </r>
    <r>
      <rPr>
        <sz val="11"/>
        <rFont val="Consolas"/>
        <family val="3"/>
      </rPr>
      <t>/</t>
    </r>
    <r>
      <rPr>
        <sz val="11"/>
        <rFont val="游ゴシック Medium"/>
        <family val="3"/>
        <charset val="128"/>
      </rPr>
      <t>蜃気楼</t>
    </r>
    <r>
      <rPr>
        <sz val="11"/>
        <rFont val="Consolas"/>
        <family val="3"/>
      </rPr>
      <t>/</t>
    </r>
    <r>
      <rPr>
        <sz val="11"/>
        <rFont val="游ゴシック Medium"/>
        <family val="3"/>
        <charset val="128"/>
      </rPr>
      <t>霊薬十二神丹</t>
    </r>
    <rPh sb="0" eb="2">
      <t>ラッカ</t>
    </rPh>
    <rPh sb="3" eb="6">
      <t>シンキロウ</t>
    </rPh>
    <rPh sb="7" eb="9">
      <t>レイヤク</t>
    </rPh>
    <rPh sb="9" eb="12">
      <t>ジュウニシン</t>
    </rPh>
    <rPh sb="12" eb="13">
      <t>タン</t>
    </rPh>
    <phoneticPr fontId="1"/>
  </si>
  <si>
    <r>
      <rPr>
        <sz val="11"/>
        <rFont val="游ゴシック Medium"/>
        <family val="3"/>
        <charset val="128"/>
      </rPr>
      <t>新潮文庫に入ってない話が載っている</t>
    </r>
    <rPh sb="0" eb="4">
      <t>シンチョウブンコ</t>
    </rPh>
    <rPh sb="5" eb="6">
      <t>ハイ</t>
    </rPh>
    <rPh sb="10" eb="11">
      <t>ハナシ</t>
    </rPh>
    <rPh sb="12" eb="13">
      <t>ノ</t>
    </rPh>
    <phoneticPr fontId="1"/>
  </si>
  <si>
    <r>
      <rPr>
        <sz val="11"/>
        <rFont val="游ゴシック Medium"/>
        <family val="3"/>
        <charset val="128"/>
      </rPr>
      <t>鷹</t>
    </r>
    <rPh sb="0" eb="1">
      <t>タカ</t>
    </rPh>
    <phoneticPr fontId="1"/>
  </si>
  <si>
    <r>
      <rPr>
        <sz val="11"/>
        <rFont val="游ゴシック Medium"/>
        <family val="3"/>
        <charset val="128"/>
      </rPr>
      <t>癇癖談</t>
    </r>
    <rPh sb="0" eb="2">
      <t>クセ</t>
    </rPh>
    <rPh sb="2" eb="3">
      <t>モノガタリ</t>
    </rPh>
    <phoneticPr fontId="1"/>
  </si>
  <si>
    <r>
      <rPr>
        <sz val="11"/>
        <rFont val="游ゴシック Medium"/>
        <family val="3"/>
        <charset val="128"/>
      </rPr>
      <t>高野聖</t>
    </r>
    <r>
      <rPr>
        <sz val="11"/>
        <rFont val="Consolas"/>
        <family val="3"/>
      </rPr>
      <t>/</t>
    </r>
    <r>
      <rPr>
        <sz val="11"/>
        <rFont val="游ゴシック Medium"/>
        <family val="3"/>
        <charset val="128"/>
      </rPr>
      <t>歌行燈</t>
    </r>
    <r>
      <rPr>
        <sz val="11"/>
        <rFont val="Consolas"/>
        <family val="3"/>
      </rPr>
      <t>/</t>
    </r>
    <r>
      <rPr>
        <sz val="11"/>
        <rFont val="游ゴシック Medium"/>
        <family val="3"/>
        <charset val="128"/>
      </rPr>
      <t>他一編</t>
    </r>
    <r>
      <rPr>
        <sz val="11"/>
        <rFont val="Consolas"/>
        <family val="3"/>
      </rPr>
      <t>:</t>
    </r>
    <r>
      <rPr>
        <sz val="11"/>
        <rFont val="游ゴシック Medium"/>
        <family val="3"/>
        <charset val="128"/>
      </rPr>
      <t>櫛巻</t>
    </r>
    <rPh sb="0" eb="2">
      <t>コウヤ</t>
    </rPh>
    <rPh sb="2" eb="3">
      <t>ヒジリ</t>
    </rPh>
    <rPh sb="4" eb="5">
      <t>ウタ</t>
    </rPh>
    <rPh sb="5" eb="7">
      <t>アンドン</t>
    </rPh>
    <rPh sb="8" eb="9">
      <t>ホカ</t>
    </rPh>
    <rPh sb="9" eb="11">
      <t>イッペン</t>
    </rPh>
    <rPh sb="12" eb="13">
      <t>クシ</t>
    </rPh>
    <rPh sb="13" eb="14">
      <t>マキ</t>
    </rPh>
    <phoneticPr fontId="1"/>
  </si>
  <si>
    <r>
      <rPr>
        <sz val="11"/>
        <rFont val="游ゴシック Medium"/>
        <family val="3"/>
        <charset val="128"/>
      </rPr>
      <t>旺文社文庫</t>
    </r>
    <rPh sb="0" eb="3">
      <t>オウブンシャ</t>
    </rPh>
    <rPh sb="3" eb="5">
      <t>ブンコ</t>
    </rPh>
    <phoneticPr fontId="1"/>
  </si>
  <si>
    <r>
      <rPr>
        <sz val="11"/>
        <rFont val="游ゴシック Medium"/>
        <family val="3"/>
        <charset val="128"/>
      </rPr>
      <t>泉鏡花集成</t>
    </r>
    <rPh sb="0" eb="1">
      <t>イズミ</t>
    </rPh>
    <rPh sb="1" eb="3">
      <t>キョウカ</t>
    </rPh>
    <rPh sb="3" eb="5">
      <t>シュウセイ</t>
    </rPh>
    <phoneticPr fontId="1"/>
  </si>
  <si>
    <r>
      <rPr>
        <sz val="11"/>
        <rFont val="游ゴシック Medium"/>
        <family val="3"/>
        <charset val="128"/>
      </rPr>
      <t>井上</t>
    </r>
    <r>
      <rPr>
        <sz val="11"/>
        <rFont val="Consolas"/>
        <family val="3"/>
      </rPr>
      <t xml:space="preserve"> </t>
    </r>
    <r>
      <rPr>
        <sz val="11"/>
        <rFont val="游ゴシック Medium"/>
        <family val="3"/>
        <charset val="128"/>
      </rPr>
      <t>靖</t>
    </r>
    <rPh sb="0" eb="4">
      <t>イノウエヤスシ</t>
    </rPh>
    <phoneticPr fontId="1"/>
  </si>
  <si>
    <r>
      <rPr>
        <sz val="11"/>
        <rFont val="游ゴシック Medium"/>
        <family val="3"/>
        <charset val="128"/>
      </rPr>
      <t>額田女王</t>
    </r>
    <rPh sb="0" eb="4">
      <t>ヌカタノオオキミ</t>
    </rPh>
    <phoneticPr fontId="1"/>
  </si>
  <si>
    <r>
      <rPr>
        <sz val="11"/>
        <rFont val="游ゴシック Medium"/>
        <family val="3"/>
        <charset val="128"/>
      </rPr>
      <t>ヰタ</t>
    </r>
    <r>
      <rPr>
        <sz val="11"/>
        <rFont val="Consolas"/>
        <family val="3"/>
      </rPr>
      <t xml:space="preserve"> </t>
    </r>
    <r>
      <rPr>
        <sz val="11"/>
        <rFont val="游ゴシック Medium"/>
        <family val="3"/>
        <charset val="128"/>
      </rPr>
      <t>マキニカリスⅠ</t>
    </r>
    <phoneticPr fontId="1"/>
  </si>
  <si>
    <r>
      <rPr>
        <sz val="11"/>
        <rFont val="游ゴシック Medium"/>
        <family val="3"/>
        <charset val="128"/>
      </rPr>
      <t>帰還</t>
    </r>
    <r>
      <rPr>
        <sz val="11"/>
        <rFont val="Consolas"/>
        <family val="3"/>
      </rPr>
      <t>:</t>
    </r>
    <r>
      <rPr>
        <sz val="11"/>
        <rFont val="游ゴシック Medium"/>
        <family val="3"/>
        <charset val="128"/>
      </rPr>
      <t>異形</t>
    </r>
    <r>
      <rPr>
        <sz val="11"/>
        <rFont val="Consolas"/>
        <family val="3"/>
      </rPr>
      <t>Collection</t>
    </r>
    <rPh sb="0" eb="2">
      <t>キカン</t>
    </rPh>
    <rPh sb="3" eb="5">
      <t>イギョウ</t>
    </rPh>
    <rPh sb="5" eb="15">
      <t>コレクション</t>
    </rPh>
    <phoneticPr fontId="1"/>
  </si>
  <si>
    <r>
      <rPr>
        <sz val="11"/>
        <rFont val="游ゴシック Medium"/>
        <family val="3"/>
        <charset val="128"/>
      </rPr>
      <t>光文社文庫</t>
    </r>
    <rPh sb="0" eb="3">
      <t>コウブンシャ</t>
    </rPh>
    <rPh sb="3" eb="5">
      <t>ブンコ</t>
    </rPh>
    <phoneticPr fontId="1"/>
  </si>
  <si>
    <r>
      <rPr>
        <sz val="11"/>
        <rFont val="游ゴシック Medium"/>
        <family val="3"/>
        <charset val="128"/>
      </rPr>
      <t>伊藤比呂美</t>
    </r>
    <r>
      <rPr>
        <sz val="11"/>
        <rFont val="Consolas"/>
        <family val="3"/>
      </rPr>
      <t xml:space="preserve"> + </t>
    </r>
    <r>
      <rPr>
        <sz val="11"/>
        <rFont val="游ゴシック Medium"/>
        <family val="3"/>
        <charset val="128"/>
      </rPr>
      <t>枝元なほみ</t>
    </r>
    <r>
      <rPr>
        <sz val="11"/>
        <rFont val="Consolas"/>
        <family val="3"/>
      </rPr>
      <t xml:space="preserve"> </t>
    </r>
    <r>
      <rPr>
        <sz val="11"/>
        <rFont val="游ゴシック Medium"/>
        <family val="3"/>
        <charset val="128"/>
      </rPr>
      <t>往復書簡</t>
    </r>
    <rPh sb="0" eb="2">
      <t>イトウ</t>
    </rPh>
    <rPh sb="2" eb="5">
      <t>ヒロミ</t>
    </rPh>
    <rPh sb="8" eb="10">
      <t>エダモト</t>
    </rPh>
    <rPh sb="14" eb="18">
      <t>オウフクショカン</t>
    </rPh>
    <phoneticPr fontId="1"/>
  </si>
  <si>
    <r>
      <rPr>
        <sz val="11"/>
        <rFont val="游ゴシック Medium"/>
        <family val="3"/>
        <charset val="128"/>
      </rPr>
      <t>なにたべた</t>
    </r>
    <r>
      <rPr>
        <sz val="11"/>
        <rFont val="Consolas"/>
        <family val="3"/>
      </rPr>
      <t xml:space="preserve"> ?</t>
    </r>
    <phoneticPr fontId="1"/>
  </si>
  <si>
    <r>
      <t xml:space="preserve">1999/10 </t>
    </r>
    <r>
      <rPr>
        <sz val="11"/>
        <rFont val="游ゴシック Medium"/>
        <family val="3"/>
        <charset val="128"/>
      </rPr>
      <t>マガジンハウス刊</t>
    </r>
    <r>
      <rPr>
        <sz val="11"/>
        <rFont val="Consolas"/>
        <family val="3"/>
      </rPr>
      <t>|2011/01/25</t>
    </r>
    <rPh sb="15" eb="16">
      <t>カン</t>
    </rPh>
    <phoneticPr fontId="1"/>
  </si>
  <si>
    <r>
      <rPr>
        <sz val="11"/>
        <rFont val="游ゴシック Medium"/>
        <family val="3"/>
        <charset val="128"/>
      </rPr>
      <t>とげ抜き</t>
    </r>
    <r>
      <rPr>
        <sz val="11"/>
        <rFont val="Consolas"/>
        <family val="3"/>
      </rPr>
      <t xml:space="preserve"> </t>
    </r>
    <r>
      <rPr>
        <sz val="11"/>
        <rFont val="游ゴシック Medium"/>
        <family val="3"/>
        <charset val="128"/>
      </rPr>
      <t>新巣鴨地蔵縁起</t>
    </r>
    <rPh sb="2" eb="3">
      <t>ヌ</t>
    </rPh>
    <rPh sb="5" eb="6">
      <t>シン</t>
    </rPh>
    <rPh sb="6" eb="8">
      <t>スガモ</t>
    </rPh>
    <rPh sb="8" eb="10">
      <t>ジゾウ</t>
    </rPh>
    <rPh sb="10" eb="12">
      <t>エンギ</t>
    </rPh>
    <phoneticPr fontId="1"/>
  </si>
  <si>
    <r>
      <rPr>
        <sz val="11"/>
        <rFont val="游ゴシック Medium"/>
        <family val="3"/>
        <charset val="128"/>
      </rPr>
      <t>閉経期</t>
    </r>
    <rPh sb="0" eb="3">
      <t>ヘイケイキ</t>
    </rPh>
    <phoneticPr fontId="1"/>
  </si>
  <si>
    <r>
      <rPr>
        <sz val="11"/>
        <rFont val="游ゴシック Medium"/>
        <family val="3"/>
        <charset val="128"/>
      </rPr>
      <t>ウマし</t>
    </r>
    <phoneticPr fontId="1"/>
  </si>
  <si>
    <r>
      <t>2013/07-2013/12|2018/03</t>
    </r>
    <r>
      <rPr>
        <sz val="11"/>
        <rFont val="游ゴシック Medium"/>
        <family val="3"/>
        <charset val="128"/>
      </rPr>
      <t>文庫版刊行に当たり加筆</t>
    </r>
    <r>
      <rPr>
        <sz val="11"/>
        <rFont val="Consolas"/>
        <family val="3"/>
      </rPr>
      <t>|2021/03/25</t>
    </r>
    <rPh sb="23" eb="26">
      <t>ブンコバン</t>
    </rPh>
    <rPh sb="26" eb="28">
      <t>カンコウ</t>
    </rPh>
    <rPh sb="29" eb="30">
      <t>ア</t>
    </rPh>
    <phoneticPr fontId="1"/>
  </si>
  <si>
    <r>
      <rPr>
        <sz val="11"/>
        <rFont val="游ゴシック Medium"/>
        <family val="3"/>
        <charset val="128"/>
      </rPr>
      <t>たそがれてゆく子さん</t>
    </r>
    <rPh sb="7" eb="8">
      <t>コ</t>
    </rPh>
    <phoneticPr fontId="1"/>
  </si>
  <si>
    <r>
      <t>2016/01/26-2018/04/10</t>
    </r>
    <r>
      <rPr>
        <sz val="11"/>
        <rFont val="游ゴシック Medium"/>
        <family val="3"/>
        <charset val="128"/>
      </rPr>
      <t>「たそがれ・かはたれ」のタイトルで連載、他モロモロ</t>
    </r>
    <r>
      <rPr>
        <sz val="11"/>
        <rFont val="Consolas"/>
        <family val="3"/>
      </rPr>
      <t>|2018/08</t>
    </r>
    <r>
      <rPr>
        <sz val="11"/>
        <rFont val="游ゴシック Medium"/>
        <family val="3"/>
        <charset val="128"/>
      </rPr>
      <t>刊行</t>
    </r>
    <r>
      <rPr>
        <sz val="11"/>
        <rFont val="Consolas"/>
        <family val="3"/>
      </rPr>
      <t>|2021/11/25</t>
    </r>
    <rPh sb="38" eb="40">
      <t>レンサイ</t>
    </rPh>
    <rPh sb="41" eb="42">
      <t>ホカ</t>
    </rPh>
    <rPh sb="54" eb="56">
      <t>カンコウ</t>
    </rPh>
    <phoneticPr fontId="1"/>
  </si>
  <si>
    <r>
      <rPr>
        <sz val="11"/>
        <rFont val="游ゴシック Medium"/>
        <family val="3"/>
        <charset val="128"/>
      </rPr>
      <t>悦びの流刑地</t>
    </r>
    <rPh sb="0" eb="1">
      <t>ヨロコ</t>
    </rPh>
    <rPh sb="3" eb="5">
      <t>ルケイ</t>
    </rPh>
    <rPh sb="5" eb="6">
      <t>チ</t>
    </rPh>
    <phoneticPr fontId="1"/>
  </si>
  <si>
    <r>
      <rPr>
        <sz val="11"/>
        <rFont val="游ゴシック Medium"/>
        <family val="3"/>
        <charset val="128"/>
      </rPr>
      <t>集英社文庫</t>
    </r>
    <rPh sb="0" eb="3">
      <t>シュウエイシャ</t>
    </rPh>
    <rPh sb="3" eb="5">
      <t>ブンコ</t>
    </rPh>
    <phoneticPr fontId="1"/>
  </si>
  <si>
    <r>
      <rPr>
        <sz val="11"/>
        <rFont val="游ゴシック Medium"/>
        <family val="3"/>
        <charset val="128"/>
      </rPr>
      <t>あたしが海に還るまで</t>
    </r>
    <rPh sb="4" eb="5">
      <t>ウミ</t>
    </rPh>
    <rPh sb="6" eb="7">
      <t>カエ</t>
    </rPh>
    <phoneticPr fontId="1"/>
  </si>
  <si>
    <r>
      <rPr>
        <sz val="11"/>
        <rFont val="游ゴシック Medium"/>
        <family val="3"/>
        <charset val="128"/>
      </rPr>
      <t>文春文庫</t>
    </r>
    <rPh sb="0" eb="1">
      <t>ブン</t>
    </rPh>
    <rPh sb="1" eb="2">
      <t>シュン</t>
    </rPh>
    <rPh sb="2" eb="4">
      <t>ブンコ</t>
    </rPh>
    <phoneticPr fontId="1"/>
  </si>
  <si>
    <r>
      <rPr>
        <sz val="11"/>
        <rFont val="游ゴシック Medium"/>
        <family val="3"/>
        <charset val="128"/>
      </rPr>
      <t>江戸川乱歩</t>
    </r>
    <rPh sb="0" eb="3">
      <t>エドガワ</t>
    </rPh>
    <rPh sb="3" eb="5">
      <t>ランポ</t>
    </rPh>
    <phoneticPr fontId="1"/>
  </si>
  <si>
    <r>
      <rPr>
        <sz val="11"/>
        <rFont val="游ゴシック Medium"/>
        <family val="3"/>
        <charset val="128"/>
      </rPr>
      <t>江戸川乱歩集</t>
    </r>
    <rPh sb="0" eb="3">
      <t>エドガワ</t>
    </rPh>
    <rPh sb="3" eb="5">
      <t>ランポ</t>
    </rPh>
    <rPh sb="5" eb="6">
      <t>シュウ</t>
    </rPh>
    <phoneticPr fontId="1"/>
  </si>
  <si>
    <r>
      <rPr>
        <sz val="11"/>
        <rFont val="游ゴシック Medium"/>
        <family val="3"/>
        <charset val="128"/>
      </rPr>
      <t>日本探偵小説全集</t>
    </r>
    <r>
      <rPr>
        <sz val="11"/>
        <rFont val="Consolas"/>
        <family val="3"/>
      </rPr>
      <t xml:space="preserve"> 2/400-2</t>
    </r>
    <rPh sb="0" eb="2">
      <t>ニホン</t>
    </rPh>
    <rPh sb="2" eb="4">
      <t>タンテイ</t>
    </rPh>
    <rPh sb="4" eb="6">
      <t>ショウセツ</t>
    </rPh>
    <rPh sb="6" eb="8">
      <t>ゼンシュウ</t>
    </rPh>
    <phoneticPr fontId="1"/>
  </si>
  <si>
    <r>
      <rPr>
        <sz val="11"/>
        <rFont val="游ゴシック Medium"/>
        <family val="3"/>
        <charset val="128"/>
      </rPr>
      <t>創元推理文庫</t>
    </r>
    <r>
      <rPr>
        <sz val="11"/>
        <rFont val="Consolas"/>
        <family val="3"/>
      </rPr>
      <t>/</t>
    </r>
    <r>
      <rPr>
        <sz val="11"/>
        <rFont val="游ゴシック Medium"/>
        <family val="3"/>
        <charset val="128"/>
      </rPr>
      <t>東京創元社</t>
    </r>
    <rPh sb="0" eb="6">
      <t>ソウゲンスイリブンコ</t>
    </rPh>
    <rPh sb="7" eb="12">
      <t>トウキョウソウゲンシャ</t>
    </rPh>
    <phoneticPr fontId="1"/>
  </si>
  <si>
    <r>
      <t>amazon/</t>
    </r>
    <r>
      <rPr>
        <sz val="11"/>
        <rFont val="游ゴシック Medium"/>
        <family val="3"/>
        <charset val="128"/>
      </rPr>
      <t>古本買取本舗</t>
    </r>
    <rPh sb="7" eb="9">
      <t>フルホン</t>
    </rPh>
    <rPh sb="9" eb="11">
      <t>カイトリ</t>
    </rPh>
    <rPh sb="11" eb="13">
      <t>ホンポ</t>
    </rPh>
    <phoneticPr fontId="1"/>
  </si>
  <si>
    <r>
      <rPr>
        <sz val="11"/>
        <rFont val="游ゴシック Medium"/>
        <family val="3"/>
        <charset val="128"/>
      </rPr>
      <t>大岡昇平</t>
    </r>
    <rPh sb="0" eb="2">
      <t>オオオカ</t>
    </rPh>
    <rPh sb="2" eb="4">
      <t>ショウヘイ</t>
    </rPh>
    <phoneticPr fontId="1"/>
  </si>
  <si>
    <r>
      <rPr>
        <sz val="11"/>
        <rFont val="游ゴシック Medium"/>
        <family val="3"/>
        <charset val="128"/>
      </rPr>
      <t>野火</t>
    </r>
    <rPh sb="0" eb="2">
      <t>ノビ</t>
    </rPh>
    <phoneticPr fontId="1"/>
  </si>
  <si>
    <r>
      <rPr>
        <sz val="11"/>
        <rFont val="游ゴシック Medium"/>
        <family val="3"/>
        <charset val="128"/>
      </rPr>
      <t>大原富枝</t>
    </r>
    <rPh sb="0" eb="2">
      <t>オオハラ</t>
    </rPh>
    <rPh sb="2" eb="4">
      <t>トミエ</t>
    </rPh>
    <phoneticPr fontId="1"/>
  </si>
  <si>
    <r>
      <rPr>
        <sz val="11"/>
        <rFont val="游ゴシック Medium"/>
        <family val="3"/>
        <charset val="128"/>
      </rPr>
      <t>亜紀子</t>
    </r>
    <rPh sb="0" eb="3">
      <t>アキコ</t>
    </rPh>
    <phoneticPr fontId="1"/>
  </si>
  <si>
    <r>
      <rPr>
        <sz val="11"/>
        <rFont val="游ゴシック Medium"/>
        <family val="3"/>
        <charset val="128"/>
      </rPr>
      <t>岡本かの子</t>
    </r>
    <rPh sb="0" eb="2">
      <t>オカモト</t>
    </rPh>
    <rPh sb="4" eb="5">
      <t>コ</t>
    </rPh>
    <phoneticPr fontId="1"/>
  </si>
  <si>
    <r>
      <rPr>
        <sz val="11"/>
        <rFont val="游ゴシック Medium"/>
        <family val="3"/>
        <charset val="128"/>
      </rPr>
      <t>巴里祭</t>
    </r>
    <r>
      <rPr>
        <sz val="11"/>
        <rFont val="Consolas"/>
        <family val="3"/>
      </rPr>
      <t>/</t>
    </r>
    <r>
      <rPr>
        <sz val="11"/>
        <rFont val="游ゴシック Medium"/>
        <family val="3"/>
        <charset val="128"/>
      </rPr>
      <t>河明り</t>
    </r>
    <rPh sb="0" eb="2">
      <t>パリ</t>
    </rPh>
    <rPh sb="2" eb="3">
      <t>サイ</t>
    </rPh>
    <rPh sb="4" eb="5">
      <t>カワ</t>
    </rPh>
    <rPh sb="5" eb="6">
      <t>アカ</t>
    </rPh>
    <phoneticPr fontId="1"/>
  </si>
  <si>
    <r>
      <rPr>
        <sz val="11"/>
        <rFont val="游ゴシック Medium"/>
        <family val="3"/>
        <charset val="128"/>
      </rPr>
      <t>岡本かの子全集</t>
    </r>
    <r>
      <rPr>
        <sz val="11"/>
        <rFont val="Consolas"/>
        <family val="3"/>
      </rPr>
      <t>7/</t>
    </r>
    <rPh sb="0" eb="2">
      <t>オカモト</t>
    </rPh>
    <rPh sb="4" eb="5">
      <t>コ</t>
    </rPh>
    <rPh sb="5" eb="7">
      <t>ゼンシュウ</t>
    </rPh>
    <phoneticPr fontId="1"/>
  </si>
  <si>
    <r>
      <rPr>
        <sz val="11"/>
        <rFont val="游ゴシック Medium"/>
        <family val="3"/>
        <charset val="128"/>
      </rPr>
      <t>岡本かの子全集</t>
    </r>
    <r>
      <rPr>
        <sz val="11"/>
        <rFont val="Consolas"/>
        <family val="3"/>
      </rPr>
      <t>8/</t>
    </r>
    <rPh sb="0" eb="2">
      <t>オカモト</t>
    </rPh>
    <rPh sb="4" eb="5">
      <t>コ</t>
    </rPh>
    <rPh sb="5" eb="7">
      <t>ゼンシュウ</t>
    </rPh>
    <phoneticPr fontId="1"/>
  </si>
  <si>
    <r>
      <rPr>
        <sz val="11"/>
        <rFont val="游ゴシック Medium"/>
        <family val="3"/>
        <charset val="128"/>
      </rPr>
      <t>岡本綺堂</t>
    </r>
    <rPh sb="0" eb="2">
      <t>オカモト</t>
    </rPh>
    <rPh sb="2" eb="4">
      <t>キドウ</t>
    </rPh>
    <phoneticPr fontId="1"/>
  </si>
  <si>
    <r>
      <rPr>
        <sz val="11"/>
        <rFont val="游ゴシック Medium"/>
        <family val="3"/>
        <charset val="128"/>
      </rPr>
      <t>日下三蔵</t>
    </r>
    <rPh sb="0" eb="2">
      <t>クサカ</t>
    </rPh>
    <rPh sb="2" eb="4">
      <t>サンゾウ</t>
    </rPh>
    <phoneticPr fontId="1"/>
  </si>
  <si>
    <r>
      <rPr>
        <sz val="11"/>
        <rFont val="游ゴシック Medium"/>
        <family val="3"/>
        <charset val="128"/>
      </rPr>
      <t>岡本綺堂集</t>
    </r>
    <r>
      <rPr>
        <sz val="11"/>
        <rFont val="Consolas"/>
        <family val="3"/>
      </rPr>
      <t>/</t>
    </r>
    <r>
      <rPr>
        <sz val="11"/>
        <rFont val="游ゴシック Medium"/>
        <family val="3"/>
        <charset val="128"/>
      </rPr>
      <t>青蛙堂鬼談</t>
    </r>
    <rPh sb="0" eb="2">
      <t>オカモト</t>
    </rPh>
    <rPh sb="2" eb="4">
      <t>キドウ</t>
    </rPh>
    <rPh sb="4" eb="5">
      <t>シュウ</t>
    </rPh>
    <rPh sb="6" eb="7">
      <t>アオ</t>
    </rPh>
    <rPh sb="7" eb="8">
      <t>ガエル</t>
    </rPh>
    <rPh sb="8" eb="9">
      <t>ドウ</t>
    </rPh>
    <rPh sb="9" eb="10">
      <t>キ</t>
    </rPh>
    <rPh sb="10" eb="11">
      <t>ダン</t>
    </rPh>
    <phoneticPr fontId="1"/>
  </si>
  <si>
    <r>
      <t>ethnic/ancient</t>
    </r>
    <r>
      <rPr>
        <sz val="11"/>
        <rFont val="游ゴシック Medium"/>
        <family val="3"/>
        <charset val="128"/>
      </rPr>
      <t>文学</t>
    </r>
    <rPh sb="14" eb="16">
      <t>ブンガク</t>
    </rPh>
    <phoneticPr fontId="1"/>
  </si>
  <si>
    <r>
      <rPr>
        <sz val="11"/>
        <rFont val="游ゴシック Medium"/>
        <family val="3"/>
        <charset val="128"/>
      </rPr>
      <t>芸流し人生流し</t>
    </r>
    <rPh sb="0" eb="1">
      <t>ゲイ</t>
    </rPh>
    <rPh sb="1" eb="2">
      <t>ナガ</t>
    </rPh>
    <rPh sb="3" eb="5">
      <t>ジンセイ</t>
    </rPh>
    <rPh sb="5" eb="6">
      <t>ナガ</t>
    </rPh>
    <phoneticPr fontId="1"/>
  </si>
  <si>
    <r>
      <rPr>
        <sz val="11"/>
        <rFont val="游ゴシック Medium"/>
        <family val="3"/>
        <charset val="128"/>
      </rPr>
      <t>尾崎</t>
    </r>
    <r>
      <rPr>
        <sz val="11"/>
        <rFont val="Consolas"/>
        <family val="3"/>
      </rPr>
      <t xml:space="preserve"> </t>
    </r>
    <r>
      <rPr>
        <sz val="11"/>
        <rFont val="游ゴシック Medium"/>
        <family val="3"/>
        <charset val="128"/>
      </rPr>
      <t>翠</t>
    </r>
    <rPh sb="0" eb="2">
      <t>オザキ</t>
    </rPh>
    <rPh sb="3" eb="4">
      <t>ミドリ</t>
    </rPh>
    <phoneticPr fontId="1"/>
  </si>
  <si>
    <r>
      <rPr>
        <sz val="11"/>
        <rFont val="游ゴシック Medium"/>
        <family val="3"/>
        <charset val="128"/>
      </rPr>
      <t>ちくま日本文学全集</t>
    </r>
    <rPh sb="3" eb="5">
      <t>ニホン</t>
    </rPh>
    <rPh sb="5" eb="7">
      <t>ブンガク</t>
    </rPh>
    <rPh sb="7" eb="9">
      <t>ゼンシュウ</t>
    </rPh>
    <phoneticPr fontId="1"/>
  </si>
  <si>
    <r>
      <rPr>
        <sz val="11"/>
        <rFont val="游ゴシック Medium"/>
        <family val="3"/>
        <charset val="128"/>
      </rPr>
      <t>夏と花火と私の死体</t>
    </r>
    <rPh sb="0" eb="1">
      <t>ナツ</t>
    </rPh>
    <rPh sb="2" eb="4">
      <t>ハナビ</t>
    </rPh>
    <rPh sb="5" eb="6">
      <t>ワタシ</t>
    </rPh>
    <rPh sb="7" eb="9">
      <t>シタイ</t>
    </rPh>
    <phoneticPr fontId="1"/>
  </si>
  <si>
    <r>
      <rPr>
        <sz val="11"/>
        <rFont val="游ゴシック Medium"/>
        <family val="3"/>
        <charset val="128"/>
      </rPr>
      <t>梶井基次郎</t>
    </r>
    <rPh sb="0" eb="5">
      <t>カジイモトジロウ</t>
    </rPh>
    <phoneticPr fontId="1"/>
  </si>
  <si>
    <r>
      <rPr>
        <sz val="11"/>
        <rFont val="游ゴシック Medium"/>
        <family val="3"/>
        <charset val="128"/>
      </rPr>
      <t>檸檬・ある心の風景</t>
    </r>
    <r>
      <rPr>
        <sz val="11"/>
        <rFont val="Consolas"/>
        <family val="3"/>
      </rPr>
      <t>/</t>
    </r>
    <r>
      <rPr>
        <sz val="11"/>
        <rFont val="游ゴシック Medium"/>
        <family val="3"/>
        <charset val="128"/>
      </rPr>
      <t>他二十編</t>
    </r>
    <rPh sb="0" eb="2">
      <t>レモン</t>
    </rPh>
    <rPh sb="5" eb="6">
      <t>ココロ</t>
    </rPh>
    <rPh sb="7" eb="9">
      <t>フウケイ</t>
    </rPh>
    <rPh sb="10" eb="11">
      <t>ホカ</t>
    </rPh>
    <rPh sb="11" eb="14">
      <t>ニジュウヘン</t>
    </rPh>
    <phoneticPr fontId="1"/>
  </si>
  <si>
    <r>
      <rPr>
        <sz val="11"/>
        <rFont val="游ゴシック Medium"/>
        <family val="3"/>
        <charset val="128"/>
      </rPr>
      <t>檸檬</t>
    </r>
    <rPh sb="0" eb="2">
      <t>レモン</t>
    </rPh>
    <phoneticPr fontId="1"/>
  </si>
  <si>
    <r>
      <t>Plato</t>
    </r>
    <r>
      <rPr>
        <sz val="11"/>
        <rFont val="游ゴシック Medium"/>
        <family val="3"/>
        <charset val="128"/>
      </rPr>
      <t>的恋愛</t>
    </r>
    <rPh sb="0" eb="5">
      <t>プラトン</t>
    </rPh>
    <rPh sb="5" eb="6">
      <t>テキ</t>
    </rPh>
    <rPh sb="6" eb="8">
      <t>レンアイ</t>
    </rPh>
    <phoneticPr fontId="1"/>
  </si>
  <si>
    <r>
      <rPr>
        <sz val="11"/>
        <rFont val="游ゴシック Medium"/>
        <family val="3"/>
        <charset val="128"/>
      </rPr>
      <t>夜になっても遊びつづけろ</t>
    </r>
    <rPh sb="0" eb="1">
      <t>ヨル</t>
    </rPh>
    <rPh sb="6" eb="7">
      <t>アソ</t>
    </rPh>
    <phoneticPr fontId="1"/>
  </si>
  <si>
    <r>
      <rPr>
        <sz val="11"/>
        <rFont val="游ゴシック Medium"/>
        <family val="3"/>
        <charset val="128"/>
      </rPr>
      <t>春の画の館</t>
    </r>
    <rPh sb="0" eb="1">
      <t>ハル</t>
    </rPh>
    <rPh sb="2" eb="3">
      <t>エ</t>
    </rPh>
    <rPh sb="4" eb="5">
      <t>ヤカタ</t>
    </rPh>
    <phoneticPr fontId="1"/>
  </si>
  <si>
    <r>
      <rPr>
        <sz val="11"/>
        <rFont val="游ゴシック Medium"/>
        <family val="3"/>
        <charset val="128"/>
      </rPr>
      <t>書くことのはじまりにむかって</t>
    </r>
    <rPh sb="0" eb="1">
      <t>カ</t>
    </rPh>
    <phoneticPr fontId="1"/>
  </si>
  <si>
    <r>
      <rPr>
        <sz val="11"/>
        <rFont val="游ゴシック Medium"/>
        <family val="3"/>
        <charset val="128"/>
      </rPr>
      <t>添寝の悪夢</t>
    </r>
    <r>
      <rPr>
        <sz val="11"/>
        <rFont val="Consolas"/>
        <family val="3"/>
      </rPr>
      <t xml:space="preserve"> </t>
    </r>
    <r>
      <rPr>
        <sz val="11"/>
        <rFont val="游ゴシック Medium"/>
        <family val="3"/>
        <charset val="128"/>
      </rPr>
      <t>午睡の夢</t>
    </r>
    <rPh sb="0" eb="2">
      <t>ソイネ</t>
    </rPh>
    <rPh sb="3" eb="5">
      <t>アクム</t>
    </rPh>
    <rPh sb="6" eb="8">
      <t>ゴスイ</t>
    </rPh>
    <rPh sb="9" eb="10">
      <t>ユメ</t>
    </rPh>
    <phoneticPr fontId="1"/>
  </si>
  <si>
    <r>
      <rPr>
        <sz val="11"/>
        <rFont val="游ゴシック Medium"/>
        <family val="3"/>
        <charset val="128"/>
      </rPr>
      <t>岸辺のない海</t>
    </r>
    <rPh sb="0" eb="2">
      <t>キシベ</t>
    </rPh>
    <rPh sb="5" eb="6">
      <t>ウミ</t>
    </rPh>
    <phoneticPr fontId="1"/>
  </si>
  <si>
    <r>
      <t>Acacia</t>
    </r>
    <r>
      <rPr>
        <sz val="11"/>
        <rFont val="游ゴシック Medium"/>
        <family val="3"/>
        <charset val="128"/>
      </rPr>
      <t>騎士団</t>
    </r>
    <rPh sb="0" eb="6">
      <t>アカシア</t>
    </rPh>
    <rPh sb="6" eb="9">
      <t>キシダン</t>
    </rPh>
    <phoneticPr fontId="1"/>
  </si>
  <si>
    <r>
      <rPr>
        <sz val="11"/>
        <rFont val="游ゴシック Medium"/>
        <family val="3"/>
        <charset val="128"/>
      </rPr>
      <t>兎</t>
    </r>
    <rPh sb="0" eb="1">
      <t>ウサギ</t>
    </rPh>
    <phoneticPr fontId="1"/>
  </si>
  <si>
    <r>
      <rPr>
        <sz val="11"/>
        <rFont val="游ゴシック Medium"/>
        <family val="3"/>
        <charset val="128"/>
      </rPr>
      <t>夢の時間</t>
    </r>
    <rPh sb="0" eb="1">
      <t>ユメ</t>
    </rPh>
    <rPh sb="2" eb="4">
      <t>ジカン</t>
    </rPh>
    <phoneticPr fontId="1"/>
  </si>
  <si>
    <r>
      <rPr>
        <sz val="11"/>
        <rFont val="游ゴシック Medium"/>
        <family val="3"/>
        <charset val="128"/>
      </rPr>
      <t>愛の生活</t>
    </r>
    <rPh sb="0" eb="1">
      <t>アイ</t>
    </rPh>
    <rPh sb="2" eb="4">
      <t>セイカツ</t>
    </rPh>
    <phoneticPr fontId="1"/>
  </si>
  <si>
    <r>
      <rPr>
        <sz val="11"/>
        <rFont val="游ゴシック Medium"/>
        <family val="3"/>
        <charset val="128"/>
      </rPr>
      <t>金子光晴</t>
    </r>
    <rPh sb="0" eb="2">
      <t>カネコ</t>
    </rPh>
    <rPh sb="2" eb="4">
      <t>ミツハル</t>
    </rPh>
    <phoneticPr fontId="1"/>
  </si>
  <si>
    <r>
      <rPr>
        <sz val="11"/>
        <rFont val="游ゴシック Medium"/>
        <family val="3"/>
        <charset val="128"/>
      </rPr>
      <t>ねむれ巴里</t>
    </r>
    <rPh sb="3" eb="5">
      <t>パリ</t>
    </rPh>
    <phoneticPr fontId="1"/>
  </si>
  <si>
    <r>
      <rPr>
        <sz val="11"/>
        <rFont val="游ゴシック Medium"/>
        <family val="3"/>
        <charset val="128"/>
      </rPr>
      <t>東武旭屋書店</t>
    </r>
    <rPh sb="0" eb="2">
      <t>トウブ</t>
    </rPh>
    <rPh sb="2" eb="4">
      <t>アサヒヤ</t>
    </rPh>
    <rPh sb="4" eb="6">
      <t>ショテン</t>
    </rPh>
    <phoneticPr fontId="1"/>
  </si>
  <si>
    <r>
      <rPr>
        <sz val="11"/>
        <rFont val="游ゴシック Medium"/>
        <family val="3"/>
        <charset val="128"/>
      </rPr>
      <t>佐川君からの手紙</t>
    </r>
    <rPh sb="0" eb="3">
      <t>サガワクン</t>
    </rPh>
    <rPh sb="6" eb="8">
      <t>テガミ</t>
    </rPh>
    <phoneticPr fontId="1"/>
  </si>
  <si>
    <r>
      <rPr>
        <sz val="11"/>
        <rFont val="游ゴシック Medium"/>
        <family val="3"/>
        <charset val="128"/>
      </rPr>
      <t>いとしい</t>
    </r>
    <phoneticPr fontId="1"/>
  </si>
  <si>
    <r>
      <t>1997/10_</t>
    </r>
    <r>
      <rPr>
        <sz val="11"/>
        <rFont val="游ゴシック Medium"/>
        <family val="3"/>
        <charset val="128"/>
      </rPr>
      <t>幻冬舎</t>
    </r>
    <rPh sb="8" eb="11">
      <t>ゲントウシャ</t>
    </rPh>
    <phoneticPr fontId="1"/>
  </si>
  <si>
    <r>
      <rPr>
        <sz val="11"/>
        <rFont val="游ゴシック Medium"/>
        <family val="3"/>
        <charset val="128"/>
      </rPr>
      <t>溺レる</t>
    </r>
    <rPh sb="0" eb="1">
      <t>オボ</t>
    </rPh>
    <phoneticPr fontId="1"/>
  </si>
  <si>
    <r>
      <t>1999/08_</t>
    </r>
    <r>
      <rPr>
        <sz val="11"/>
        <rFont val="游ゴシック Medium"/>
        <family val="3"/>
        <charset val="128"/>
      </rPr>
      <t>文藝春秋</t>
    </r>
    <rPh sb="8" eb="10">
      <t>ブンゲイ</t>
    </rPh>
    <rPh sb="10" eb="12">
      <t>シュンジュウ</t>
    </rPh>
    <phoneticPr fontId="1"/>
  </si>
  <si>
    <r>
      <rPr>
        <sz val="11"/>
        <rFont val="游ゴシック Medium"/>
        <family val="3"/>
        <charset val="128"/>
      </rPr>
      <t>センセイの鞄</t>
    </r>
    <rPh sb="5" eb="6">
      <t>カバン</t>
    </rPh>
    <phoneticPr fontId="1"/>
  </si>
  <si>
    <r>
      <t>1999/07~2000/12_</t>
    </r>
    <r>
      <rPr>
        <sz val="11"/>
        <rFont val="游ゴシック Medium"/>
        <family val="3"/>
        <charset val="128"/>
      </rPr>
      <t>太陽</t>
    </r>
    <rPh sb="16" eb="18">
      <t>タイヨウ</t>
    </rPh>
    <phoneticPr fontId="1"/>
  </si>
  <si>
    <r>
      <rPr>
        <sz val="11"/>
        <rFont val="游ゴシック Medium"/>
        <family val="3"/>
        <charset val="128"/>
      </rPr>
      <t>あおい書店</t>
    </r>
    <rPh sb="3" eb="5">
      <t>ショテン</t>
    </rPh>
    <phoneticPr fontId="1"/>
  </si>
  <si>
    <r>
      <rPr>
        <sz val="11"/>
        <rFont val="游ゴシック Medium"/>
        <family val="3"/>
        <charset val="128"/>
      </rPr>
      <t>ニシノユキヒコの恋と冒険</t>
    </r>
    <rPh sb="8" eb="9">
      <t>コイ</t>
    </rPh>
    <rPh sb="10" eb="12">
      <t>ボウケン</t>
    </rPh>
    <phoneticPr fontId="1"/>
  </si>
  <si>
    <r>
      <t>2003/11_</t>
    </r>
    <r>
      <rPr>
        <sz val="11"/>
        <rFont val="游ゴシック Medium"/>
        <family val="3"/>
        <charset val="128"/>
      </rPr>
      <t>新潮社</t>
    </r>
    <rPh sb="8" eb="11">
      <t>シンチョウシャ</t>
    </rPh>
    <phoneticPr fontId="1"/>
  </si>
  <si>
    <r>
      <rPr>
        <sz val="11"/>
        <rFont val="游ゴシック Medium"/>
        <family val="3"/>
        <charset val="128"/>
      </rPr>
      <t>光ってみえるもの、あれは</t>
    </r>
    <rPh sb="0" eb="1">
      <t>ヒカ</t>
    </rPh>
    <phoneticPr fontId="1"/>
  </si>
  <si>
    <r>
      <t xml:space="preserve">2003/09 </t>
    </r>
    <r>
      <rPr>
        <sz val="11"/>
        <rFont val="游ゴシック Medium"/>
        <family val="3"/>
        <charset val="128"/>
      </rPr>
      <t>中央公論新社</t>
    </r>
    <rPh sb="8" eb="10">
      <t>チュウオウ</t>
    </rPh>
    <rPh sb="10" eb="12">
      <t>コウロン</t>
    </rPh>
    <rPh sb="12" eb="14">
      <t>シンシャ</t>
    </rPh>
    <phoneticPr fontId="1"/>
  </si>
  <si>
    <r>
      <rPr>
        <sz val="11"/>
        <rFont val="游ゴシック Medium"/>
        <family val="3"/>
        <charset val="128"/>
      </rPr>
      <t>これでよろしくて</t>
    </r>
    <r>
      <rPr>
        <sz val="11"/>
        <rFont val="Consolas"/>
        <family val="3"/>
      </rPr>
      <t xml:space="preserve"> ?</t>
    </r>
    <phoneticPr fontId="1"/>
  </si>
  <si>
    <r>
      <t xml:space="preserve">2009/09 </t>
    </r>
    <r>
      <rPr>
        <sz val="11"/>
        <rFont val="游ゴシック Medium"/>
        <family val="3"/>
        <charset val="128"/>
      </rPr>
      <t>中央公論新社</t>
    </r>
    <rPh sb="8" eb="10">
      <t>チュウオウ</t>
    </rPh>
    <rPh sb="10" eb="12">
      <t>コウロン</t>
    </rPh>
    <rPh sb="12" eb="14">
      <t>シンシャ</t>
    </rPh>
    <phoneticPr fontId="1"/>
  </si>
  <si>
    <r>
      <rPr>
        <sz val="11"/>
        <rFont val="游ゴシック Medium"/>
        <family val="3"/>
        <charset val="128"/>
      </rPr>
      <t>パスタマシーンの幽霊</t>
    </r>
    <rPh sb="8" eb="10">
      <t>ユウレイ</t>
    </rPh>
    <phoneticPr fontId="1"/>
  </si>
  <si>
    <r>
      <t xml:space="preserve">2010/04 </t>
    </r>
    <r>
      <rPr>
        <sz val="11"/>
        <rFont val="游ゴシック Medium"/>
        <family val="3"/>
        <charset val="128"/>
      </rPr>
      <t>マガジンハウス</t>
    </r>
    <phoneticPr fontId="1"/>
  </si>
  <si>
    <r>
      <rPr>
        <sz val="11"/>
        <rFont val="游ゴシック Medium"/>
        <family val="3"/>
        <charset val="128"/>
      </rPr>
      <t>風花</t>
    </r>
    <rPh sb="0" eb="2">
      <t>カザハナ</t>
    </rPh>
    <phoneticPr fontId="1"/>
  </si>
  <si>
    <r>
      <rPr>
        <sz val="11"/>
        <rFont val="游ゴシック Medium"/>
        <family val="3"/>
        <charset val="128"/>
      </rPr>
      <t>物語が、始まる</t>
    </r>
    <rPh sb="0" eb="2">
      <t>モノガタリ</t>
    </rPh>
    <rPh sb="4" eb="5">
      <t>ハジ</t>
    </rPh>
    <phoneticPr fontId="1"/>
  </si>
  <si>
    <r>
      <rPr>
        <sz val="11"/>
        <rFont val="游ゴシック Medium"/>
        <family val="3"/>
        <charset val="128"/>
      </rPr>
      <t>神様</t>
    </r>
    <rPh sb="0" eb="2">
      <t>カミサマ</t>
    </rPh>
    <phoneticPr fontId="1"/>
  </si>
  <si>
    <r>
      <rPr>
        <sz val="11"/>
        <rFont val="游ゴシック Medium"/>
        <family val="3"/>
        <charset val="128"/>
      </rPr>
      <t>川端康成</t>
    </r>
    <rPh sb="0" eb="2">
      <t>カワバタ</t>
    </rPh>
    <rPh sb="2" eb="4">
      <t>ヤスナリ</t>
    </rPh>
    <phoneticPr fontId="1"/>
  </si>
  <si>
    <r>
      <rPr>
        <sz val="11"/>
        <rFont val="游ゴシック Medium"/>
        <family val="3"/>
        <charset val="128"/>
      </rPr>
      <t>掌の小説</t>
    </r>
    <rPh sb="0" eb="1">
      <t>テノヒラ</t>
    </rPh>
    <rPh sb="2" eb="4">
      <t>ショウセツ</t>
    </rPh>
    <phoneticPr fontId="1"/>
  </si>
  <si>
    <r>
      <rPr>
        <sz val="11"/>
        <rFont val="游ゴシック Medium"/>
        <family val="3"/>
        <charset val="128"/>
      </rPr>
      <t>眠れる美女</t>
    </r>
    <rPh sb="0" eb="1">
      <t>ネム</t>
    </rPh>
    <rPh sb="3" eb="5">
      <t>ビジョ</t>
    </rPh>
    <phoneticPr fontId="1"/>
  </si>
  <si>
    <r>
      <rPr>
        <sz val="11"/>
        <rFont val="游ゴシック Medium"/>
        <family val="3"/>
        <charset val="128"/>
      </rPr>
      <t>浅草紅団</t>
    </r>
    <r>
      <rPr>
        <sz val="11"/>
        <rFont val="Consolas"/>
        <family val="3"/>
      </rPr>
      <t>/</t>
    </r>
    <r>
      <rPr>
        <sz val="11"/>
        <rFont val="游ゴシック Medium"/>
        <family val="3"/>
        <charset val="128"/>
      </rPr>
      <t>浅草祭</t>
    </r>
    <rPh sb="0" eb="2">
      <t>アサクサ</t>
    </rPh>
    <rPh sb="2" eb="3">
      <t>クレナイ</t>
    </rPh>
    <rPh sb="3" eb="4">
      <t>ダン</t>
    </rPh>
    <rPh sb="5" eb="7">
      <t>アサクサ</t>
    </rPh>
    <rPh sb="7" eb="8">
      <t>マツリ</t>
    </rPh>
    <phoneticPr fontId="1"/>
  </si>
  <si>
    <r>
      <rPr>
        <sz val="11"/>
        <rFont val="游ゴシック Medium"/>
        <family val="3"/>
        <charset val="128"/>
      </rPr>
      <t>木崎さとこ</t>
    </r>
    <rPh sb="0" eb="2">
      <t>キザキ</t>
    </rPh>
    <phoneticPr fontId="1"/>
  </si>
  <si>
    <r>
      <rPr>
        <sz val="11"/>
        <rFont val="游ゴシック Medium"/>
        <family val="3"/>
        <charset val="128"/>
      </rPr>
      <t>青桐</t>
    </r>
    <rPh sb="0" eb="2">
      <t>アオギリ</t>
    </rPh>
    <phoneticPr fontId="1"/>
  </si>
  <si>
    <r>
      <rPr>
        <sz val="11"/>
        <rFont val="游ゴシック Medium"/>
        <family val="3"/>
        <charset val="128"/>
      </rPr>
      <t>都市の遊び方</t>
    </r>
    <rPh sb="0" eb="2">
      <t>トシ</t>
    </rPh>
    <rPh sb="3" eb="4">
      <t>アソ</t>
    </rPh>
    <rPh sb="5" eb="6">
      <t>カタ</t>
    </rPh>
    <phoneticPr fontId="1"/>
  </si>
  <si>
    <r>
      <rPr>
        <sz val="11"/>
        <rFont val="游ゴシック Medium"/>
        <family val="3"/>
        <charset val="128"/>
      </rPr>
      <t>北</t>
    </r>
    <r>
      <rPr>
        <sz val="11"/>
        <rFont val="Consolas"/>
        <family val="3"/>
      </rPr>
      <t xml:space="preserve"> </t>
    </r>
    <r>
      <rPr>
        <sz val="11"/>
        <rFont val="游ゴシック Medium"/>
        <family val="3"/>
        <charset val="128"/>
      </rPr>
      <t>杜夫</t>
    </r>
    <rPh sb="0" eb="1">
      <t>キタ</t>
    </rPh>
    <rPh sb="2" eb="4">
      <t>モリオ</t>
    </rPh>
    <phoneticPr fontId="1"/>
  </si>
  <si>
    <r>
      <rPr>
        <sz val="11"/>
        <rFont val="游ゴシック Medium"/>
        <family val="3"/>
        <charset val="128"/>
      </rPr>
      <t>酔いどれ船</t>
    </r>
    <rPh sb="0" eb="1">
      <t>ヨ</t>
    </rPh>
    <rPh sb="4" eb="5">
      <t>ブネ</t>
    </rPh>
    <phoneticPr fontId="1"/>
  </si>
  <si>
    <r>
      <rPr>
        <sz val="11"/>
        <rFont val="游ゴシック Medium"/>
        <family val="3"/>
        <charset val="128"/>
      </rPr>
      <t>木霊</t>
    </r>
    <rPh sb="0" eb="2">
      <t>コダマ</t>
    </rPh>
    <phoneticPr fontId="1"/>
  </si>
  <si>
    <r>
      <rPr>
        <sz val="11"/>
        <rFont val="游ゴシック Medium"/>
        <family val="3"/>
        <charset val="128"/>
      </rPr>
      <t>幽霊</t>
    </r>
    <rPh sb="0" eb="2">
      <t>ユウレイ</t>
    </rPh>
    <phoneticPr fontId="1"/>
  </si>
  <si>
    <r>
      <rPr>
        <sz val="11"/>
        <rFont val="游ゴシック Medium"/>
        <family val="3"/>
        <charset val="128"/>
      </rPr>
      <t>倉橋由美子</t>
    </r>
    <rPh sb="0" eb="2">
      <t>クラハシ</t>
    </rPh>
    <rPh sb="2" eb="5">
      <t>ユミコ</t>
    </rPh>
    <phoneticPr fontId="1"/>
  </si>
  <si>
    <r>
      <rPr>
        <sz val="11"/>
        <rFont val="游ゴシック Medium"/>
        <family val="3"/>
        <charset val="128"/>
      </rPr>
      <t>スミヤキストＱの冒険</t>
    </r>
    <rPh sb="8" eb="10">
      <t>ボウケン</t>
    </rPh>
    <phoneticPr fontId="1"/>
  </si>
  <si>
    <r>
      <rPr>
        <sz val="11"/>
        <rFont val="游ゴシック Medium"/>
        <family val="3"/>
        <charset val="128"/>
      </rPr>
      <t>ラフカディオ･ハーン</t>
    </r>
    <phoneticPr fontId="1"/>
  </si>
  <si>
    <r>
      <rPr>
        <sz val="11"/>
        <rFont val="游ゴシック Medium"/>
        <family val="3"/>
        <charset val="128"/>
      </rPr>
      <t>池田雅之</t>
    </r>
    <rPh sb="0" eb="2">
      <t>イケダ</t>
    </rPh>
    <rPh sb="2" eb="4">
      <t>マサユキ</t>
    </rPh>
    <phoneticPr fontId="1"/>
  </si>
  <si>
    <r>
      <rPr>
        <sz val="11"/>
        <rFont val="游ゴシック Medium"/>
        <family val="3"/>
        <charset val="128"/>
      </rPr>
      <t>おとぎの国の妖怪たち</t>
    </r>
    <r>
      <rPr>
        <sz val="11"/>
        <rFont val="Consolas"/>
        <family val="3"/>
      </rPr>
      <t>/</t>
    </r>
    <r>
      <rPr>
        <sz val="11"/>
        <rFont val="游ゴシック Medium"/>
        <family val="3"/>
        <charset val="128"/>
      </rPr>
      <t>小泉八雲怪談集</t>
    </r>
    <r>
      <rPr>
        <sz val="11"/>
        <rFont val="Consolas"/>
        <family val="3"/>
      </rPr>
      <t>2</t>
    </r>
    <rPh sb="4" eb="5">
      <t>クニ</t>
    </rPh>
    <rPh sb="6" eb="8">
      <t>ヨウカイ</t>
    </rPh>
    <rPh sb="11" eb="13">
      <t>コイズミ</t>
    </rPh>
    <rPh sb="13" eb="15">
      <t>ヤクモ</t>
    </rPh>
    <rPh sb="15" eb="17">
      <t>カイダン</t>
    </rPh>
    <rPh sb="17" eb="18">
      <t>シュウ</t>
    </rPh>
    <phoneticPr fontId="1"/>
  </si>
  <si>
    <r>
      <rPr>
        <sz val="11"/>
        <rFont val="游ゴシック Medium"/>
        <family val="3"/>
        <charset val="128"/>
      </rPr>
      <t>現代教養文庫</t>
    </r>
    <r>
      <rPr>
        <sz val="11"/>
        <rFont val="Consolas"/>
        <family val="3"/>
      </rPr>
      <t>/</t>
    </r>
    <r>
      <rPr>
        <sz val="11"/>
        <rFont val="游ゴシック Medium"/>
        <family val="3"/>
        <charset val="128"/>
      </rPr>
      <t>社会思想社</t>
    </r>
    <rPh sb="0" eb="6">
      <t>ゲンダイキョウヨウブンコ</t>
    </rPh>
    <rPh sb="7" eb="9">
      <t>シャカイ</t>
    </rPh>
    <rPh sb="9" eb="11">
      <t>シソウ</t>
    </rPh>
    <rPh sb="11" eb="12">
      <t>シャ</t>
    </rPh>
    <phoneticPr fontId="1"/>
  </si>
  <si>
    <r>
      <rPr>
        <sz val="11"/>
        <rFont val="游ゴシック Medium"/>
        <family val="3"/>
        <charset val="128"/>
      </rPr>
      <t>小林秀雄</t>
    </r>
    <rPh sb="0" eb="2">
      <t>コバヤシ</t>
    </rPh>
    <rPh sb="2" eb="4">
      <t>ヒデオ</t>
    </rPh>
    <phoneticPr fontId="1"/>
  </si>
  <si>
    <r>
      <t>X</t>
    </r>
    <r>
      <rPr>
        <sz val="11"/>
        <rFont val="游ゴシック Medium"/>
        <family val="3"/>
        <charset val="128"/>
      </rPr>
      <t>への手紙</t>
    </r>
    <r>
      <rPr>
        <sz val="11"/>
        <rFont val="Consolas"/>
        <family val="3"/>
      </rPr>
      <t>/</t>
    </r>
    <r>
      <rPr>
        <sz val="11"/>
        <rFont val="游ゴシック Medium"/>
        <family val="3"/>
        <charset val="128"/>
      </rPr>
      <t>私小説論</t>
    </r>
    <rPh sb="3" eb="5">
      <t>テガミ</t>
    </rPh>
    <rPh sb="6" eb="9">
      <t>シショウセツ</t>
    </rPh>
    <rPh sb="9" eb="10">
      <t>ロン</t>
    </rPh>
    <phoneticPr fontId="1"/>
  </si>
  <si>
    <r>
      <rPr>
        <sz val="11"/>
        <rFont val="游ゴシック Medium"/>
        <family val="3"/>
        <charset val="128"/>
      </rPr>
      <t>近藤富枝</t>
    </r>
    <rPh sb="0" eb="2">
      <t>コンドウ</t>
    </rPh>
    <rPh sb="2" eb="4">
      <t>トミエ</t>
    </rPh>
    <phoneticPr fontId="1"/>
  </si>
  <si>
    <r>
      <rPr>
        <sz val="11"/>
        <rFont val="游ゴシック Medium"/>
        <family val="3"/>
        <charset val="128"/>
      </rPr>
      <t>本郷菊富士</t>
    </r>
    <r>
      <rPr>
        <sz val="11"/>
        <rFont val="Consolas"/>
        <family val="3"/>
      </rPr>
      <t>Hotel</t>
    </r>
    <rPh sb="0" eb="2">
      <t>ホンゴウ</t>
    </rPh>
    <rPh sb="2" eb="3">
      <t>キク</t>
    </rPh>
    <rPh sb="3" eb="5">
      <t>フジ</t>
    </rPh>
    <rPh sb="5" eb="10">
      <t>ホテル</t>
    </rPh>
    <phoneticPr fontId="1"/>
  </si>
  <si>
    <r>
      <rPr>
        <sz val="11"/>
        <rFont val="游ゴシック Medium"/>
        <family val="3"/>
        <charset val="128"/>
      </rPr>
      <t>石川</t>
    </r>
    <r>
      <rPr>
        <sz val="11"/>
        <rFont val="Consolas"/>
        <family val="3"/>
      </rPr>
      <t xml:space="preserve"> </t>
    </r>
    <r>
      <rPr>
        <sz val="11"/>
        <rFont val="游ゴシック Medium"/>
        <family val="3"/>
        <charset val="128"/>
      </rPr>
      <t>淳・宇野浩二が下宿してたところ</t>
    </r>
    <rPh sb="0" eb="2">
      <t>イシカワ</t>
    </rPh>
    <rPh sb="3" eb="4">
      <t>ジュン</t>
    </rPh>
    <rPh sb="5" eb="7">
      <t>ウノ</t>
    </rPh>
    <rPh sb="7" eb="9">
      <t>コウジ</t>
    </rPh>
    <rPh sb="10" eb="12">
      <t>ゲシュク</t>
    </rPh>
    <phoneticPr fontId="1"/>
  </si>
  <si>
    <r>
      <rPr>
        <sz val="11"/>
        <rFont val="游ゴシック Medium"/>
        <family val="3"/>
        <charset val="128"/>
      </rPr>
      <t>塩田丸男</t>
    </r>
    <rPh sb="0" eb="2">
      <t>シオタ</t>
    </rPh>
    <rPh sb="2" eb="4">
      <t>マルオ</t>
    </rPh>
    <phoneticPr fontId="1"/>
  </si>
  <si>
    <r>
      <rPr>
        <sz val="11"/>
        <rFont val="游ゴシック Medium"/>
        <family val="3"/>
        <charset val="128"/>
      </rPr>
      <t>天からやってきた猫</t>
    </r>
    <rPh sb="0" eb="1">
      <t>テン</t>
    </rPh>
    <rPh sb="8" eb="9">
      <t>ネコ</t>
    </rPh>
    <phoneticPr fontId="1"/>
  </si>
  <si>
    <r>
      <rPr>
        <sz val="11"/>
        <rFont val="游ゴシック Medium"/>
        <family val="3"/>
        <charset val="128"/>
      </rPr>
      <t>司馬遼太郎</t>
    </r>
    <rPh sb="0" eb="2">
      <t>シバ</t>
    </rPh>
    <rPh sb="2" eb="5">
      <t>リョウタロウ</t>
    </rPh>
    <phoneticPr fontId="1"/>
  </si>
  <si>
    <r>
      <rPr>
        <sz val="11"/>
        <rFont val="游ゴシック Medium"/>
        <family val="3"/>
        <charset val="128"/>
      </rPr>
      <t>豊富家の人々</t>
    </r>
    <rPh sb="0" eb="2">
      <t>トヨトミ</t>
    </rPh>
    <rPh sb="2" eb="3">
      <t>ケ</t>
    </rPh>
    <rPh sb="4" eb="6">
      <t>ヒトビト</t>
    </rPh>
    <phoneticPr fontId="1"/>
  </si>
  <si>
    <r>
      <rPr>
        <sz val="11"/>
        <rFont val="游ゴシック Medium"/>
        <family val="3"/>
        <charset val="128"/>
      </rPr>
      <t>角川文庫</t>
    </r>
    <rPh sb="0" eb="2">
      <t>カドカワ</t>
    </rPh>
    <rPh sb="2" eb="4">
      <t>ブンコ</t>
    </rPh>
    <phoneticPr fontId="1"/>
  </si>
  <si>
    <r>
      <rPr>
        <sz val="11"/>
        <rFont val="游ゴシック Medium"/>
        <family val="3"/>
        <charset val="128"/>
      </rPr>
      <t>柴田</t>
    </r>
    <r>
      <rPr>
        <sz val="11"/>
        <rFont val="Consolas"/>
        <family val="3"/>
      </rPr>
      <t xml:space="preserve"> </t>
    </r>
    <r>
      <rPr>
        <sz val="11"/>
        <rFont val="游ゴシック Medium"/>
        <family val="3"/>
        <charset val="128"/>
      </rPr>
      <t>翔</t>
    </r>
    <rPh sb="0" eb="2">
      <t>シバタ</t>
    </rPh>
    <rPh sb="3" eb="4">
      <t>ショウ</t>
    </rPh>
    <phoneticPr fontId="1"/>
  </si>
  <si>
    <r>
      <rPr>
        <sz val="11"/>
        <rFont val="游ゴシック Medium"/>
        <family val="3"/>
        <charset val="128"/>
      </rPr>
      <t>鳥の影</t>
    </r>
    <rPh sb="0" eb="1">
      <t>トリ</t>
    </rPh>
    <rPh sb="2" eb="3">
      <t>カゲ</t>
    </rPh>
    <phoneticPr fontId="1"/>
  </si>
  <si>
    <r>
      <rPr>
        <sz val="11"/>
        <rFont val="游ゴシック Medium"/>
        <family val="3"/>
        <charset val="128"/>
      </rPr>
      <t>燕のいる風景</t>
    </r>
    <rPh sb="0" eb="1">
      <t>ツバメ</t>
    </rPh>
    <rPh sb="4" eb="6">
      <t>フウケイ</t>
    </rPh>
    <phoneticPr fontId="1"/>
  </si>
  <si>
    <r>
      <rPr>
        <sz val="11"/>
        <rFont val="游ゴシック Medium"/>
        <family val="3"/>
        <charset val="128"/>
      </rPr>
      <t>幻想博物誌</t>
    </r>
    <rPh sb="0" eb="2">
      <t>ゲンソウ</t>
    </rPh>
    <rPh sb="2" eb="5">
      <t>ハクブツシ</t>
    </rPh>
    <phoneticPr fontId="1"/>
  </si>
  <si>
    <r>
      <rPr>
        <sz val="11"/>
        <rFont val="游ゴシック Medium"/>
        <family val="3"/>
        <charset val="128"/>
      </rPr>
      <t>記憶の遠近法</t>
    </r>
    <rPh sb="0" eb="2">
      <t>キオク</t>
    </rPh>
    <rPh sb="3" eb="6">
      <t>エンキンホウ</t>
    </rPh>
    <phoneticPr fontId="1"/>
  </si>
  <si>
    <r>
      <rPr>
        <sz val="11"/>
        <rFont val="游ゴシック Medium"/>
        <family val="3"/>
        <charset val="128"/>
      </rPr>
      <t>思考の紋章学</t>
    </r>
    <rPh sb="0" eb="2">
      <t>シコウ</t>
    </rPh>
    <rPh sb="3" eb="5">
      <t>モンショウ</t>
    </rPh>
    <rPh sb="5" eb="6">
      <t>ガク</t>
    </rPh>
    <phoneticPr fontId="1"/>
  </si>
  <si>
    <r>
      <rPr>
        <sz val="11"/>
        <rFont val="游ゴシック Medium"/>
        <family val="3"/>
        <charset val="128"/>
      </rPr>
      <t>黒魔術の手帖</t>
    </r>
    <rPh sb="0" eb="1">
      <t>クロ</t>
    </rPh>
    <rPh sb="1" eb="3">
      <t>マジュツ</t>
    </rPh>
    <rPh sb="4" eb="6">
      <t>テチョウ</t>
    </rPh>
    <phoneticPr fontId="1"/>
  </si>
  <si>
    <r>
      <rPr>
        <sz val="11"/>
        <rFont val="游ゴシック Medium"/>
        <family val="3"/>
        <charset val="128"/>
      </rPr>
      <t>夢の宇宙誌</t>
    </r>
    <r>
      <rPr>
        <sz val="11"/>
        <rFont val="Consolas"/>
        <family val="3"/>
      </rPr>
      <t>/</t>
    </r>
    <r>
      <rPr>
        <sz val="11"/>
        <rFont val="游ゴシック Medium"/>
        <family val="3"/>
        <charset val="128"/>
      </rPr>
      <t>コスモグラフィア</t>
    </r>
    <r>
      <rPr>
        <sz val="11"/>
        <rFont val="Consolas"/>
        <family val="3"/>
      </rPr>
      <t xml:space="preserve"> </t>
    </r>
    <r>
      <rPr>
        <sz val="11"/>
        <rFont val="游ゴシック Medium"/>
        <family val="3"/>
        <charset val="128"/>
      </rPr>
      <t>ファンタスティカ</t>
    </r>
    <rPh sb="0" eb="1">
      <t>ユメ</t>
    </rPh>
    <rPh sb="2" eb="4">
      <t>ウチュウ</t>
    </rPh>
    <rPh sb="4" eb="5">
      <t>シ</t>
    </rPh>
    <phoneticPr fontId="1"/>
  </si>
  <si>
    <r>
      <rPr>
        <sz val="11"/>
        <rFont val="游ゴシック Medium"/>
        <family val="3"/>
        <charset val="128"/>
      </rPr>
      <t>秘密結社の手帖</t>
    </r>
    <rPh sb="0" eb="4">
      <t>ヒミツケッシャ</t>
    </rPh>
    <rPh sb="5" eb="7">
      <t>テチョウ</t>
    </rPh>
    <phoneticPr fontId="1"/>
  </si>
  <si>
    <r>
      <t>Europa</t>
    </r>
    <r>
      <rPr>
        <sz val="11"/>
        <rFont val="游ゴシック Medium"/>
        <family val="3"/>
        <charset val="128"/>
      </rPr>
      <t>の乳房</t>
    </r>
    <rPh sb="0" eb="6">
      <t>ヨーロッパ</t>
    </rPh>
    <rPh sb="7" eb="9">
      <t>チブサ</t>
    </rPh>
    <phoneticPr fontId="1"/>
  </si>
  <si>
    <r>
      <rPr>
        <sz val="11"/>
        <rFont val="游ゴシック Medium"/>
        <family val="3"/>
        <charset val="128"/>
      </rPr>
      <t>私のプリニウス</t>
    </r>
    <rPh sb="0" eb="1">
      <t>ワタシ</t>
    </rPh>
    <phoneticPr fontId="1"/>
  </si>
  <si>
    <r>
      <rPr>
        <sz val="11"/>
        <rFont val="游ゴシック Medium"/>
        <family val="3"/>
        <charset val="128"/>
      </rPr>
      <t>狐のだんぶくろ</t>
    </r>
    <rPh sb="0" eb="1">
      <t>キツネ</t>
    </rPh>
    <phoneticPr fontId="1"/>
  </si>
  <si>
    <r>
      <rPr>
        <sz val="11"/>
        <rFont val="游ゴシック Medium"/>
        <family val="3"/>
        <charset val="128"/>
      </rPr>
      <t>幻想の彼方へ</t>
    </r>
    <rPh sb="0" eb="2">
      <t>ゲンソウ</t>
    </rPh>
    <rPh sb="3" eb="5">
      <t>カナタ</t>
    </rPh>
    <phoneticPr fontId="1"/>
  </si>
  <si>
    <r>
      <rPr>
        <sz val="11"/>
        <rFont val="游ゴシック Medium"/>
        <family val="3"/>
        <charset val="128"/>
      </rPr>
      <t>妖人奇人館</t>
    </r>
    <rPh sb="0" eb="2">
      <t>ヨウジン</t>
    </rPh>
    <rPh sb="2" eb="4">
      <t>キジン</t>
    </rPh>
    <rPh sb="4" eb="5">
      <t>カン</t>
    </rPh>
    <phoneticPr fontId="1"/>
  </si>
  <si>
    <r>
      <rPr>
        <sz val="11"/>
        <rFont val="游ゴシック Medium"/>
        <family val="3"/>
        <charset val="128"/>
      </rPr>
      <t>東西不思議物語</t>
    </r>
    <rPh sb="0" eb="2">
      <t>トウザイ</t>
    </rPh>
    <rPh sb="2" eb="5">
      <t>フシギ</t>
    </rPh>
    <rPh sb="5" eb="7">
      <t>モノガタリ</t>
    </rPh>
    <phoneticPr fontId="1"/>
  </si>
  <si>
    <r>
      <rPr>
        <sz val="11"/>
        <rFont val="游ゴシック Medium"/>
        <family val="3"/>
        <charset val="128"/>
      </rPr>
      <t>華やかな食物誌</t>
    </r>
    <rPh sb="0" eb="1">
      <t>ハナ</t>
    </rPh>
    <rPh sb="4" eb="6">
      <t>ショクモツ</t>
    </rPh>
    <rPh sb="6" eb="7">
      <t>シ</t>
    </rPh>
    <phoneticPr fontId="1"/>
  </si>
  <si>
    <r>
      <rPr>
        <sz val="11"/>
        <rFont val="游ゴシック Medium"/>
        <family val="3"/>
        <charset val="128"/>
      </rPr>
      <t>神聖受胎</t>
    </r>
    <rPh sb="0" eb="2">
      <t>シンセイ</t>
    </rPh>
    <rPh sb="2" eb="4">
      <t>ジュタイ</t>
    </rPh>
    <phoneticPr fontId="1"/>
  </si>
  <si>
    <r>
      <rPr>
        <sz val="11"/>
        <rFont val="游ゴシック Medium"/>
        <family val="3"/>
        <charset val="128"/>
      </rPr>
      <t>胡桃の中の世界</t>
    </r>
    <rPh sb="0" eb="2">
      <t>クルミ</t>
    </rPh>
    <rPh sb="3" eb="4">
      <t>ナカ</t>
    </rPh>
    <rPh sb="5" eb="7">
      <t>セカイ</t>
    </rPh>
    <phoneticPr fontId="1"/>
  </si>
  <si>
    <r>
      <rPr>
        <sz val="11"/>
        <rFont val="游ゴシック Medium"/>
        <family val="3"/>
        <charset val="128"/>
      </rPr>
      <t>毒薬の手帖</t>
    </r>
    <rPh sb="0" eb="2">
      <t>ドクヤク</t>
    </rPh>
    <rPh sb="3" eb="5">
      <t>テチョウ</t>
    </rPh>
    <phoneticPr fontId="1"/>
  </si>
  <si>
    <r>
      <rPr>
        <sz val="11"/>
        <rFont val="游ゴシック Medium"/>
        <family val="3"/>
        <charset val="128"/>
      </rPr>
      <t>ドラコニア綺譚集</t>
    </r>
    <rPh sb="5" eb="7">
      <t>キタン</t>
    </rPh>
    <rPh sb="7" eb="8">
      <t>シュウ</t>
    </rPh>
    <phoneticPr fontId="1"/>
  </si>
  <si>
    <r>
      <t>Eros</t>
    </r>
    <r>
      <rPr>
        <sz val="11"/>
        <rFont val="游ゴシック Medium"/>
        <family val="3"/>
        <charset val="128"/>
      </rPr>
      <t>の解剖</t>
    </r>
    <rPh sb="0" eb="4">
      <t>エロス</t>
    </rPh>
    <rPh sb="5" eb="7">
      <t>カイボウ</t>
    </rPh>
    <phoneticPr fontId="1"/>
  </si>
  <si>
    <r>
      <rPr>
        <sz val="11"/>
        <rFont val="游ゴシック Medium"/>
        <family val="3"/>
        <charset val="128"/>
      </rPr>
      <t>マルジナリア</t>
    </r>
    <phoneticPr fontId="1"/>
  </si>
  <si>
    <r>
      <rPr>
        <sz val="11"/>
        <rFont val="游ゴシック Medium"/>
        <family val="3"/>
        <charset val="128"/>
      </rPr>
      <t>偏愛的作家論</t>
    </r>
    <rPh sb="0" eb="3">
      <t>ヘンアイテキ</t>
    </rPh>
    <rPh sb="3" eb="5">
      <t>サッカ</t>
    </rPh>
    <rPh sb="5" eb="6">
      <t>ロン</t>
    </rPh>
    <phoneticPr fontId="1"/>
  </si>
  <si>
    <r>
      <rPr>
        <sz val="11"/>
        <rFont val="游ゴシック Medium"/>
        <family val="3"/>
        <charset val="128"/>
      </rPr>
      <t>少女コレクション序説</t>
    </r>
    <rPh sb="0" eb="2">
      <t>ショウジョ</t>
    </rPh>
    <rPh sb="8" eb="10">
      <t>ジョセツ</t>
    </rPh>
    <phoneticPr fontId="1"/>
  </si>
  <si>
    <r>
      <t>Eros</t>
    </r>
    <r>
      <rPr>
        <sz val="11"/>
        <rFont val="游ゴシック Medium"/>
        <family val="3"/>
        <charset val="128"/>
      </rPr>
      <t>的人間</t>
    </r>
    <rPh sb="0" eb="4">
      <t>エロス</t>
    </rPh>
    <rPh sb="4" eb="5">
      <t>テキ</t>
    </rPh>
    <rPh sb="5" eb="7">
      <t>ニンゲン</t>
    </rPh>
    <phoneticPr fontId="1"/>
  </si>
  <si>
    <r>
      <rPr>
        <sz val="11"/>
        <rFont val="游ゴシック Medium"/>
        <family val="3"/>
        <charset val="128"/>
      </rPr>
      <t>玩物草子</t>
    </r>
    <rPh sb="0" eb="2">
      <t>ガンブツ</t>
    </rPh>
    <rPh sb="2" eb="4">
      <t>ゾウシ</t>
    </rPh>
    <phoneticPr fontId="1"/>
  </si>
  <si>
    <r>
      <rPr>
        <sz val="11"/>
        <rFont val="游ゴシック Medium"/>
        <family val="3"/>
        <charset val="128"/>
      </rPr>
      <t>悪魔のいる文学史</t>
    </r>
    <r>
      <rPr>
        <sz val="11"/>
        <rFont val="Consolas"/>
        <family val="3"/>
      </rPr>
      <t>/</t>
    </r>
    <r>
      <rPr>
        <sz val="11"/>
        <rFont val="游ゴシック Medium"/>
        <family val="3"/>
        <charset val="128"/>
      </rPr>
      <t>神秘家と狂詩人</t>
    </r>
    <rPh sb="0" eb="2">
      <t>アクマ</t>
    </rPh>
    <rPh sb="5" eb="8">
      <t>ブンガクシ</t>
    </rPh>
    <rPh sb="9" eb="11">
      <t>シンピ</t>
    </rPh>
    <rPh sb="11" eb="12">
      <t>カ</t>
    </rPh>
    <rPh sb="13" eb="14">
      <t>キョウ</t>
    </rPh>
    <rPh sb="14" eb="16">
      <t>シジン</t>
    </rPh>
    <phoneticPr fontId="1"/>
  </si>
  <si>
    <r>
      <rPr>
        <sz val="11"/>
        <rFont val="游ゴシック Medium"/>
        <family val="3"/>
        <charset val="128"/>
      </rPr>
      <t>暗黒のメルヘン</t>
    </r>
    <rPh sb="0" eb="2">
      <t>アンコク</t>
    </rPh>
    <phoneticPr fontId="1"/>
  </si>
  <si>
    <r>
      <rPr>
        <sz val="11"/>
        <rFont val="游ゴシック Medium"/>
        <family val="3"/>
        <charset val="128"/>
      </rPr>
      <t>唐草物語</t>
    </r>
    <r>
      <rPr>
        <sz val="11"/>
        <rFont val="Consolas"/>
        <family val="3"/>
      </rPr>
      <t>/Contes arabesques</t>
    </r>
    <rPh sb="0" eb="2">
      <t>カラクサ</t>
    </rPh>
    <rPh sb="2" eb="4">
      <t>モノガタリ</t>
    </rPh>
    <phoneticPr fontId="1"/>
  </si>
  <si>
    <r>
      <rPr>
        <sz val="11"/>
        <rFont val="游ゴシック Medium"/>
        <family val="3"/>
        <charset val="128"/>
      </rPr>
      <t>エピクロスの肋骨</t>
    </r>
    <rPh sb="6" eb="8">
      <t>ロッコツ</t>
    </rPh>
    <phoneticPr fontId="1"/>
  </si>
  <si>
    <r>
      <rPr>
        <b/>
        <sz val="11"/>
        <color indexed="33"/>
        <rFont val="游ゴシック Medium"/>
        <family val="3"/>
        <charset val="128"/>
      </rPr>
      <t>犬狼都市</t>
    </r>
    <rPh sb="0" eb="4">
      <t>キュノポリス</t>
    </rPh>
    <phoneticPr fontId="1"/>
  </si>
  <si>
    <r>
      <rPr>
        <sz val="11"/>
        <rFont val="游ゴシック Medium"/>
        <family val="3"/>
        <charset val="128"/>
      </rPr>
      <t>うつろ舟</t>
    </r>
    <rPh sb="3" eb="4">
      <t>ブネ</t>
    </rPh>
    <phoneticPr fontId="1"/>
  </si>
  <si>
    <r>
      <rPr>
        <sz val="11"/>
        <rFont val="游ゴシック Medium"/>
        <family val="3"/>
        <charset val="128"/>
      </rPr>
      <t>高岡親王航海記</t>
    </r>
    <rPh sb="0" eb="2">
      <t>タカオカ</t>
    </rPh>
    <rPh sb="2" eb="4">
      <t>シンノウ</t>
    </rPh>
    <rPh sb="4" eb="6">
      <t>コウカイ</t>
    </rPh>
    <rPh sb="6" eb="7">
      <t>キ</t>
    </rPh>
    <phoneticPr fontId="1"/>
  </si>
  <si>
    <r>
      <rPr>
        <sz val="11"/>
        <rFont val="游ゴシック Medium"/>
        <family val="3"/>
        <charset val="128"/>
      </rPr>
      <t>血と薔薇</t>
    </r>
    <r>
      <rPr>
        <sz val="11"/>
        <rFont val="Consolas"/>
        <family val="3"/>
      </rPr>
      <t xml:space="preserve"> </t>
    </r>
    <r>
      <rPr>
        <sz val="11"/>
        <rFont val="游ゴシック Medium"/>
        <family val="3"/>
        <charset val="128"/>
      </rPr>
      <t>コレクション</t>
    </r>
    <r>
      <rPr>
        <sz val="11"/>
        <rFont val="Consolas"/>
        <family val="3"/>
      </rPr>
      <t xml:space="preserve"> 1</t>
    </r>
    <rPh sb="0" eb="1">
      <t>チ</t>
    </rPh>
    <rPh sb="2" eb="4">
      <t>バラ</t>
    </rPh>
    <phoneticPr fontId="1"/>
  </si>
  <si>
    <r>
      <rPr>
        <sz val="11"/>
        <rFont val="游ゴシック Medium"/>
        <family val="3"/>
        <charset val="128"/>
      </rPr>
      <t>六本木ヒルズ森ビル</t>
    </r>
    <rPh sb="0" eb="3">
      <t>ロッポンギ</t>
    </rPh>
    <rPh sb="6" eb="7">
      <t>モリ</t>
    </rPh>
    <phoneticPr fontId="1"/>
  </si>
  <si>
    <r>
      <rPr>
        <sz val="11"/>
        <rFont val="游ゴシック Medium"/>
        <family val="3"/>
        <charset val="128"/>
      </rPr>
      <t>血と薔薇</t>
    </r>
    <r>
      <rPr>
        <sz val="11"/>
        <rFont val="Consolas"/>
        <family val="3"/>
      </rPr>
      <t xml:space="preserve"> </t>
    </r>
    <r>
      <rPr>
        <sz val="11"/>
        <rFont val="游ゴシック Medium"/>
        <family val="3"/>
        <charset val="128"/>
      </rPr>
      <t>コレクション</t>
    </r>
    <r>
      <rPr>
        <sz val="11"/>
        <rFont val="Consolas"/>
        <family val="3"/>
      </rPr>
      <t xml:space="preserve"> 2</t>
    </r>
    <rPh sb="0" eb="1">
      <t>チ</t>
    </rPh>
    <rPh sb="2" eb="4">
      <t>バラ</t>
    </rPh>
    <phoneticPr fontId="1"/>
  </si>
  <si>
    <r>
      <rPr>
        <sz val="11"/>
        <rFont val="游ゴシック Medium"/>
        <family val="3"/>
        <charset val="128"/>
      </rPr>
      <t>血と薔薇</t>
    </r>
    <r>
      <rPr>
        <sz val="11"/>
        <rFont val="Consolas"/>
        <family val="3"/>
      </rPr>
      <t xml:space="preserve"> </t>
    </r>
    <r>
      <rPr>
        <sz val="11"/>
        <rFont val="游ゴシック Medium"/>
        <family val="3"/>
        <charset val="128"/>
      </rPr>
      <t>コレクション</t>
    </r>
    <r>
      <rPr>
        <sz val="11"/>
        <rFont val="Consolas"/>
        <family val="3"/>
      </rPr>
      <t xml:space="preserve"> 3</t>
    </r>
    <rPh sb="0" eb="1">
      <t>チ</t>
    </rPh>
    <rPh sb="2" eb="4">
      <t>バラ</t>
    </rPh>
    <phoneticPr fontId="1"/>
  </si>
  <si>
    <r>
      <t>Sade</t>
    </r>
    <r>
      <rPr>
        <sz val="11"/>
        <rFont val="游ゴシック Medium"/>
        <family val="3"/>
        <charset val="128"/>
      </rPr>
      <t>侯爵の生涯</t>
    </r>
    <rPh sb="0" eb="4">
      <t>サド</t>
    </rPh>
    <rPh sb="4" eb="6">
      <t>コウシャク</t>
    </rPh>
    <rPh sb="7" eb="9">
      <t>ショウガイ</t>
    </rPh>
    <phoneticPr fontId="1"/>
  </si>
  <si>
    <r>
      <t>Sade</t>
    </r>
    <r>
      <rPr>
        <sz val="11"/>
        <rFont val="游ゴシック Medium"/>
        <family val="3"/>
        <charset val="128"/>
      </rPr>
      <t>侯爵の手紙</t>
    </r>
    <rPh sb="0" eb="4">
      <t>サド</t>
    </rPh>
    <rPh sb="4" eb="6">
      <t>コウシャク</t>
    </rPh>
    <rPh sb="7" eb="9">
      <t>テガミ</t>
    </rPh>
    <phoneticPr fontId="1"/>
  </si>
  <si>
    <r>
      <rPr>
        <sz val="11"/>
        <rFont val="游ゴシック Medium"/>
        <family val="3"/>
        <charset val="128"/>
      </rPr>
      <t>恋の罪</t>
    </r>
    <rPh sb="0" eb="1">
      <t>コイ</t>
    </rPh>
    <rPh sb="2" eb="3">
      <t>ツミ</t>
    </rPh>
    <phoneticPr fontId="1"/>
  </si>
  <si>
    <r>
      <rPr>
        <sz val="11"/>
        <rFont val="游ゴシック Medium"/>
        <family val="3"/>
        <charset val="128"/>
      </rPr>
      <t>マルキ</t>
    </r>
    <r>
      <rPr>
        <sz val="11"/>
        <rFont val="Consolas"/>
        <family val="3"/>
      </rPr>
      <t xml:space="preserve"> de Sade</t>
    </r>
    <r>
      <rPr>
        <sz val="11"/>
        <rFont val="游ゴシック Medium"/>
        <family val="3"/>
        <charset val="128"/>
      </rPr>
      <t>選集</t>
    </r>
    <rPh sb="4" eb="6">
      <t>ド</t>
    </rPh>
    <rPh sb="7" eb="11">
      <t>サド</t>
    </rPh>
    <rPh sb="11" eb="13">
      <t>センシュウ</t>
    </rPh>
    <phoneticPr fontId="1"/>
  </si>
  <si>
    <r>
      <t>Sodom</t>
    </r>
    <r>
      <rPr>
        <sz val="11"/>
        <rFont val="游ゴシック Medium"/>
        <family val="3"/>
        <charset val="128"/>
      </rPr>
      <t>百二十日</t>
    </r>
    <rPh sb="0" eb="5">
      <t>ソドム</t>
    </rPh>
    <rPh sb="5" eb="9">
      <t>ヒャクニジュウニチ</t>
    </rPh>
    <phoneticPr fontId="1"/>
  </si>
  <si>
    <r>
      <rPr>
        <sz val="11"/>
        <rFont val="游ゴシック Medium"/>
        <family val="3"/>
        <charset val="128"/>
      </rPr>
      <t>食人国旅行記</t>
    </r>
    <rPh sb="0" eb="1">
      <t>ショク</t>
    </rPh>
    <rPh sb="1" eb="2">
      <t>ジン</t>
    </rPh>
    <rPh sb="2" eb="3">
      <t>コク</t>
    </rPh>
    <rPh sb="3" eb="6">
      <t>リョコウキ</t>
    </rPh>
    <phoneticPr fontId="1"/>
  </si>
  <si>
    <r>
      <rPr>
        <sz val="11"/>
        <rFont val="游ゴシック Medium"/>
        <family val="3"/>
        <charset val="128"/>
      </rPr>
      <t>美徳の不幸</t>
    </r>
    <rPh sb="0" eb="2">
      <t>ビトク</t>
    </rPh>
    <rPh sb="3" eb="5">
      <t>フコウ</t>
    </rPh>
    <phoneticPr fontId="1"/>
  </si>
  <si>
    <r>
      <rPr>
        <b/>
        <sz val="11"/>
        <color indexed="33"/>
        <rFont val="游ゴシック Medium"/>
        <family val="3"/>
        <charset val="128"/>
      </rPr>
      <t>新ジュスティーヌ</t>
    </r>
    <rPh sb="0" eb="1">
      <t>シン</t>
    </rPh>
    <phoneticPr fontId="1"/>
  </si>
  <si>
    <r>
      <rPr>
        <sz val="11"/>
        <rFont val="游ゴシック Medium"/>
        <family val="3"/>
        <charset val="128"/>
      </rPr>
      <t>悪徳の栄え</t>
    </r>
    <rPh sb="0" eb="2">
      <t>アクトク</t>
    </rPh>
    <rPh sb="3" eb="4">
      <t>サカ</t>
    </rPh>
    <phoneticPr fontId="1"/>
  </si>
  <si>
    <r>
      <rPr>
        <sz val="11"/>
        <rFont val="游ゴシック Medium"/>
        <family val="3"/>
        <charset val="128"/>
      </rPr>
      <t>上下</t>
    </r>
    <r>
      <rPr>
        <sz val="11"/>
        <rFont val="Consolas"/>
        <family val="3"/>
      </rPr>
      <t>/</t>
    </r>
    <r>
      <rPr>
        <sz val="11"/>
        <rFont val="游ゴシック Medium"/>
        <family val="3"/>
        <charset val="128"/>
      </rPr>
      <t>マルキ</t>
    </r>
    <r>
      <rPr>
        <sz val="11"/>
        <rFont val="Consolas"/>
        <family val="3"/>
      </rPr>
      <t xml:space="preserve"> de Sade</t>
    </r>
    <r>
      <rPr>
        <sz val="11"/>
        <rFont val="游ゴシック Medium"/>
        <family val="3"/>
        <charset val="128"/>
      </rPr>
      <t>選集</t>
    </r>
    <rPh sb="0" eb="2">
      <t>ジョウゲ</t>
    </rPh>
    <rPh sb="7" eb="9">
      <t>ド</t>
    </rPh>
    <rPh sb="10" eb="14">
      <t>サド</t>
    </rPh>
    <rPh sb="14" eb="16">
      <t>センシュウ</t>
    </rPh>
    <phoneticPr fontId="1"/>
  </si>
  <si>
    <r>
      <t>O</t>
    </r>
    <r>
      <rPr>
        <sz val="11"/>
        <rFont val="游ゴシック Medium"/>
        <family val="3"/>
        <charset val="128"/>
      </rPr>
      <t>嬢の物語</t>
    </r>
    <r>
      <rPr>
        <sz val="11"/>
        <rFont val="Consolas"/>
        <family val="3"/>
      </rPr>
      <t>/Histoire d'O</t>
    </r>
    <rPh sb="0" eb="1">
      <t>オー</t>
    </rPh>
    <rPh sb="1" eb="2">
      <t>ジョウ</t>
    </rPh>
    <rPh sb="3" eb="5">
      <t>モノガタリ</t>
    </rPh>
    <phoneticPr fontId="1"/>
  </si>
  <si>
    <r>
      <rPr>
        <sz val="11"/>
        <rFont val="游ゴシック Medium"/>
        <family val="3"/>
        <charset val="128"/>
      </rPr>
      <t>さかしま</t>
    </r>
    <r>
      <rPr>
        <sz val="11"/>
        <rFont val="Consolas"/>
        <family val="3"/>
      </rPr>
      <t>/a rebours</t>
    </r>
    <phoneticPr fontId="1"/>
  </si>
  <si>
    <r>
      <t>subculture/</t>
    </r>
    <r>
      <rPr>
        <sz val="11"/>
        <rFont val="游ゴシック Medium"/>
        <family val="3"/>
        <charset val="128"/>
      </rPr>
      <t>童話</t>
    </r>
    <rPh sb="11" eb="13">
      <t>ドウワ</t>
    </rPh>
    <phoneticPr fontId="1"/>
  </si>
  <si>
    <r>
      <rPr>
        <b/>
        <sz val="11"/>
        <color indexed="33"/>
        <rFont val="游ゴシック Medium"/>
        <family val="3"/>
        <charset val="128"/>
      </rPr>
      <t>澁澤龍彦</t>
    </r>
    <r>
      <rPr>
        <sz val="11"/>
        <rFont val="Consolas"/>
        <family val="3"/>
      </rPr>
      <t>/</t>
    </r>
    <r>
      <rPr>
        <sz val="11"/>
        <rFont val="游ゴシック Medium"/>
        <family val="3"/>
        <charset val="128"/>
      </rPr>
      <t>片山</t>
    </r>
    <r>
      <rPr>
        <sz val="11"/>
        <rFont val="Consolas"/>
        <family val="3"/>
      </rPr>
      <t xml:space="preserve"> </t>
    </r>
    <r>
      <rPr>
        <sz val="11"/>
        <rFont val="游ゴシック Medium"/>
        <family val="3"/>
        <charset val="128"/>
      </rPr>
      <t>健</t>
    </r>
    <rPh sb="0" eb="2">
      <t>シブサワ</t>
    </rPh>
    <rPh sb="2" eb="4">
      <t>タツヒコ</t>
    </rPh>
    <rPh sb="5" eb="7">
      <t>カタヤマ</t>
    </rPh>
    <rPh sb="8" eb="9">
      <t>ケン</t>
    </rPh>
    <phoneticPr fontId="1"/>
  </si>
  <si>
    <r>
      <rPr>
        <sz val="11"/>
        <rFont val="游ゴシック Medium"/>
        <family val="3"/>
        <charset val="128"/>
      </rPr>
      <t>訳</t>
    </r>
    <r>
      <rPr>
        <sz val="11"/>
        <rFont val="Consolas"/>
        <family val="3"/>
      </rPr>
      <t>/</t>
    </r>
    <r>
      <rPr>
        <sz val="11"/>
        <rFont val="游ゴシック Medium"/>
        <family val="3"/>
        <charset val="128"/>
      </rPr>
      <t>挿絵</t>
    </r>
    <rPh sb="0" eb="1">
      <t>ヤク</t>
    </rPh>
    <rPh sb="2" eb="4">
      <t>サシエ</t>
    </rPh>
    <phoneticPr fontId="1"/>
  </si>
  <si>
    <r>
      <rPr>
        <sz val="11"/>
        <rFont val="游ゴシック Medium"/>
        <family val="3"/>
        <charset val="128"/>
      </rPr>
      <t>長靴をはいた猫</t>
    </r>
    <rPh sb="0" eb="2">
      <t>ナガグツ</t>
    </rPh>
    <rPh sb="6" eb="7">
      <t>ネコ</t>
    </rPh>
    <phoneticPr fontId="1"/>
  </si>
  <si>
    <r>
      <t>an</t>
    </r>
    <r>
      <rPr>
        <sz val="11"/>
        <rFont val="游ゴシック Medium"/>
        <family val="3"/>
        <charset val="128"/>
      </rPr>
      <t>･</t>
    </r>
    <r>
      <rPr>
        <sz val="11"/>
        <rFont val="Consolas"/>
        <family val="3"/>
      </rPr>
      <t>an</t>
    </r>
    <r>
      <rPr>
        <sz val="11"/>
        <rFont val="游ゴシック Medium"/>
        <family val="3"/>
        <charset val="128"/>
      </rPr>
      <t>に連載</t>
    </r>
    <rPh sb="6" eb="8">
      <t>レンサイ</t>
    </rPh>
    <phoneticPr fontId="1"/>
  </si>
  <si>
    <r>
      <rPr>
        <sz val="11"/>
        <rFont val="游ゴシック Medium"/>
        <family val="3"/>
        <charset val="128"/>
      </rPr>
      <t>大股びらき</t>
    </r>
    <rPh sb="0" eb="2">
      <t>オオマタ</t>
    </rPh>
    <phoneticPr fontId="1"/>
  </si>
  <si>
    <r>
      <rPr>
        <sz val="11"/>
        <rFont val="游ゴシック Medium"/>
        <family val="3"/>
        <charset val="128"/>
      </rPr>
      <t>浮く女</t>
    </r>
    <r>
      <rPr>
        <sz val="11"/>
        <rFont val="Consolas"/>
        <family val="3"/>
      </rPr>
      <t xml:space="preserve"> </t>
    </r>
    <r>
      <rPr>
        <sz val="11"/>
        <rFont val="游ゴシック Medium"/>
        <family val="3"/>
        <charset val="128"/>
      </rPr>
      <t>沈む男</t>
    </r>
    <rPh sb="0" eb="1">
      <t>ウ</t>
    </rPh>
    <rPh sb="2" eb="3">
      <t>オンナ</t>
    </rPh>
    <rPh sb="4" eb="5">
      <t>シズ</t>
    </rPh>
    <rPh sb="6" eb="7">
      <t>オトコ</t>
    </rPh>
    <phoneticPr fontId="1"/>
  </si>
  <si>
    <r>
      <rPr>
        <sz val="11"/>
        <rFont val="游ゴシック Medium"/>
        <family val="3"/>
        <charset val="128"/>
      </rPr>
      <t>朝日文庫</t>
    </r>
    <r>
      <rPr>
        <sz val="11"/>
        <rFont val="Consolas"/>
        <family val="3"/>
      </rPr>
      <t>/</t>
    </r>
    <r>
      <rPr>
        <sz val="11"/>
        <rFont val="游ゴシック Medium"/>
        <family val="3"/>
        <charset val="128"/>
      </rPr>
      <t>朝日新聞社</t>
    </r>
    <rPh sb="0" eb="4">
      <t>アサヒブンコ</t>
    </rPh>
    <rPh sb="5" eb="7">
      <t>アサヒ</t>
    </rPh>
    <rPh sb="7" eb="9">
      <t>シンブン</t>
    </rPh>
    <rPh sb="9" eb="10">
      <t>シャ</t>
    </rPh>
    <phoneticPr fontId="1"/>
  </si>
  <si>
    <r>
      <rPr>
        <sz val="11"/>
        <rFont val="游ゴシック Medium"/>
        <family val="3"/>
        <charset val="128"/>
      </rPr>
      <t>優しいサヨクのための嬉遊曲</t>
    </r>
    <rPh sb="0" eb="1">
      <t>ヤサ</t>
    </rPh>
    <rPh sb="10" eb="13">
      <t>キユウキョク</t>
    </rPh>
    <phoneticPr fontId="1"/>
  </si>
  <si>
    <r>
      <rPr>
        <sz val="11"/>
        <rFont val="游ゴシック Medium"/>
        <family val="3"/>
        <charset val="128"/>
      </rPr>
      <t>島村</t>
    </r>
    <r>
      <rPr>
        <sz val="11"/>
        <rFont val="Consolas"/>
        <family val="3"/>
      </rPr>
      <t xml:space="preserve"> </t>
    </r>
    <r>
      <rPr>
        <sz val="11"/>
        <rFont val="游ゴシック Medium"/>
        <family val="3"/>
        <charset val="128"/>
      </rPr>
      <t>匠</t>
    </r>
    <rPh sb="0" eb="2">
      <t>シマムラ</t>
    </rPh>
    <rPh sb="3" eb="4">
      <t>タクミ</t>
    </rPh>
    <phoneticPr fontId="1"/>
  </si>
  <si>
    <r>
      <rPr>
        <sz val="11"/>
        <rFont val="游ゴシック Medium"/>
        <family val="3"/>
        <charset val="128"/>
      </rPr>
      <t>聖痕</t>
    </r>
    <rPh sb="0" eb="1">
      <t>セイ</t>
    </rPh>
    <rPh sb="1" eb="2">
      <t>コン</t>
    </rPh>
    <phoneticPr fontId="1"/>
  </si>
  <si>
    <r>
      <rPr>
        <sz val="11"/>
        <rFont val="游ゴシック Medium"/>
        <family val="3"/>
        <charset val="128"/>
      </rPr>
      <t>杉本鉞子</t>
    </r>
    <rPh sb="0" eb="2">
      <t>スギモト</t>
    </rPh>
    <rPh sb="2" eb="3">
      <t>マサ</t>
    </rPh>
    <rPh sb="3" eb="4">
      <t>コ</t>
    </rPh>
    <phoneticPr fontId="1"/>
  </si>
  <si>
    <r>
      <rPr>
        <sz val="11"/>
        <rFont val="游ゴシック Medium"/>
        <family val="3"/>
        <charset val="128"/>
      </rPr>
      <t>大岩美代</t>
    </r>
    <rPh sb="0" eb="2">
      <t>オオイワ</t>
    </rPh>
    <rPh sb="2" eb="4">
      <t>ミヨ</t>
    </rPh>
    <phoneticPr fontId="1"/>
  </si>
  <si>
    <r>
      <rPr>
        <sz val="11"/>
        <rFont val="游ゴシック Medium"/>
        <family val="3"/>
        <charset val="128"/>
      </rPr>
      <t>武士の娘</t>
    </r>
    <rPh sb="0" eb="2">
      <t>ブシ</t>
    </rPh>
    <rPh sb="3" eb="4">
      <t>ムスメ</t>
    </rPh>
    <phoneticPr fontId="1"/>
  </si>
  <si>
    <r>
      <rPr>
        <sz val="11"/>
        <rFont val="游ゴシック Medium"/>
        <family val="3"/>
        <charset val="128"/>
      </rPr>
      <t>瀬戸内晴美</t>
    </r>
    <rPh sb="0" eb="3">
      <t>セトウチ</t>
    </rPh>
    <rPh sb="3" eb="5">
      <t>ハルミ</t>
    </rPh>
    <phoneticPr fontId="1"/>
  </si>
  <si>
    <r>
      <rPr>
        <sz val="11"/>
        <rFont val="游ゴシック Medium"/>
        <family val="3"/>
        <charset val="128"/>
      </rPr>
      <t>夏の終り</t>
    </r>
    <rPh sb="0" eb="1">
      <t>ナツ</t>
    </rPh>
    <rPh sb="2" eb="3">
      <t>オワ</t>
    </rPh>
    <phoneticPr fontId="1"/>
  </si>
  <si>
    <r>
      <rPr>
        <sz val="11"/>
        <rFont val="游ゴシック Medium"/>
        <family val="3"/>
        <charset val="128"/>
      </rPr>
      <t>かの子撩乱</t>
    </r>
    <rPh sb="2" eb="3">
      <t>コ</t>
    </rPh>
    <rPh sb="3" eb="5">
      <t>リョウラン</t>
    </rPh>
    <phoneticPr fontId="1"/>
  </si>
  <si>
    <r>
      <rPr>
        <sz val="11"/>
        <rFont val="游ゴシック Medium"/>
        <family val="3"/>
        <charset val="128"/>
      </rPr>
      <t>幻花</t>
    </r>
    <rPh sb="0" eb="2">
      <t>ゲンカ</t>
    </rPh>
    <phoneticPr fontId="1"/>
  </si>
  <si>
    <r>
      <rPr>
        <sz val="11"/>
        <rFont val="游ゴシック Medium"/>
        <family val="3"/>
        <charset val="128"/>
      </rPr>
      <t>下のみ</t>
    </r>
    <rPh sb="0" eb="1">
      <t>ゲ</t>
    </rPh>
    <phoneticPr fontId="1"/>
  </si>
  <si>
    <r>
      <rPr>
        <sz val="11"/>
        <rFont val="游ゴシック Medium"/>
        <family val="3"/>
        <charset val="128"/>
      </rPr>
      <t>芹沢光治良</t>
    </r>
    <rPh sb="0" eb="2">
      <t>セリザワ</t>
    </rPh>
    <rPh sb="2" eb="5">
      <t>コウジロウ</t>
    </rPh>
    <phoneticPr fontId="1"/>
  </si>
  <si>
    <r>
      <rPr>
        <sz val="11"/>
        <rFont val="游ゴシック Medium"/>
        <family val="3"/>
        <charset val="128"/>
      </rPr>
      <t>巴里に死す</t>
    </r>
    <rPh sb="0" eb="2">
      <t>パリ</t>
    </rPh>
    <rPh sb="3" eb="4">
      <t>シ</t>
    </rPh>
    <phoneticPr fontId="1"/>
  </si>
  <si>
    <r>
      <rPr>
        <sz val="11"/>
        <rFont val="游ゴシック Medium"/>
        <family val="3"/>
        <charset val="128"/>
      </rPr>
      <t>髙樹のぶ子</t>
    </r>
    <rPh sb="0" eb="2">
      <t>タカギ</t>
    </rPh>
    <rPh sb="4" eb="5">
      <t>コ</t>
    </rPh>
    <phoneticPr fontId="1"/>
  </si>
  <si>
    <r>
      <rPr>
        <sz val="11"/>
        <rFont val="游ゴシック Medium"/>
        <family val="3"/>
        <charset val="128"/>
      </rPr>
      <t>波光きらめく果て</t>
    </r>
    <r>
      <rPr>
        <sz val="11"/>
        <rFont val="Consolas"/>
        <family val="3"/>
      </rPr>
      <t>/</t>
    </r>
    <r>
      <rPr>
        <sz val="11"/>
        <rFont val="游ゴシック Medium"/>
        <family val="3"/>
        <charset val="128"/>
      </rPr>
      <t>土の旅人</t>
    </r>
    <rPh sb="0" eb="2">
      <t>ハコウ</t>
    </rPh>
    <rPh sb="6" eb="7">
      <t>ハ</t>
    </rPh>
    <rPh sb="9" eb="10">
      <t>ツチ</t>
    </rPh>
    <rPh sb="11" eb="13">
      <t>タビビト</t>
    </rPh>
    <phoneticPr fontId="1"/>
  </si>
  <si>
    <r>
      <rPr>
        <sz val="11"/>
        <rFont val="游ゴシック Medium"/>
        <family val="3"/>
        <charset val="128"/>
      </rPr>
      <t>文春文庫</t>
    </r>
    <rPh sb="0" eb="2">
      <t>ブンシュン</t>
    </rPh>
    <rPh sb="2" eb="4">
      <t>ブンコ</t>
    </rPh>
    <phoneticPr fontId="1"/>
  </si>
  <si>
    <r>
      <rPr>
        <strike/>
        <sz val="11"/>
        <rFont val="游ゴシック Medium"/>
        <family val="3"/>
        <charset val="128"/>
      </rPr>
      <t>文庫</t>
    </r>
    <rPh sb="0" eb="2">
      <t>ブンコ</t>
    </rPh>
    <phoneticPr fontId="1"/>
  </si>
  <si>
    <r>
      <rPr>
        <b/>
        <strike/>
        <sz val="11"/>
        <color indexed="33"/>
        <rFont val="游ゴシック Medium"/>
        <family val="3"/>
        <charset val="128"/>
      </rPr>
      <t>高橋和巳</t>
    </r>
    <rPh sb="0" eb="2">
      <t>タカハシ</t>
    </rPh>
    <rPh sb="2" eb="4">
      <t>カズミ</t>
    </rPh>
    <phoneticPr fontId="1"/>
  </si>
  <si>
    <r>
      <rPr>
        <b/>
        <strike/>
        <sz val="11"/>
        <color indexed="33"/>
        <rFont val="游ゴシック Medium"/>
        <family val="3"/>
        <charset val="128"/>
      </rPr>
      <t>邪宗門（上下）</t>
    </r>
    <rPh sb="0" eb="3">
      <t>ジャシュウモン</t>
    </rPh>
    <phoneticPr fontId="1"/>
  </si>
  <si>
    <r>
      <rPr>
        <strike/>
        <sz val="11"/>
        <rFont val="游ゴシック Medium"/>
        <family val="3"/>
        <charset val="128"/>
      </rPr>
      <t>（上下）</t>
    </r>
    <phoneticPr fontId="1"/>
  </si>
  <si>
    <r>
      <rPr>
        <strike/>
        <sz val="11"/>
        <rFont val="游ゴシック Medium"/>
        <family val="3"/>
        <charset val="128"/>
      </rPr>
      <t>新潮文庫</t>
    </r>
    <rPh sb="0" eb="4">
      <t>シンチョウブンコ</t>
    </rPh>
    <phoneticPr fontId="1"/>
  </si>
  <si>
    <r>
      <rPr>
        <b/>
        <sz val="11"/>
        <color indexed="33"/>
        <rFont val="游ゴシック Medium"/>
        <family val="3"/>
        <charset val="128"/>
      </rPr>
      <t>高橋和巳</t>
    </r>
    <rPh sb="0" eb="2">
      <t>タカハシ</t>
    </rPh>
    <rPh sb="2" eb="4">
      <t>カズミ</t>
    </rPh>
    <phoneticPr fontId="1"/>
  </si>
  <si>
    <r>
      <rPr>
        <b/>
        <sz val="11"/>
        <color indexed="33"/>
        <rFont val="游ゴシック Medium"/>
        <family val="3"/>
        <charset val="128"/>
      </rPr>
      <t>邪宗門（上下）</t>
    </r>
    <rPh sb="0" eb="3">
      <t>ジャシュウモン</t>
    </rPh>
    <phoneticPr fontId="1"/>
  </si>
  <si>
    <r>
      <rPr>
        <sz val="11"/>
        <rFont val="游ゴシック Medium"/>
        <family val="3"/>
        <charset val="128"/>
      </rPr>
      <t>（上下）</t>
    </r>
    <phoneticPr fontId="1"/>
  </si>
  <si>
    <r>
      <rPr>
        <strike/>
        <sz val="11"/>
        <rFont val="游ゴシック Medium"/>
        <family val="3"/>
        <charset val="128"/>
      </rPr>
      <t>高橋和巳</t>
    </r>
    <rPh sb="0" eb="2">
      <t>タカハシ</t>
    </rPh>
    <rPh sb="2" eb="4">
      <t>カズミ</t>
    </rPh>
    <phoneticPr fontId="1"/>
  </si>
  <si>
    <r>
      <rPr>
        <strike/>
        <sz val="11"/>
        <rFont val="游ゴシック Medium"/>
        <family val="3"/>
        <charset val="128"/>
      </rPr>
      <t>我が心は石にあらず</t>
    </r>
    <rPh sb="0" eb="1">
      <t>ワ</t>
    </rPh>
    <rPh sb="2" eb="3">
      <t>ココロ</t>
    </rPh>
    <rPh sb="4" eb="5">
      <t>イシ</t>
    </rPh>
    <phoneticPr fontId="1"/>
  </si>
  <si>
    <r>
      <rPr>
        <strike/>
        <sz val="11"/>
        <rFont val="游ゴシック Medium"/>
        <family val="3"/>
        <charset val="128"/>
      </rPr>
      <t>悲の器</t>
    </r>
    <rPh sb="0" eb="3">
      <t>ヒノウツワ</t>
    </rPh>
    <phoneticPr fontId="1"/>
  </si>
  <si>
    <r>
      <rPr>
        <sz val="11"/>
        <rFont val="游ゴシック Medium"/>
        <family val="3"/>
        <charset val="128"/>
      </rPr>
      <t>人間にとって</t>
    </r>
    <rPh sb="0" eb="2">
      <t>ニンゲン</t>
    </rPh>
    <phoneticPr fontId="1"/>
  </si>
  <si>
    <r>
      <t>Cover</t>
    </r>
    <r>
      <rPr>
        <sz val="11"/>
        <rFont val="游ゴシック Medium"/>
        <family val="3"/>
        <charset val="128"/>
      </rPr>
      <t>なし</t>
    </r>
    <rPh sb="0" eb="5">
      <t>カヴァー</t>
    </rPh>
    <phoneticPr fontId="1"/>
  </si>
  <si>
    <r>
      <rPr>
        <sz val="11"/>
        <rFont val="游ゴシック Medium"/>
        <family val="3"/>
        <charset val="128"/>
      </rPr>
      <t>高見</t>
    </r>
    <r>
      <rPr>
        <sz val="11"/>
        <rFont val="Consolas"/>
        <family val="3"/>
      </rPr>
      <t xml:space="preserve"> </t>
    </r>
    <r>
      <rPr>
        <sz val="11"/>
        <rFont val="游ゴシック Medium"/>
        <family val="3"/>
        <charset val="128"/>
      </rPr>
      <t>順</t>
    </r>
    <rPh sb="0" eb="2">
      <t>タカミ</t>
    </rPh>
    <rPh sb="3" eb="4">
      <t>ジュン</t>
    </rPh>
    <phoneticPr fontId="1"/>
  </si>
  <si>
    <r>
      <rPr>
        <sz val="11"/>
        <rFont val="游ゴシック Medium"/>
        <family val="3"/>
        <charset val="128"/>
      </rPr>
      <t>都に夜のある如く</t>
    </r>
    <rPh sb="0" eb="1">
      <t>ミヤコ</t>
    </rPh>
    <rPh sb="2" eb="3">
      <t>ヨル</t>
    </rPh>
    <rPh sb="6" eb="7">
      <t>ゴト</t>
    </rPh>
    <phoneticPr fontId="1"/>
  </si>
  <si>
    <r>
      <rPr>
        <sz val="11"/>
        <rFont val="游ゴシック Medium"/>
        <family val="3"/>
        <charset val="128"/>
      </rPr>
      <t>武田泰淳</t>
    </r>
    <rPh sb="0" eb="4">
      <t>タケダタイジュン</t>
    </rPh>
    <phoneticPr fontId="1"/>
  </si>
  <si>
    <r>
      <rPr>
        <sz val="11"/>
        <rFont val="游ゴシック Medium"/>
        <family val="3"/>
        <charset val="128"/>
      </rPr>
      <t>「愛」のかたち・才子佳人</t>
    </r>
    <rPh sb="1" eb="2">
      <t>アイ</t>
    </rPh>
    <rPh sb="8" eb="12">
      <t>サイシカジン</t>
    </rPh>
    <phoneticPr fontId="1"/>
  </si>
  <si>
    <r>
      <rPr>
        <b/>
        <sz val="11"/>
        <color indexed="33"/>
        <rFont val="游ゴシック Medium"/>
        <family val="3"/>
        <charset val="128"/>
      </rPr>
      <t>ひかりごけ・海肌の匂い</t>
    </r>
    <rPh sb="6" eb="7">
      <t>ウミ</t>
    </rPh>
    <rPh sb="7" eb="8">
      <t>ハダ</t>
    </rPh>
    <rPh sb="9" eb="10">
      <t>ニオ</t>
    </rPh>
    <phoneticPr fontId="1"/>
  </si>
  <si>
    <r>
      <rPr>
        <sz val="11"/>
        <rFont val="游ゴシック Medium"/>
        <family val="3"/>
        <charset val="128"/>
      </rPr>
      <t>風媒花</t>
    </r>
    <rPh sb="0" eb="3">
      <t>フウバイカ</t>
    </rPh>
    <phoneticPr fontId="1"/>
  </si>
  <si>
    <r>
      <rPr>
        <sz val="11"/>
        <rFont val="游ゴシック Medium"/>
        <family val="3"/>
        <charset val="128"/>
      </rPr>
      <t>群像に連載</t>
    </r>
    <rPh sb="0" eb="2">
      <t>グンゾウ</t>
    </rPh>
    <rPh sb="3" eb="5">
      <t>レンサイ</t>
    </rPh>
    <phoneticPr fontId="1"/>
  </si>
  <si>
    <r>
      <rPr>
        <b/>
        <sz val="11"/>
        <color indexed="33"/>
        <rFont val="游ゴシック Medium"/>
        <family val="3"/>
        <charset val="128"/>
      </rPr>
      <t>森と湖のまつり</t>
    </r>
    <rPh sb="0" eb="1">
      <t>モリ</t>
    </rPh>
    <rPh sb="2" eb="3">
      <t>ミズウミ</t>
    </rPh>
    <phoneticPr fontId="1"/>
  </si>
  <si>
    <r>
      <rPr>
        <b/>
        <sz val="11"/>
        <color indexed="33"/>
        <rFont val="游ゴシック Medium"/>
        <family val="3"/>
        <charset val="128"/>
      </rPr>
      <t>貴族の階段</t>
    </r>
    <rPh sb="0" eb="2">
      <t>キゾク</t>
    </rPh>
    <rPh sb="3" eb="5">
      <t>カイダン</t>
    </rPh>
    <phoneticPr fontId="1"/>
  </si>
  <si>
    <r>
      <rPr>
        <sz val="11"/>
        <rFont val="游ゴシック Medium"/>
        <family val="3"/>
        <charset val="128"/>
      </rPr>
      <t>富士</t>
    </r>
    <rPh sb="0" eb="2">
      <t>フジ</t>
    </rPh>
    <phoneticPr fontId="1"/>
  </si>
  <si>
    <r>
      <rPr>
        <sz val="11"/>
        <rFont val="游ゴシック Medium"/>
        <family val="3"/>
        <charset val="128"/>
      </rPr>
      <t>十三妹</t>
    </r>
    <rPh sb="0" eb="3">
      <t>シイサンメイ</t>
    </rPh>
    <phoneticPr fontId="1"/>
  </si>
  <si>
    <r>
      <rPr>
        <sz val="11"/>
        <rFont val="游ゴシック Medium"/>
        <family val="3"/>
        <charset val="128"/>
      </rPr>
      <t>新･東海道五十三次</t>
    </r>
    <rPh sb="0" eb="1">
      <t>シン</t>
    </rPh>
    <rPh sb="2" eb="5">
      <t>トウカイドウ</t>
    </rPh>
    <rPh sb="5" eb="8">
      <t>ゴジュウサン</t>
    </rPh>
    <rPh sb="8" eb="9">
      <t>ツギ</t>
    </rPh>
    <phoneticPr fontId="1"/>
  </si>
  <si>
    <r>
      <t xml:space="preserve">1969 </t>
    </r>
    <r>
      <rPr>
        <sz val="11"/>
        <rFont val="游ゴシック Medium"/>
        <family val="3"/>
        <charset val="128"/>
      </rPr>
      <t>毎日新聞連載</t>
    </r>
    <r>
      <rPr>
        <sz val="11"/>
        <rFont val="Consolas"/>
        <family val="3"/>
      </rPr>
      <t>,1977</t>
    </r>
    <rPh sb="5" eb="7">
      <t>マイニチ</t>
    </rPh>
    <rPh sb="7" eb="9">
      <t>シンブン</t>
    </rPh>
    <rPh sb="9" eb="11">
      <t>レンサイ</t>
    </rPh>
    <phoneticPr fontId="1"/>
  </si>
  <si>
    <r>
      <rPr>
        <sz val="11"/>
        <rFont val="游ゴシック Medium"/>
        <family val="3"/>
        <charset val="128"/>
      </rPr>
      <t>田中康夫</t>
    </r>
    <rPh sb="0" eb="2">
      <t>タナカ</t>
    </rPh>
    <rPh sb="2" eb="4">
      <t>ヤスオ</t>
    </rPh>
    <phoneticPr fontId="1"/>
  </si>
  <si>
    <r>
      <rPr>
        <sz val="11"/>
        <rFont val="游ゴシック Medium"/>
        <family val="3"/>
        <charset val="128"/>
      </rPr>
      <t>なんとなく、クリスタル</t>
    </r>
    <phoneticPr fontId="1"/>
  </si>
  <si>
    <r>
      <rPr>
        <sz val="11"/>
        <rFont val="游ゴシック Medium"/>
        <family val="3"/>
        <charset val="128"/>
      </rPr>
      <t>田辺聖子</t>
    </r>
    <rPh sb="0" eb="2">
      <t>タナベ</t>
    </rPh>
    <rPh sb="2" eb="4">
      <t>セイコ</t>
    </rPh>
    <phoneticPr fontId="1"/>
  </si>
  <si>
    <r>
      <rPr>
        <sz val="11"/>
        <rFont val="游ゴシック Medium"/>
        <family val="3"/>
        <charset val="128"/>
      </rPr>
      <t>窓を開けますか</t>
    </r>
    <r>
      <rPr>
        <sz val="11"/>
        <rFont val="Consolas"/>
        <family val="3"/>
      </rPr>
      <t xml:space="preserve"> ?</t>
    </r>
    <rPh sb="0" eb="1">
      <t>マド</t>
    </rPh>
    <rPh sb="2" eb="3">
      <t>ア</t>
    </rPh>
    <phoneticPr fontId="1"/>
  </si>
  <si>
    <r>
      <t xml:space="preserve">1972/12/ </t>
    </r>
    <r>
      <rPr>
        <sz val="11"/>
        <rFont val="游ゴシック Medium"/>
        <family val="3"/>
        <charset val="128"/>
      </rPr>
      <t>新潮社</t>
    </r>
    <rPh sb="9" eb="12">
      <t>シンチョウシャ</t>
    </rPh>
    <phoneticPr fontId="1"/>
  </si>
  <si>
    <r>
      <rPr>
        <sz val="11"/>
        <rFont val="游ゴシック Medium"/>
        <family val="3"/>
        <charset val="128"/>
      </rPr>
      <t>よーこ購入</t>
    </r>
    <r>
      <rPr>
        <sz val="11"/>
        <rFont val="Consolas"/>
        <family val="3"/>
      </rPr>
      <t>/BOOK OFF</t>
    </r>
    <rPh sb="3" eb="5">
      <t>コウニュウ</t>
    </rPh>
    <phoneticPr fontId="1"/>
  </si>
  <si>
    <r>
      <rPr>
        <sz val="11"/>
        <rFont val="游ゴシック Medium"/>
        <family val="3"/>
        <charset val="128"/>
      </rPr>
      <t>紫式部</t>
    </r>
    <rPh sb="0" eb="3">
      <t>ムラサキシキブ</t>
    </rPh>
    <phoneticPr fontId="1"/>
  </si>
  <si>
    <r>
      <rPr>
        <sz val="11"/>
        <rFont val="游ゴシック Medium"/>
        <family val="3"/>
        <charset val="128"/>
      </rPr>
      <t>谷崎潤一郎</t>
    </r>
    <rPh sb="0" eb="2">
      <t>タニザキ</t>
    </rPh>
    <rPh sb="2" eb="5">
      <t>ジュンイチロウ</t>
    </rPh>
    <phoneticPr fontId="1"/>
  </si>
  <si>
    <r>
      <rPr>
        <sz val="11"/>
        <rFont val="游ゴシック Medium"/>
        <family val="3"/>
        <charset val="128"/>
      </rPr>
      <t>源氏物語</t>
    </r>
    <r>
      <rPr>
        <sz val="11"/>
        <rFont val="Consolas"/>
        <family val="3"/>
      </rPr>
      <t>/</t>
    </r>
    <r>
      <rPr>
        <sz val="11"/>
        <rFont val="游ゴシック Medium"/>
        <family val="3"/>
        <charset val="128"/>
      </rPr>
      <t>巻一</t>
    </r>
    <r>
      <rPr>
        <sz val="11"/>
        <rFont val="Consolas"/>
        <family val="3"/>
      </rPr>
      <t>/</t>
    </r>
    <r>
      <rPr>
        <sz val="11"/>
        <rFont val="游ゴシック Medium"/>
        <family val="3"/>
        <charset val="128"/>
      </rPr>
      <t>改版</t>
    </r>
    <rPh sb="0" eb="4">
      <t>ゲンジモノガタリ</t>
    </rPh>
    <rPh sb="5" eb="6">
      <t>カン</t>
    </rPh>
    <rPh sb="6" eb="7">
      <t>1</t>
    </rPh>
    <rPh sb="8" eb="10">
      <t>カイハン</t>
    </rPh>
    <phoneticPr fontId="1"/>
  </si>
  <si>
    <r>
      <rPr>
        <sz val="11"/>
        <rFont val="游ゴシック Medium"/>
        <family val="3"/>
        <charset val="128"/>
      </rPr>
      <t>源氏物語</t>
    </r>
    <r>
      <rPr>
        <sz val="11"/>
        <rFont val="Consolas"/>
        <family val="3"/>
      </rPr>
      <t>/</t>
    </r>
    <r>
      <rPr>
        <sz val="11"/>
        <rFont val="游ゴシック Medium"/>
        <family val="3"/>
        <charset val="128"/>
      </rPr>
      <t>巻二</t>
    </r>
    <r>
      <rPr>
        <sz val="11"/>
        <rFont val="Consolas"/>
        <family val="3"/>
      </rPr>
      <t>/</t>
    </r>
    <r>
      <rPr>
        <sz val="11"/>
        <rFont val="游ゴシック Medium"/>
        <family val="3"/>
        <charset val="128"/>
      </rPr>
      <t>改版</t>
    </r>
    <rPh sb="0" eb="4">
      <t>ゲンジモノガタリ</t>
    </rPh>
    <rPh sb="5" eb="6">
      <t>カン</t>
    </rPh>
    <rPh sb="6" eb="7">
      <t>2</t>
    </rPh>
    <rPh sb="8" eb="10">
      <t>カイハン</t>
    </rPh>
    <phoneticPr fontId="1"/>
  </si>
  <si>
    <r>
      <rPr>
        <sz val="11"/>
        <rFont val="游ゴシック Medium"/>
        <family val="3"/>
        <charset val="128"/>
      </rPr>
      <t>源氏物語</t>
    </r>
    <r>
      <rPr>
        <sz val="11"/>
        <rFont val="Consolas"/>
        <family val="3"/>
      </rPr>
      <t>/</t>
    </r>
    <r>
      <rPr>
        <sz val="11"/>
        <rFont val="游ゴシック Medium"/>
        <family val="3"/>
        <charset val="128"/>
      </rPr>
      <t>巻三</t>
    </r>
    <r>
      <rPr>
        <sz val="11"/>
        <rFont val="Consolas"/>
        <family val="3"/>
      </rPr>
      <t>/</t>
    </r>
    <r>
      <rPr>
        <sz val="11"/>
        <rFont val="游ゴシック Medium"/>
        <family val="3"/>
        <charset val="128"/>
      </rPr>
      <t>改版</t>
    </r>
    <rPh sb="0" eb="4">
      <t>ゲンジモノガタリ</t>
    </rPh>
    <rPh sb="5" eb="6">
      <t>カン</t>
    </rPh>
    <rPh sb="6" eb="7">
      <t>3</t>
    </rPh>
    <rPh sb="8" eb="10">
      <t>カイハン</t>
    </rPh>
    <phoneticPr fontId="1"/>
  </si>
  <si>
    <r>
      <rPr>
        <sz val="11"/>
        <rFont val="游ゴシック Medium"/>
        <family val="3"/>
        <charset val="128"/>
      </rPr>
      <t>源氏物語</t>
    </r>
    <r>
      <rPr>
        <sz val="11"/>
        <rFont val="Consolas"/>
        <family val="3"/>
      </rPr>
      <t>/</t>
    </r>
    <r>
      <rPr>
        <sz val="11"/>
        <rFont val="游ゴシック Medium"/>
        <family val="3"/>
        <charset val="128"/>
      </rPr>
      <t>巻四</t>
    </r>
    <r>
      <rPr>
        <sz val="11"/>
        <rFont val="Consolas"/>
        <family val="3"/>
      </rPr>
      <t>/</t>
    </r>
    <r>
      <rPr>
        <sz val="11"/>
        <rFont val="游ゴシック Medium"/>
        <family val="3"/>
        <charset val="128"/>
      </rPr>
      <t>改版</t>
    </r>
    <rPh sb="0" eb="4">
      <t>ゲンジモノガタリ</t>
    </rPh>
    <rPh sb="5" eb="6">
      <t>カン</t>
    </rPh>
    <rPh sb="6" eb="7">
      <t>4</t>
    </rPh>
    <rPh sb="8" eb="10">
      <t>カイハン</t>
    </rPh>
    <phoneticPr fontId="1"/>
  </si>
  <si>
    <r>
      <rPr>
        <sz val="11"/>
        <rFont val="游ゴシック Medium"/>
        <family val="3"/>
        <charset val="128"/>
      </rPr>
      <t>刺青・秘密</t>
    </r>
    <rPh sb="0" eb="2">
      <t>イレズミ</t>
    </rPh>
    <rPh sb="3" eb="5">
      <t>ヒミツ</t>
    </rPh>
    <phoneticPr fontId="1"/>
  </si>
  <si>
    <r>
      <rPr>
        <sz val="11"/>
        <rFont val="游ゴシック Medium"/>
        <family val="3"/>
        <charset val="128"/>
      </rPr>
      <t>痴人の愛</t>
    </r>
    <rPh sb="0" eb="2">
      <t>チジン</t>
    </rPh>
    <rPh sb="3" eb="4">
      <t>アイ</t>
    </rPh>
    <phoneticPr fontId="1"/>
  </si>
  <si>
    <r>
      <rPr>
        <sz val="11"/>
        <rFont val="游ゴシック Medium"/>
        <family val="3"/>
        <charset val="128"/>
      </rPr>
      <t>猫と庄造と二人のおんな</t>
    </r>
    <rPh sb="0" eb="1">
      <t>ネコ</t>
    </rPh>
    <rPh sb="2" eb="4">
      <t>ショウゾウ</t>
    </rPh>
    <rPh sb="5" eb="7">
      <t>フタリ</t>
    </rPh>
    <phoneticPr fontId="1"/>
  </si>
  <si>
    <r>
      <rPr>
        <sz val="11"/>
        <rFont val="游ゴシック Medium"/>
        <family val="3"/>
        <charset val="128"/>
      </rPr>
      <t>蓼喰う虫</t>
    </r>
    <rPh sb="0" eb="1">
      <t>タデ</t>
    </rPh>
    <rPh sb="1" eb="2">
      <t>ク</t>
    </rPh>
    <rPh sb="3" eb="4">
      <t>ムシ</t>
    </rPh>
    <phoneticPr fontId="1"/>
  </si>
  <si>
    <r>
      <rPr>
        <sz val="11"/>
        <rFont val="游ゴシック Medium"/>
        <family val="3"/>
        <charset val="128"/>
      </rPr>
      <t>卍</t>
    </r>
    <rPh sb="0" eb="1">
      <t>マンジ</t>
    </rPh>
    <phoneticPr fontId="1"/>
  </si>
  <si>
    <r>
      <rPr>
        <sz val="11"/>
        <rFont val="游ゴシック Medium"/>
        <family val="3"/>
        <charset val="128"/>
      </rPr>
      <t>鍵・瘋癲老人日記</t>
    </r>
    <rPh sb="0" eb="1">
      <t>カギ</t>
    </rPh>
    <rPh sb="2" eb="4">
      <t>フウテン</t>
    </rPh>
    <rPh sb="4" eb="6">
      <t>ロウジン</t>
    </rPh>
    <rPh sb="6" eb="8">
      <t>ニッキ</t>
    </rPh>
    <phoneticPr fontId="1"/>
  </si>
  <si>
    <r>
      <rPr>
        <sz val="11"/>
        <rFont val="游ゴシック Medium"/>
        <family val="3"/>
        <charset val="128"/>
      </rPr>
      <t>少将滋幹の母</t>
    </r>
    <rPh sb="0" eb="2">
      <t>ショウショウ</t>
    </rPh>
    <rPh sb="2" eb="4">
      <t>シゲモト</t>
    </rPh>
    <rPh sb="5" eb="6">
      <t>ハハ</t>
    </rPh>
    <phoneticPr fontId="1"/>
  </si>
  <si>
    <r>
      <rPr>
        <sz val="11"/>
        <rFont val="游ゴシック Medium"/>
        <family val="3"/>
        <charset val="128"/>
      </rPr>
      <t>人形の嘆き・魔術師</t>
    </r>
    <rPh sb="0" eb="2">
      <t>ニンギョウ</t>
    </rPh>
    <rPh sb="3" eb="4">
      <t>ナゲ</t>
    </rPh>
    <rPh sb="6" eb="9">
      <t>マジュツシ</t>
    </rPh>
    <phoneticPr fontId="1"/>
  </si>
  <si>
    <r>
      <rPr>
        <sz val="11"/>
        <rFont val="游ゴシック Medium"/>
        <family val="3"/>
        <charset val="128"/>
      </rPr>
      <t>文章読本</t>
    </r>
    <rPh sb="0" eb="2">
      <t>ブンショウ</t>
    </rPh>
    <rPh sb="2" eb="4">
      <t>トクホン</t>
    </rPh>
    <phoneticPr fontId="1"/>
  </si>
  <si>
    <r>
      <rPr>
        <sz val="11"/>
        <rFont val="游ゴシック Medium"/>
        <family val="3"/>
        <charset val="128"/>
      </rPr>
      <t>団</t>
    </r>
    <r>
      <rPr>
        <sz val="11"/>
        <rFont val="Consolas"/>
        <family val="3"/>
      </rPr>
      <t xml:space="preserve"> </t>
    </r>
    <r>
      <rPr>
        <sz val="11"/>
        <rFont val="游ゴシック Medium"/>
        <family val="3"/>
        <charset val="128"/>
      </rPr>
      <t>鬼六</t>
    </r>
    <rPh sb="0" eb="1">
      <t>ダン</t>
    </rPh>
    <rPh sb="2" eb="3">
      <t>オニ</t>
    </rPh>
    <rPh sb="3" eb="4">
      <t>ロク</t>
    </rPh>
    <phoneticPr fontId="1"/>
  </si>
  <si>
    <r>
      <rPr>
        <sz val="11"/>
        <rFont val="游ゴシック Medium"/>
        <family val="3"/>
        <charset val="128"/>
      </rPr>
      <t>肉体の賭け</t>
    </r>
    <rPh sb="0" eb="2">
      <t>ニクタイ</t>
    </rPh>
    <rPh sb="3" eb="4">
      <t>カ</t>
    </rPh>
    <phoneticPr fontId="1"/>
  </si>
  <si>
    <r>
      <rPr>
        <sz val="11"/>
        <rFont val="游ゴシック Medium"/>
        <family val="3"/>
        <charset val="128"/>
      </rPr>
      <t>幻冬舎</t>
    </r>
    <r>
      <rPr>
        <sz val="11"/>
        <rFont val="Consolas"/>
        <family val="3"/>
      </rPr>
      <t>Outlaw</t>
    </r>
    <r>
      <rPr>
        <sz val="11"/>
        <rFont val="游ゴシック Medium"/>
        <family val="3"/>
        <charset val="128"/>
      </rPr>
      <t>文庫</t>
    </r>
    <rPh sb="0" eb="3">
      <t>ゲントウシャ</t>
    </rPh>
    <rPh sb="3" eb="9">
      <t>アウトロー</t>
    </rPh>
    <rPh sb="9" eb="11">
      <t>ブンコ</t>
    </rPh>
    <phoneticPr fontId="1"/>
  </si>
  <si>
    <r>
      <rPr>
        <sz val="11"/>
        <rFont val="游ゴシック Medium"/>
        <family val="3"/>
        <charset val="128"/>
      </rPr>
      <t>俗物図鑑</t>
    </r>
    <rPh sb="0" eb="2">
      <t>ゾクブツ</t>
    </rPh>
    <rPh sb="2" eb="4">
      <t>ズカン</t>
    </rPh>
    <phoneticPr fontId="1"/>
  </si>
  <si>
    <r>
      <rPr>
        <sz val="11"/>
        <rFont val="游ゴシック Medium"/>
        <family val="3"/>
        <charset val="128"/>
      </rPr>
      <t>にぎやかな未来</t>
    </r>
    <rPh sb="5" eb="7">
      <t>ミライ</t>
    </rPh>
    <phoneticPr fontId="1"/>
  </si>
  <si>
    <r>
      <rPr>
        <sz val="11"/>
        <rFont val="游ゴシック Medium"/>
        <family val="3"/>
        <charset val="128"/>
      </rPr>
      <t>イリヤムウロメツ</t>
    </r>
    <phoneticPr fontId="1"/>
  </si>
  <si>
    <r>
      <rPr>
        <sz val="11"/>
        <rFont val="游ゴシック Medium"/>
        <family val="3"/>
        <charset val="128"/>
      </rPr>
      <t>中</t>
    </r>
    <r>
      <rPr>
        <sz val="11"/>
        <rFont val="Consolas"/>
        <family val="3"/>
      </rPr>
      <t xml:space="preserve"> </t>
    </r>
    <r>
      <rPr>
        <sz val="11"/>
        <rFont val="游ゴシック Medium"/>
        <family val="3"/>
        <charset val="128"/>
      </rPr>
      <t>勘助</t>
    </r>
    <rPh sb="0" eb="1">
      <t>ナカ</t>
    </rPh>
    <rPh sb="2" eb="4">
      <t>カンスケ</t>
    </rPh>
    <phoneticPr fontId="1"/>
  </si>
  <si>
    <r>
      <rPr>
        <sz val="11"/>
        <rFont val="游ゴシック Medium"/>
        <family val="3"/>
        <charset val="128"/>
      </rPr>
      <t>鳥の物語</t>
    </r>
    <rPh sb="0" eb="1">
      <t>トリ</t>
    </rPh>
    <rPh sb="2" eb="4">
      <t>モノガタリ</t>
    </rPh>
    <phoneticPr fontId="1"/>
  </si>
  <si>
    <r>
      <rPr>
        <sz val="11"/>
        <rFont val="游ゴシック Medium"/>
        <family val="3"/>
        <charset val="128"/>
      </rPr>
      <t>銀の匙</t>
    </r>
    <rPh sb="0" eb="1">
      <t>ギン</t>
    </rPh>
    <rPh sb="2" eb="3">
      <t>サジ</t>
    </rPh>
    <phoneticPr fontId="1"/>
  </si>
  <si>
    <r>
      <rPr>
        <sz val="11"/>
        <rFont val="游ゴシック Medium"/>
        <family val="3"/>
        <charset val="128"/>
      </rPr>
      <t>永井荷風</t>
    </r>
    <rPh sb="0" eb="2">
      <t>ナガイ</t>
    </rPh>
    <rPh sb="2" eb="4">
      <t>カフウ</t>
    </rPh>
    <phoneticPr fontId="1"/>
  </si>
  <si>
    <r>
      <rPr>
        <sz val="11"/>
        <rFont val="游ゴシック Medium"/>
        <family val="3"/>
        <charset val="128"/>
      </rPr>
      <t>濹東綺譚</t>
    </r>
    <rPh sb="0" eb="2">
      <t>ボクトウ</t>
    </rPh>
    <rPh sb="2" eb="4">
      <t>キタン</t>
    </rPh>
    <phoneticPr fontId="1"/>
  </si>
  <si>
    <r>
      <t>[</t>
    </r>
    <r>
      <rPr>
        <sz val="11"/>
        <rFont val="游ゴシック Medium"/>
        <family val="3"/>
        <charset val="128"/>
      </rPr>
      <t>ボク</t>
    </r>
    <r>
      <rPr>
        <sz val="11"/>
        <rFont val="Consolas"/>
        <family val="3"/>
      </rPr>
      <t>]</t>
    </r>
    <r>
      <rPr>
        <sz val="11"/>
        <rFont val="游ゴシック Medium"/>
        <family val="3"/>
        <charset val="128"/>
      </rPr>
      <t>はサンズイに旧字の</t>
    </r>
    <r>
      <rPr>
        <sz val="11"/>
        <rFont val="Consolas"/>
        <family val="3"/>
      </rPr>
      <t>[</t>
    </r>
    <r>
      <rPr>
        <sz val="11"/>
        <rFont val="游ゴシック Medium"/>
        <family val="3"/>
        <charset val="128"/>
      </rPr>
      <t>墨</t>
    </r>
    <r>
      <rPr>
        <sz val="11"/>
        <rFont val="Consolas"/>
        <family val="3"/>
      </rPr>
      <t>]</t>
    </r>
    <rPh sb="10" eb="12">
      <t>キュウジ</t>
    </rPh>
    <rPh sb="14" eb="15">
      <t>スミ</t>
    </rPh>
    <phoneticPr fontId="1"/>
  </si>
  <si>
    <r>
      <rPr>
        <sz val="11"/>
        <rFont val="游ゴシック Medium"/>
        <family val="3"/>
        <charset val="128"/>
      </rPr>
      <t>中上健次</t>
    </r>
    <rPh sb="0" eb="2">
      <t>ナカガミ</t>
    </rPh>
    <rPh sb="2" eb="4">
      <t>ケンジ</t>
    </rPh>
    <phoneticPr fontId="1"/>
  </si>
  <si>
    <r>
      <rPr>
        <sz val="11"/>
        <rFont val="游ゴシック Medium"/>
        <family val="3"/>
        <charset val="128"/>
      </rPr>
      <t>十九歳の地図</t>
    </r>
    <rPh sb="0" eb="3">
      <t>ジュウキュウサイ</t>
    </rPh>
    <rPh sb="4" eb="6">
      <t>チズ</t>
    </rPh>
    <phoneticPr fontId="1"/>
  </si>
  <si>
    <r>
      <rPr>
        <sz val="11"/>
        <rFont val="游ゴシック Medium"/>
        <family val="3"/>
        <charset val="128"/>
      </rPr>
      <t>中井英夫</t>
    </r>
    <rPh sb="0" eb="2">
      <t>ナカイ</t>
    </rPh>
    <rPh sb="2" eb="4">
      <t>ヒデオ</t>
    </rPh>
    <phoneticPr fontId="1"/>
  </si>
  <si>
    <r>
      <rPr>
        <sz val="11"/>
        <rFont val="游ゴシック Medium"/>
        <family val="3"/>
        <charset val="128"/>
      </rPr>
      <t>人形たちの夜</t>
    </r>
    <rPh sb="0" eb="2">
      <t>ニンギョウ</t>
    </rPh>
    <rPh sb="5" eb="6">
      <t>ヨル</t>
    </rPh>
    <phoneticPr fontId="1"/>
  </si>
  <si>
    <r>
      <rPr>
        <sz val="11"/>
        <rFont val="游ゴシック Medium"/>
        <family val="3"/>
        <charset val="128"/>
      </rPr>
      <t>薔薇への供物</t>
    </r>
    <rPh sb="0" eb="2">
      <t>バラ</t>
    </rPh>
    <rPh sb="4" eb="6">
      <t>クモツ</t>
    </rPh>
    <phoneticPr fontId="1"/>
  </si>
  <si>
    <r>
      <t xml:space="preserve">1990 </t>
    </r>
    <r>
      <rPr>
        <sz val="11"/>
        <rFont val="游ゴシック Medium"/>
        <family val="3"/>
        <charset val="128"/>
      </rPr>
      <t>龍門出版社</t>
    </r>
    <r>
      <rPr>
        <sz val="11"/>
        <rFont val="Consolas"/>
        <family val="3"/>
      </rPr>
      <t>,1981+</t>
    </r>
    <r>
      <rPr>
        <sz val="11"/>
        <rFont val="游ゴシック Medium"/>
        <family val="3"/>
        <charset val="128"/>
      </rPr>
      <t>盲目の薔薇</t>
    </r>
    <r>
      <rPr>
        <sz val="11"/>
        <rFont val="Consolas"/>
        <family val="3"/>
      </rPr>
      <t xml:space="preserve">,1985 </t>
    </r>
    <r>
      <rPr>
        <sz val="11"/>
        <rFont val="游ゴシック Medium"/>
        <family val="3"/>
        <charset val="128"/>
      </rPr>
      <t>名なしの森に収録</t>
    </r>
    <r>
      <rPr>
        <sz val="11"/>
        <rFont val="Consolas"/>
        <family val="3"/>
      </rPr>
      <t xml:space="preserve"> </t>
    </r>
    <r>
      <rPr>
        <sz val="11"/>
        <rFont val="游ゴシック Medium"/>
        <family val="3"/>
        <charset val="128"/>
      </rPr>
      <t>河出書房新社</t>
    </r>
    <rPh sb="5" eb="7">
      <t>リュウモン</t>
    </rPh>
    <rPh sb="7" eb="10">
      <t>シュッパンシャ</t>
    </rPh>
    <rPh sb="16" eb="18">
      <t>モウモク</t>
    </rPh>
    <rPh sb="19" eb="21">
      <t>バラ</t>
    </rPh>
    <rPh sb="27" eb="28">
      <t>ナ</t>
    </rPh>
    <rPh sb="31" eb="32">
      <t>モリ</t>
    </rPh>
    <rPh sb="33" eb="35">
      <t>シュウロク</t>
    </rPh>
    <rPh sb="36" eb="38">
      <t>カワデ</t>
    </rPh>
    <rPh sb="38" eb="40">
      <t>ショボウ</t>
    </rPh>
    <rPh sb="40" eb="42">
      <t>シンシャ</t>
    </rPh>
    <phoneticPr fontId="1"/>
  </si>
  <si>
    <r>
      <rPr>
        <sz val="11"/>
        <rFont val="游ゴシック Medium"/>
        <family val="3"/>
        <charset val="128"/>
      </rPr>
      <t>河出文庫</t>
    </r>
    <r>
      <rPr>
        <sz val="11"/>
        <rFont val="Consolas"/>
        <family val="3"/>
      </rPr>
      <t>/</t>
    </r>
    <r>
      <rPr>
        <sz val="11"/>
        <rFont val="游ゴシック Medium"/>
        <family val="3"/>
        <charset val="128"/>
      </rPr>
      <t>河出書房新社</t>
    </r>
    <r>
      <rPr>
        <sz val="11"/>
        <rFont val="Consolas"/>
        <family val="3"/>
      </rPr>
      <t>/</t>
    </r>
    <r>
      <rPr>
        <sz val="11"/>
        <rFont val="游ゴシック Medium"/>
        <family val="3"/>
        <charset val="128"/>
      </rPr>
      <t>河出書房新社</t>
    </r>
    <rPh sb="12" eb="14">
      <t>カワデ</t>
    </rPh>
    <rPh sb="14" eb="16">
      <t>ショボウ</t>
    </rPh>
    <rPh sb="16" eb="18">
      <t>シンシャ</t>
    </rPh>
    <phoneticPr fontId="1"/>
  </si>
  <si>
    <r>
      <rPr>
        <sz val="11"/>
        <rFont val="游ゴシック Medium"/>
        <family val="3"/>
        <charset val="128"/>
      </rPr>
      <t>永畑道子</t>
    </r>
    <rPh sb="0" eb="2">
      <t>ナガハタ</t>
    </rPh>
    <rPh sb="2" eb="4">
      <t>ミチコ</t>
    </rPh>
    <phoneticPr fontId="1"/>
  </si>
  <si>
    <r>
      <rPr>
        <sz val="11"/>
        <rFont val="游ゴシック Medium"/>
        <family val="3"/>
        <charset val="128"/>
      </rPr>
      <t>夢のかけ橋</t>
    </r>
    <rPh sb="0" eb="1">
      <t>ユメ</t>
    </rPh>
    <rPh sb="4" eb="5">
      <t>ハシ</t>
    </rPh>
    <phoneticPr fontId="1"/>
  </si>
  <si>
    <r>
      <rPr>
        <sz val="11"/>
        <rFont val="游ゴシック Medium"/>
        <family val="3"/>
        <charset val="128"/>
      </rPr>
      <t>中山千夏</t>
    </r>
    <rPh sb="0" eb="2">
      <t>ナカヤマ</t>
    </rPh>
    <rPh sb="2" eb="4">
      <t>チナツ</t>
    </rPh>
    <phoneticPr fontId="1"/>
  </si>
  <si>
    <r>
      <rPr>
        <sz val="11"/>
        <rFont val="游ゴシック Medium"/>
        <family val="3"/>
        <charset val="128"/>
      </rPr>
      <t>ダブルベッド</t>
    </r>
    <phoneticPr fontId="1"/>
  </si>
  <si>
    <r>
      <rPr>
        <sz val="11"/>
        <rFont val="游ゴシック Medium"/>
        <family val="3"/>
        <charset val="128"/>
      </rPr>
      <t>沼</t>
    </r>
    <r>
      <rPr>
        <sz val="11"/>
        <rFont val="Consolas"/>
        <family val="3"/>
      </rPr>
      <t xml:space="preserve"> </t>
    </r>
    <r>
      <rPr>
        <sz val="11"/>
        <rFont val="游ゴシック Medium"/>
        <family val="3"/>
        <charset val="128"/>
      </rPr>
      <t>正三</t>
    </r>
    <rPh sb="0" eb="1">
      <t>ヌマ</t>
    </rPh>
    <rPh sb="2" eb="4">
      <t>ショウゾウ</t>
    </rPh>
    <phoneticPr fontId="1"/>
  </si>
  <si>
    <r>
      <rPr>
        <sz val="11"/>
        <rFont val="游ゴシック Medium"/>
        <family val="3"/>
        <charset val="128"/>
      </rPr>
      <t>家畜人</t>
    </r>
    <r>
      <rPr>
        <sz val="11"/>
        <rFont val="Consolas"/>
        <family val="3"/>
      </rPr>
      <t>Yapoo</t>
    </r>
    <rPh sb="0" eb="2">
      <t>カチク</t>
    </rPh>
    <rPh sb="2" eb="3">
      <t>ジン</t>
    </rPh>
    <rPh sb="3" eb="8">
      <t>ヤプー</t>
    </rPh>
    <phoneticPr fontId="1"/>
  </si>
  <si>
    <r>
      <rPr>
        <sz val="11"/>
        <rFont val="游ゴシック Medium"/>
        <family val="3"/>
        <charset val="128"/>
      </rPr>
      <t>沼田まほかる</t>
    </r>
    <rPh sb="0" eb="2">
      <t>ヌマタ</t>
    </rPh>
    <phoneticPr fontId="1"/>
  </si>
  <si>
    <r>
      <rPr>
        <sz val="11"/>
        <rFont val="游ゴシック Medium"/>
        <family val="3"/>
        <charset val="128"/>
      </rPr>
      <t>彼女がその名を知らない鳥たち</t>
    </r>
    <rPh sb="0" eb="2">
      <t>カノジョ</t>
    </rPh>
    <rPh sb="5" eb="6">
      <t>ナ</t>
    </rPh>
    <rPh sb="7" eb="8">
      <t>シ</t>
    </rPh>
    <rPh sb="11" eb="12">
      <t>トリ</t>
    </rPh>
    <phoneticPr fontId="1"/>
  </si>
  <si>
    <r>
      <rPr>
        <sz val="11"/>
        <rFont val="游ゴシック Medium"/>
        <family val="3"/>
        <charset val="128"/>
      </rPr>
      <t>幻冬舎文庫</t>
    </r>
    <rPh sb="0" eb="3">
      <t>ゲントウシャ</t>
    </rPh>
    <rPh sb="3" eb="5">
      <t>ブンコ</t>
    </rPh>
    <phoneticPr fontId="1"/>
  </si>
  <si>
    <r>
      <rPr>
        <sz val="11"/>
        <rFont val="游ゴシック Medium"/>
        <family val="3"/>
        <charset val="128"/>
      </rPr>
      <t>野坂昭如</t>
    </r>
    <rPh sb="0" eb="2">
      <t>ノサカ</t>
    </rPh>
    <rPh sb="2" eb="4">
      <t>アキユキ</t>
    </rPh>
    <phoneticPr fontId="1"/>
  </si>
  <si>
    <r>
      <rPr>
        <sz val="11"/>
        <rFont val="游ゴシック Medium"/>
        <family val="3"/>
        <charset val="128"/>
      </rPr>
      <t>骨餓身峠死人葛</t>
    </r>
    <rPh sb="0" eb="1">
      <t>ホネ</t>
    </rPh>
    <rPh sb="1" eb="2">
      <t>ガ</t>
    </rPh>
    <rPh sb="2" eb="3">
      <t>ミ</t>
    </rPh>
    <rPh sb="3" eb="4">
      <t>トウゲ</t>
    </rPh>
    <rPh sb="4" eb="6">
      <t>ホトケ</t>
    </rPh>
    <rPh sb="6" eb="7">
      <t>カズラ</t>
    </rPh>
    <phoneticPr fontId="1"/>
  </si>
  <si>
    <r>
      <rPr>
        <sz val="11"/>
        <rFont val="游ゴシック Medium"/>
        <family val="3"/>
        <charset val="128"/>
      </rPr>
      <t>野田秀樹</t>
    </r>
    <rPh sb="0" eb="2">
      <t>ノダ</t>
    </rPh>
    <rPh sb="2" eb="4">
      <t>ヒデキ</t>
    </rPh>
    <phoneticPr fontId="1"/>
  </si>
  <si>
    <r>
      <rPr>
        <sz val="11"/>
        <rFont val="游ゴシック Medium"/>
        <family val="3"/>
        <charset val="128"/>
      </rPr>
      <t>少年狩り</t>
    </r>
    <r>
      <rPr>
        <sz val="11"/>
        <rFont val="Consolas"/>
        <family val="3"/>
      </rPr>
      <t>/</t>
    </r>
    <r>
      <rPr>
        <sz val="11"/>
        <rFont val="游ゴシック Medium"/>
        <family val="3"/>
        <charset val="128"/>
      </rPr>
      <t>野田秀樹戯曲集</t>
    </r>
    <rPh sb="0" eb="2">
      <t>ショウネン</t>
    </rPh>
    <rPh sb="2" eb="3">
      <t>ガ</t>
    </rPh>
    <rPh sb="5" eb="7">
      <t>ノダ</t>
    </rPh>
    <rPh sb="7" eb="9">
      <t>ヒデキ</t>
    </rPh>
    <rPh sb="9" eb="11">
      <t>ギキョク</t>
    </rPh>
    <rPh sb="11" eb="12">
      <t>シュウ</t>
    </rPh>
    <phoneticPr fontId="1"/>
  </si>
  <si>
    <r>
      <rPr>
        <sz val="11"/>
        <rFont val="游ゴシック Medium"/>
        <family val="3"/>
        <charset val="128"/>
      </rPr>
      <t>ゼンダ城の虜</t>
    </r>
    <r>
      <rPr>
        <sz val="11"/>
        <rFont val="Consolas"/>
        <family val="3"/>
      </rPr>
      <t>/</t>
    </r>
    <r>
      <rPr>
        <sz val="11"/>
        <rFont val="游ゴシック Medium"/>
        <family val="3"/>
        <charset val="128"/>
      </rPr>
      <t>走れメルス</t>
    </r>
    <r>
      <rPr>
        <sz val="11"/>
        <rFont val="Consolas"/>
        <family val="3"/>
      </rPr>
      <t>/</t>
    </r>
    <r>
      <rPr>
        <sz val="11"/>
        <rFont val="游ゴシック Medium"/>
        <family val="3"/>
        <charset val="128"/>
      </rPr>
      <t>野田秀樹戯曲集</t>
    </r>
    <r>
      <rPr>
        <sz val="11"/>
        <rFont val="Consolas"/>
        <family val="3"/>
      </rPr>
      <t>2</t>
    </r>
    <rPh sb="3" eb="4">
      <t>ジョウ</t>
    </rPh>
    <rPh sb="5" eb="6">
      <t>トリコ</t>
    </rPh>
    <rPh sb="7" eb="8">
      <t>ハシ</t>
    </rPh>
    <rPh sb="13" eb="15">
      <t>ノダ</t>
    </rPh>
    <rPh sb="15" eb="17">
      <t>ヒデキ</t>
    </rPh>
    <rPh sb="17" eb="19">
      <t>ギキョク</t>
    </rPh>
    <rPh sb="19" eb="20">
      <t>シュウ</t>
    </rPh>
    <phoneticPr fontId="1"/>
  </si>
  <si>
    <r>
      <rPr>
        <sz val="11"/>
        <rFont val="游ゴシック Medium"/>
        <family val="3"/>
        <charset val="128"/>
      </rPr>
      <t>野獣降臨</t>
    </r>
    <rPh sb="0" eb="4">
      <t>ノケモノキタリテ</t>
    </rPh>
    <phoneticPr fontId="1"/>
  </si>
  <si>
    <r>
      <rPr>
        <sz val="11"/>
        <rFont val="游ゴシック Medium"/>
        <family val="3"/>
        <charset val="128"/>
      </rPr>
      <t>怪盗乱魔</t>
    </r>
    <rPh sb="0" eb="2">
      <t>カイトウ</t>
    </rPh>
    <rPh sb="2" eb="4">
      <t>ランマ</t>
    </rPh>
    <phoneticPr fontId="1"/>
  </si>
  <si>
    <r>
      <rPr>
        <sz val="11"/>
        <rFont val="游ゴシック Medium"/>
        <family val="3"/>
        <charset val="128"/>
      </rPr>
      <t>当り屋ケンちゃん</t>
    </r>
    <rPh sb="0" eb="1">
      <t>アタ</t>
    </rPh>
    <rPh sb="2" eb="3">
      <t>ヤ</t>
    </rPh>
    <phoneticPr fontId="1"/>
  </si>
  <si>
    <r>
      <rPr>
        <sz val="11"/>
        <rFont val="游ゴシック Medium"/>
        <family val="3"/>
        <charset val="128"/>
      </rPr>
      <t>灰谷健次郎</t>
    </r>
    <rPh sb="0" eb="2">
      <t>ハイタニ</t>
    </rPh>
    <rPh sb="2" eb="5">
      <t>ケンジロウ</t>
    </rPh>
    <phoneticPr fontId="1"/>
  </si>
  <si>
    <r>
      <rPr>
        <sz val="11"/>
        <rFont val="游ゴシック Medium"/>
        <family val="3"/>
        <charset val="128"/>
      </rPr>
      <t>兎の眼</t>
    </r>
    <rPh sb="0" eb="1">
      <t>ウサギ</t>
    </rPh>
    <rPh sb="2" eb="3">
      <t>メ</t>
    </rPh>
    <phoneticPr fontId="1"/>
  </si>
  <si>
    <r>
      <rPr>
        <sz val="11"/>
        <rFont val="游ゴシック Medium"/>
        <family val="3"/>
        <charset val="128"/>
      </rPr>
      <t>林真理子</t>
    </r>
    <rPh sb="0" eb="1">
      <t>ハヤシ</t>
    </rPh>
    <rPh sb="1" eb="4">
      <t>マリコ</t>
    </rPh>
    <phoneticPr fontId="1"/>
  </si>
  <si>
    <r>
      <rPr>
        <sz val="11"/>
        <rFont val="游ゴシック Medium"/>
        <family val="3"/>
        <charset val="128"/>
      </rPr>
      <t>星に願いを</t>
    </r>
    <rPh sb="0" eb="1">
      <t>ホシ</t>
    </rPh>
    <rPh sb="2" eb="3">
      <t>ネガ</t>
    </rPh>
    <phoneticPr fontId="1"/>
  </si>
  <si>
    <r>
      <rPr>
        <sz val="11"/>
        <rFont val="游ゴシック Medium"/>
        <family val="3"/>
        <charset val="128"/>
      </rPr>
      <t>原田康子</t>
    </r>
    <rPh sb="0" eb="2">
      <t>ハラダ</t>
    </rPh>
    <rPh sb="2" eb="4">
      <t>ヤスコ</t>
    </rPh>
    <phoneticPr fontId="1"/>
  </si>
  <si>
    <r>
      <rPr>
        <sz val="11"/>
        <rFont val="游ゴシック Medium"/>
        <family val="3"/>
        <charset val="128"/>
      </rPr>
      <t>満月</t>
    </r>
    <rPh sb="0" eb="2">
      <t>マンゲツ</t>
    </rPh>
    <phoneticPr fontId="1"/>
  </si>
  <si>
    <r>
      <rPr>
        <sz val="11"/>
        <rFont val="游ゴシック Medium"/>
        <family val="3"/>
        <charset val="128"/>
      </rPr>
      <t>平井呈一</t>
    </r>
    <rPh sb="0" eb="2">
      <t>ヒライ</t>
    </rPh>
    <rPh sb="2" eb="4">
      <t>テイイチ</t>
    </rPh>
    <phoneticPr fontId="1"/>
  </si>
  <si>
    <r>
      <rPr>
        <sz val="11"/>
        <rFont val="游ゴシック Medium"/>
        <family val="3"/>
        <charset val="128"/>
      </rPr>
      <t>真夜中の檻</t>
    </r>
    <rPh sb="0" eb="3">
      <t>マヨナカ</t>
    </rPh>
    <rPh sb="4" eb="5">
      <t>オリ</t>
    </rPh>
    <phoneticPr fontId="1"/>
  </si>
  <si>
    <r>
      <rPr>
        <sz val="11"/>
        <rFont val="游ゴシック Medium"/>
        <family val="3"/>
        <charset val="128"/>
      </rPr>
      <t>廃市</t>
    </r>
    <r>
      <rPr>
        <sz val="11"/>
        <rFont val="Consolas"/>
        <family val="3"/>
      </rPr>
      <t>/</t>
    </r>
    <r>
      <rPr>
        <sz val="11"/>
        <rFont val="游ゴシック Medium"/>
        <family val="3"/>
        <charset val="128"/>
      </rPr>
      <t>飛ぶ男</t>
    </r>
    <rPh sb="0" eb="2">
      <t>ハイシ</t>
    </rPh>
    <rPh sb="3" eb="4">
      <t>ト</t>
    </rPh>
    <rPh sb="5" eb="6">
      <t>オトコ</t>
    </rPh>
    <phoneticPr fontId="1"/>
  </si>
  <si>
    <r>
      <rPr>
        <sz val="11"/>
        <rFont val="游ゴシック Medium"/>
        <family val="3"/>
        <charset val="128"/>
      </rPr>
      <t>愛の試み</t>
    </r>
    <rPh sb="0" eb="1">
      <t>アイ</t>
    </rPh>
    <rPh sb="2" eb="3">
      <t>ココロ</t>
    </rPh>
    <phoneticPr fontId="1"/>
  </si>
  <si>
    <r>
      <rPr>
        <sz val="11"/>
        <rFont val="游ゴシック Medium"/>
        <family val="3"/>
        <charset val="128"/>
      </rPr>
      <t>風のかたみ</t>
    </r>
    <rPh sb="0" eb="1">
      <t>カゼ</t>
    </rPh>
    <phoneticPr fontId="1"/>
  </si>
  <si>
    <r>
      <rPr>
        <sz val="11"/>
        <rFont val="游ゴシック Medium"/>
        <family val="3"/>
        <charset val="128"/>
      </rPr>
      <t>海市</t>
    </r>
    <rPh sb="0" eb="2">
      <t>カイシ</t>
    </rPh>
    <phoneticPr fontId="1"/>
  </si>
  <si>
    <r>
      <rPr>
        <sz val="11"/>
        <rFont val="游ゴシック Medium"/>
        <family val="3"/>
        <charset val="128"/>
      </rPr>
      <t>夢みる少年の昼と夜</t>
    </r>
    <rPh sb="0" eb="2">
      <t>ユメミ</t>
    </rPh>
    <rPh sb="3" eb="5">
      <t>ショウネン</t>
    </rPh>
    <rPh sb="6" eb="7">
      <t>ヒル</t>
    </rPh>
    <rPh sb="8" eb="9">
      <t>ヨル</t>
    </rPh>
    <phoneticPr fontId="1"/>
  </si>
  <si>
    <r>
      <rPr>
        <sz val="11"/>
        <rFont val="游ゴシック Medium"/>
        <family val="3"/>
        <charset val="128"/>
      </rPr>
      <t>風土</t>
    </r>
    <rPh sb="0" eb="2">
      <t>フウド</t>
    </rPh>
    <phoneticPr fontId="1"/>
  </si>
  <si>
    <r>
      <rPr>
        <sz val="11"/>
        <rFont val="游ゴシック Medium"/>
        <family val="3"/>
        <charset val="128"/>
      </rPr>
      <t>内的獨白</t>
    </r>
    <r>
      <rPr>
        <sz val="11"/>
        <rFont val="Consolas"/>
        <family val="3"/>
      </rPr>
      <t>/</t>
    </r>
    <r>
      <rPr>
        <sz val="11"/>
        <rFont val="游ゴシック Medium"/>
        <family val="3"/>
        <charset val="128"/>
      </rPr>
      <t>堀</t>
    </r>
    <r>
      <rPr>
        <sz val="11"/>
        <rFont val="Consolas"/>
        <family val="3"/>
      </rPr>
      <t xml:space="preserve"> </t>
    </r>
    <r>
      <rPr>
        <sz val="11"/>
        <rFont val="游ゴシック Medium"/>
        <family val="3"/>
        <charset val="128"/>
      </rPr>
      <t>辰雄の父、その他</t>
    </r>
    <rPh sb="0" eb="2">
      <t>ナイテキ</t>
    </rPh>
    <rPh sb="2" eb="4">
      <t>ドクハク</t>
    </rPh>
    <rPh sb="5" eb="9">
      <t>ホリタツオ</t>
    </rPh>
    <rPh sb="10" eb="11">
      <t>チチ</t>
    </rPh>
    <rPh sb="12" eb="15">
      <t>ソノタ</t>
    </rPh>
    <phoneticPr fontId="1"/>
  </si>
  <si>
    <r>
      <rPr>
        <sz val="11"/>
        <rFont val="游ゴシック Medium"/>
        <family val="3"/>
        <charset val="128"/>
      </rPr>
      <t>藤沢</t>
    </r>
    <r>
      <rPr>
        <sz val="11"/>
        <rFont val="Consolas"/>
        <family val="3"/>
      </rPr>
      <t xml:space="preserve"> </t>
    </r>
    <r>
      <rPr>
        <sz val="11"/>
        <rFont val="游ゴシック Medium"/>
        <family val="3"/>
        <charset val="128"/>
      </rPr>
      <t>周</t>
    </r>
    <rPh sb="0" eb="2">
      <t>フジサワ</t>
    </rPh>
    <rPh sb="3" eb="4">
      <t>シュウ</t>
    </rPh>
    <phoneticPr fontId="1"/>
  </si>
  <si>
    <r>
      <rPr>
        <sz val="11"/>
        <rFont val="游ゴシック Medium"/>
        <family val="3"/>
        <charset val="128"/>
      </rPr>
      <t>雨月</t>
    </r>
    <rPh sb="0" eb="2">
      <t>ウゲツ</t>
    </rPh>
    <phoneticPr fontId="1"/>
  </si>
  <si>
    <r>
      <rPr>
        <sz val="11"/>
        <rFont val="游ゴシック Medium"/>
        <family val="3"/>
        <charset val="128"/>
      </rPr>
      <t>今昔物語</t>
    </r>
    <rPh sb="0" eb="2">
      <t>コンジャク</t>
    </rPh>
    <rPh sb="2" eb="4">
      <t>モノガタリ</t>
    </rPh>
    <phoneticPr fontId="1"/>
  </si>
  <si>
    <r>
      <rPr>
        <sz val="11"/>
        <rFont val="游ゴシック Medium"/>
        <family val="3"/>
        <charset val="128"/>
      </rPr>
      <t>白髪の唄</t>
    </r>
    <rPh sb="0" eb="2">
      <t>ハクハツ</t>
    </rPh>
    <rPh sb="3" eb="4">
      <t>ウタ</t>
    </rPh>
    <phoneticPr fontId="1"/>
  </si>
  <si>
    <r>
      <rPr>
        <sz val="11"/>
        <rFont val="游ゴシック Medium"/>
        <family val="3"/>
        <charset val="128"/>
      </rPr>
      <t>杳子・妻隠</t>
    </r>
    <rPh sb="0" eb="1">
      <t>ヨウ</t>
    </rPh>
    <rPh sb="1" eb="2">
      <t>コ</t>
    </rPh>
    <rPh sb="3" eb="5">
      <t>ツマゴミ</t>
    </rPh>
    <phoneticPr fontId="1"/>
  </si>
  <si>
    <r>
      <rPr>
        <sz val="11"/>
        <rFont val="游ゴシック Medium"/>
        <family val="3"/>
        <charset val="128"/>
      </rPr>
      <t>櫛の火</t>
    </r>
    <rPh sb="0" eb="1">
      <t>クシ</t>
    </rPh>
    <rPh sb="2" eb="3">
      <t>ヒ</t>
    </rPh>
    <phoneticPr fontId="1"/>
  </si>
  <si>
    <r>
      <rPr>
        <sz val="11"/>
        <rFont val="游ゴシック Medium"/>
        <family val="3"/>
        <charset val="128"/>
      </rPr>
      <t>聖</t>
    </r>
    <r>
      <rPr>
        <sz val="11"/>
        <rFont val="Consolas"/>
        <family val="3"/>
      </rPr>
      <t>/</t>
    </r>
    <r>
      <rPr>
        <sz val="11"/>
        <rFont val="游ゴシック Medium"/>
        <family val="3"/>
        <charset val="128"/>
      </rPr>
      <t>栖</t>
    </r>
    <rPh sb="0" eb="1">
      <t>ヒジリ</t>
    </rPh>
    <rPh sb="2" eb="3">
      <t>スミカ</t>
    </rPh>
    <phoneticPr fontId="1"/>
  </si>
  <si>
    <r>
      <rPr>
        <sz val="11"/>
        <rFont val="游ゴシック Medium"/>
        <family val="3"/>
        <charset val="128"/>
      </rPr>
      <t>水</t>
    </r>
    <rPh sb="0" eb="1">
      <t>ミズ</t>
    </rPh>
    <phoneticPr fontId="1"/>
  </si>
  <si>
    <r>
      <rPr>
        <sz val="11"/>
        <rFont val="游ゴシック Medium"/>
        <family val="3"/>
        <charset val="128"/>
      </rPr>
      <t>女たちの家</t>
    </r>
    <rPh sb="0" eb="1">
      <t>オンナ</t>
    </rPh>
    <rPh sb="4" eb="5">
      <t>イエ</t>
    </rPh>
    <phoneticPr fontId="1"/>
  </si>
  <si>
    <r>
      <t>1979</t>
    </r>
    <r>
      <rPr>
        <sz val="11"/>
        <rFont val="游ゴシック Medium"/>
        <family val="3"/>
        <charset val="128"/>
      </rPr>
      <t>初版</t>
    </r>
    <rPh sb="4" eb="6">
      <t>ショハン</t>
    </rPh>
    <phoneticPr fontId="1"/>
  </si>
  <si>
    <r>
      <rPr>
        <sz val="11"/>
        <rFont val="游ゴシック Medium"/>
        <family val="3"/>
        <charset val="128"/>
      </rPr>
      <t>椋鳥</t>
    </r>
    <rPh sb="0" eb="2">
      <t>ムクドリ</t>
    </rPh>
    <phoneticPr fontId="1"/>
  </si>
  <si>
    <r>
      <rPr>
        <sz val="11"/>
        <rFont val="游ゴシック Medium"/>
        <family val="3"/>
        <charset val="128"/>
      </rPr>
      <t>槿</t>
    </r>
    <rPh sb="0" eb="1">
      <t>ムクゲ</t>
    </rPh>
    <phoneticPr fontId="1"/>
  </si>
  <si>
    <r>
      <rPr>
        <sz val="11"/>
        <rFont val="游ゴシック Medium"/>
        <family val="3"/>
        <charset val="128"/>
      </rPr>
      <t>眉雨</t>
    </r>
    <rPh sb="0" eb="2">
      <t>ビウ</t>
    </rPh>
    <phoneticPr fontId="1"/>
  </si>
  <si>
    <r>
      <rPr>
        <sz val="11"/>
        <rFont val="游ゴシック Medium"/>
        <family val="3"/>
        <charset val="128"/>
      </rPr>
      <t>野川</t>
    </r>
    <rPh sb="0" eb="2">
      <t>ノガワ</t>
    </rPh>
    <phoneticPr fontId="1"/>
  </si>
  <si>
    <r>
      <rPr>
        <sz val="11"/>
        <rFont val="游ゴシック Medium"/>
        <family val="3"/>
        <charset val="128"/>
      </rPr>
      <t>北条民雄</t>
    </r>
    <rPh sb="0" eb="2">
      <t>ホウジョウ</t>
    </rPh>
    <rPh sb="2" eb="4">
      <t>タミオ</t>
    </rPh>
    <phoneticPr fontId="1"/>
  </si>
  <si>
    <r>
      <rPr>
        <sz val="11"/>
        <rFont val="游ゴシック Medium"/>
        <family val="3"/>
        <charset val="128"/>
      </rPr>
      <t>いのちの初夜</t>
    </r>
    <rPh sb="4" eb="6">
      <t>ショヤ</t>
    </rPh>
    <phoneticPr fontId="1"/>
  </si>
  <si>
    <r>
      <rPr>
        <sz val="11"/>
        <rFont val="游ゴシック Medium"/>
        <family val="3"/>
        <charset val="128"/>
      </rPr>
      <t>角川文庫</t>
    </r>
    <r>
      <rPr>
        <sz val="11"/>
        <rFont val="Consolas"/>
        <family val="3"/>
      </rPr>
      <t xml:space="preserve">Classics </t>
    </r>
    <rPh sb="0" eb="2">
      <t>カドカワ</t>
    </rPh>
    <rPh sb="2" eb="4">
      <t>ブンコ</t>
    </rPh>
    <rPh sb="4" eb="12">
      <t>クラシックス</t>
    </rPh>
    <phoneticPr fontId="1"/>
  </si>
  <si>
    <r>
      <rPr>
        <sz val="11"/>
        <rFont val="游ゴシック Medium"/>
        <family val="3"/>
        <charset val="128"/>
      </rPr>
      <t>三浦綾子</t>
    </r>
    <rPh sb="0" eb="2">
      <t>ミウラ</t>
    </rPh>
    <rPh sb="2" eb="4">
      <t>アヤコ</t>
    </rPh>
    <phoneticPr fontId="1"/>
  </si>
  <si>
    <r>
      <rPr>
        <sz val="11"/>
        <rFont val="游ゴシック Medium"/>
        <family val="3"/>
        <charset val="128"/>
      </rPr>
      <t>自我の構図</t>
    </r>
    <rPh sb="0" eb="2">
      <t>ジガ</t>
    </rPh>
    <rPh sb="3" eb="5">
      <t>コウズ</t>
    </rPh>
    <phoneticPr fontId="1"/>
  </si>
  <si>
    <r>
      <rPr>
        <sz val="11"/>
        <rFont val="游ゴシック Medium"/>
        <family val="3"/>
        <charset val="128"/>
      </rPr>
      <t>講談社文庫</t>
    </r>
    <rPh sb="0" eb="3">
      <t>コウダンシャ</t>
    </rPh>
    <rPh sb="3" eb="5">
      <t>ブンコ</t>
    </rPh>
    <phoneticPr fontId="1"/>
  </si>
  <si>
    <r>
      <rPr>
        <sz val="11"/>
        <rFont val="游ゴシック Medium"/>
        <family val="3"/>
        <charset val="128"/>
      </rPr>
      <t>三浦哲郎</t>
    </r>
    <rPh sb="0" eb="2">
      <t>ミウラ</t>
    </rPh>
    <rPh sb="2" eb="4">
      <t>テツロウ</t>
    </rPh>
    <phoneticPr fontId="1"/>
  </si>
  <si>
    <r>
      <rPr>
        <sz val="11"/>
        <rFont val="游ゴシック Medium"/>
        <family val="3"/>
        <charset val="128"/>
      </rPr>
      <t>水の中の神話</t>
    </r>
    <rPh sb="0" eb="1">
      <t>ミズ</t>
    </rPh>
    <rPh sb="2" eb="3">
      <t>ナカ</t>
    </rPh>
    <rPh sb="4" eb="6">
      <t>シンワ</t>
    </rPh>
    <phoneticPr fontId="1"/>
  </si>
  <si>
    <r>
      <rPr>
        <sz val="11"/>
        <rFont val="游ゴシック Medium"/>
        <family val="3"/>
        <charset val="128"/>
      </rPr>
      <t>光瀬</t>
    </r>
    <r>
      <rPr>
        <sz val="11"/>
        <rFont val="Consolas"/>
        <family val="3"/>
      </rPr>
      <t xml:space="preserve"> </t>
    </r>
    <r>
      <rPr>
        <sz val="11"/>
        <rFont val="游ゴシック Medium"/>
        <family val="3"/>
        <charset val="128"/>
      </rPr>
      <t>龍</t>
    </r>
    <rPh sb="0" eb="2">
      <t>ミツセ</t>
    </rPh>
    <rPh sb="3" eb="4">
      <t>リュウ</t>
    </rPh>
    <phoneticPr fontId="1"/>
  </si>
  <si>
    <r>
      <rPr>
        <sz val="11"/>
        <rFont val="游ゴシック Medium"/>
        <family val="3"/>
        <charset val="128"/>
      </rPr>
      <t>百億の昼と千億の夜</t>
    </r>
    <rPh sb="0" eb="2">
      <t>ヒャクオク</t>
    </rPh>
    <rPh sb="3" eb="4">
      <t>ヒル</t>
    </rPh>
    <rPh sb="5" eb="7">
      <t>センオク</t>
    </rPh>
    <rPh sb="8" eb="9">
      <t>ヨル</t>
    </rPh>
    <phoneticPr fontId="1"/>
  </si>
  <si>
    <r>
      <rPr>
        <sz val="11"/>
        <rFont val="游ゴシック Medium"/>
        <family val="3"/>
        <charset val="128"/>
      </rPr>
      <t>村上春樹</t>
    </r>
    <rPh sb="0" eb="2">
      <t>ムラカミ</t>
    </rPh>
    <rPh sb="2" eb="4">
      <t>ハルキ</t>
    </rPh>
    <phoneticPr fontId="1"/>
  </si>
  <si>
    <r>
      <rPr>
        <sz val="11"/>
        <rFont val="游ゴシック Medium"/>
        <family val="3"/>
        <charset val="128"/>
      </rPr>
      <t>佐々木マキ</t>
    </r>
    <rPh sb="0" eb="3">
      <t>ササキ</t>
    </rPh>
    <phoneticPr fontId="1"/>
  </si>
  <si>
    <r>
      <rPr>
        <sz val="11"/>
        <rFont val="游ゴシック Medium"/>
        <family val="3"/>
        <charset val="128"/>
      </rPr>
      <t>羊男の</t>
    </r>
    <r>
      <rPr>
        <sz val="11"/>
        <rFont val="Consolas"/>
        <family val="3"/>
      </rPr>
      <t>Xmas</t>
    </r>
    <rPh sb="0" eb="1">
      <t>ヒツジ</t>
    </rPh>
    <rPh sb="1" eb="2">
      <t>オトコ</t>
    </rPh>
    <rPh sb="3" eb="7">
      <t>クリスマス</t>
    </rPh>
    <phoneticPr fontId="1"/>
  </si>
  <si>
    <r>
      <rPr>
        <sz val="11"/>
        <rFont val="游ゴシック Medium"/>
        <family val="3"/>
        <charset val="128"/>
      </rPr>
      <t>人妻</t>
    </r>
    <r>
      <rPr>
        <sz val="11"/>
        <rFont val="Consolas"/>
        <family val="3"/>
      </rPr>
      <t>M</t>
    </r>
    <r>
      <rPr>
        <sz val="11"/>
        <rFont val="游ゴシック Medium"/>
        <family val="3"/>
        <charset val="128"/>
      </rPr>
      <t>から</t>
    </r>
    <rPh sb="0" eb="2">
      <t>ヒトヅマ</t>
    </rPh>
    <phoneticPr fontId="1"/>
  </si>
  <si>
    <r>
      <rPr>
        <sz val="11"/>
        <rFont val="游ゴシック Medium"/>
        <family val="3"/>
        <charset val="128"/>
      </rPr>
      <t>贈与</t>
    </r>
    <r>
      <rPr>
        <sz val="11"/>
        <rFont val="Consolas"/>
        <family val="3"/>
      </rPr>
      <t>/</t>
    </r>
    <r>
      <rPr>
        <sz val="11"/>
        <rFont val="游ゴシック Medium"/>
        <family val="3"/>
        <charset val="128"/>
      </rPr>
      <t>主人公の口調などが高橋秀樹を思い起こさせるという。</t>
    </r>
    <rPh sb="0" eb="2">
      <t>ゾウヨ</t>
    </rPh>
    <rPh sb="3" eb="6">
      <t>シュジンコウ</t>
    </rPh>
    <rPh sb="7" eb="9">
      <t>クチョウ</t>
    </rPh>
    <rPh sb="12" eb="16">
      <t>タカハシヒデキ</t>
    </rPh>
    <rPh sb="17" eb="20">
      <t>オモイオ</t>
    </rPh>
    <phoneticPr fontId="1"/>
  </si>
  <si>
    <r>
      <rPr>
        <sz val="11"/>
        <rFont val="游ゴシック Medium"/>
        <family val="3"/>
        <charset val="128"/>
      </rPr>
      <t>森</t>
    </r>
    <r>
      <rPr>
        <sz val="11"/>
        <rFont val="Consolas"/>
        <family val="3"/>
      </rPr>
      <t xml:space="preserve"> </t>
    </r>
    <r>
      <rPr>
        <sz val="11"/>
        <rFont val="游ゴシック Medium"/>
        <family val="3"/>
        <charset val="128"/>
      </rPr>
      <t>鴎外</t>
    </r>
    <rPh sb="0" eb="4">
      <t>モリオウガイ</t>
    </rPh>
    <phoneticPr fontId="1"/>
  </si>
  <si>
    <r>
      <rPr>
        <sz val="11"/>
        <rFont val="游ゴシック Medium"/>
        <family val="3"/>
        <charset val="128"/>
      </rPr>
      <t>阿部一族</t>
    </r>
    <r>
      <rPr>
        <sz val="11"/>
        <rFont val="Consolas"/>
        <family val="3"/>
      </rPr>
      <t>/</t>
    </r>
    <r>
      <rPr>
        <sz val="11"/>
        <rFont val="游ゴシック Medium"/>
        <family val="3"/>
        <charset val="128"/>
      </rPr>
      <t>舞姫</t>
    </r>
    <rPh sb="0" eb="2">
      <t>アベ</t>
    </rPh>
    <rPh sb="2" eb="4">
      <t>イチゾク</t>
    </rPh>
    <rPh sb="5" eb="7">
      <t>マイヒメ</t>
    </rPh>
    <phoneticPr fontId="1"/>
  </si>
  <si>
    <r>
      <rPr>
        <sz val="11"/>
        <rFont val="游ゴシック Medium"/>
        <family val="3"/>
        <charset val="128"/>
      </rPr>
      <t>森内俊雄</t>
    </r>
    <rPh sb="0" eb="2">
      <t>モリウチ</t>
    </rPh>
    <rPh sb="2" eb="4">
      <t>トシオ</t>
    </rPh>
    <phoneticPr fontId="1"/>
  </si>
  <si>
    <r>
      <rPr>
        <sz val="11"/>
        <rFont val="游ゴシック Medium"/>
        <family val="3"/>
        <charset val="128"/>
      </rPr>
      <t>骨川に行く</t>
    </r>
    <rPh sb="0" eb="1">
      <t>コツ</t>
    </rPh>
    <rPh sb="1" eb="2">
      <t>カワ</t>
    </rPh>
    <rPh sb="3" eb="4">
      <t>イ</t>
    </rPh>
    <phoneticPr fontId="1"/>
  </si>
  <si>
    <r>
      <rPr>
        <sz val="11"/>
        <rFont val="游ゴシック Medium"/>
        <family val="3"/>
        <charset val="128"/>
      </rPr>
      <t>使者</t>
    </r>
    <rPh sb="0" eb="2">
      <t>シシャ</t>
    </rPh>
    <phoneticPr fontId="1"/>
  </si>
  <si>
    <r>
      <rPr>
        <sz val="11"/>
        <rFont val="游ゴシック Medium"/>
        <family val="3"/>
        <charset val="128"/>
      </rPr>
      <t>幼き者は驢馬に乗って</t>
    </r>
    <rPh sb="0" eb="1">
      <t>オサナ</t>
    </rPh>
    <rPh sb="2" eb="3">
      <t>モノ</t>
    </rPh>
    <rPh sb="4" eb="6">
      <t>ロバ</t>
    </rPh>
    <rPh sb="7" eb="8">
      <t>ノ</t>
    </rPh>
    <phoneticPr fontId="1"/>
  </si>
  <si>
    <r>
      <rPr>
        <sz val="11"/>
        <rFont val="游ゴシック Medium"/>
        <family val="3"/>
        <charset val="128"/>
      </rPr>
      <t>山川方夫</t>
    </r>
    <rPh sb="0" eb="2">
      <t>ヤマカワ</t>
    </rPh>
    <rPh sb="2" eb="4">
      <t>マサオ</t>
    </rPh>
    <phoneticPr fontId="1"/>
  </si>
  <si>
    <r>
      <rPr>
        <sz val="11"/>
        <rFont val="游ゴシック Medium"/>
        <family val="3"/>
        <charset val="128"/>
      </rPr>
      <t>夏の葬列</t>
    </r>
    <rPh sb="0" eb="1">
      <t>ナツ</t>
    </rPh>
    <rPh sb="2" eb="4">
      <t>ソウレツ</t>
    </rPh>
    <phoneticPr fontId="1"/>
  </si>
  <si>
    <r>
      <rPr>
        <sz val="11"/>
        <rFont val="游ゴシック Medium"/>
        <family val="3"/>
        <charset val="128"/>
      </rPr>
      <t>山田詠美</t>
    </r>
    <rPh sb="0" eb="2">
      <t>ヤマダ</t>
    </rPh>
    <rPh sb="2" eb="4">
      <t>エイミ</t>
    </rPh>
    <phoneticPr fontId="1"/>
  </si>
  <si>
    <r>
      <rPr>
        <sz val="11"/>
        <rFont val="游ゴシック Medium"/>
        <family val="3"/>
        <charset val="128"/>
      </rPr>
      <t>熱帯安楽椅子</t>
    </r>
    <rPh sb="0" eb="2">
      <t>ネッタイ</t>
    </rPh>
    <rPh sb="2" eb="4">
      <t>アンラク</t>
    </rPh>
    <rPh sb="4" eb="6">
      <t>イス</t>
    </rPh>
    <phoneticPr fontId="1"/>
  </si>
  <si>
    <r>
      <rPr>
        <sz val="11"/>
        <rFont val="游ゴシック Medium"/>
        <family val="3"/>
        <charset val="128"/>
      </rPr>
      <t>カンヴァスの柩</t>
    </r>
    <rPh sb="6" eb="7">
      <t>ヒツギ</t>
    </rPh>
    <phoneticPr fontId="1"/>
  </si>
  <si>
    <r>
      <rPr>
        <sz val="11"/>
        <rFont val="游ゴシック Medium"/>
        <family val="3"/>
        <charset val="128"/>
      </rPr>
      <t>山田風太郎</t>
    </r>
    <rPh sb="0" eb="2">
      <t>ヤマダ</t>
    </rPh>
    <rPh sb="2" eb="3">
      <t>フウ</t>
    </rPh>
    <rPh sb="3" eb="5">
      <t>タロウ</t>
    </rPh>
    <phoneticPr fontId="1"/>
  </si>
  <si>
    <r>
      <rPr>
        <sz val="11"/>
        <rFont val="游ゴシック Medium"/>
        <family val="3"/>
        <charset val="128"/>
      </rPr>
      <t>警視庁草子</t>
    </r>
    <rPh sb="0" eb="3">
      <t>ケイシチョウ</t>
    </rPh>
    <rPh sb="3" eb="5">
      <t>ゾウシ</t>
    </rPh>
    <phoneticPr fontId="1"/>
  </si>
  <si>
    <r>
      <rPr>
        <sz val="11"/>
        <rFont val="游ゴシック Medium"/>
        <family val="3"/>
        <charset val="128"/>
      </rPr>
      <t>山本周五郎</t>
    </r>
    <rPh sb="0" eb="2">
      <t>ヤマモト</t>
    </rPh>
    <rPh sb="2" eb="5">
      <t>シュウゴロウ</t>
    </rPh>
    <phoneticPr fontId="1"/>
  </si>
  <si>
    <r>
      <rPr>
        <sz val="11"/>
        <rFont val="游ゴシック Medium"/>
        <family val="3"/>
        <charset val="128"/>
      </rPr>
      <t>虚空遍歴</t>
    </r>
    <rPh sb="0" eb="2">
      <t>コクウ</t>
    </rPh>
    <rPh sb="2" eb="4">
      <t>ヘンレキ</t>
    </rPh>
    <phoneticPr fontId="1"/>
  </si>
  <si>
    <r>
      <rPr>
        <sz val="11"/>
        <rFont val="游ゴシック Medium"/>
        <family val="3"/>
        <charset val="128"/>
      </rPr>
      <t>赤ひげ診療譚</t>
    </r>
    <rPh sb="0" eb="1">
      <t>アカ</t>
    </rPh>
    <rPh sb="3" eb="5">
      <t>シンリョウ</t>
    </rPh>
    <rPh sb="5" eb="6">
      <t>タン</t>
    </rPh>
    <phoneticPr fontId="1"/>
  </si>
  <si>
    <r>
      <rPr>
        <sz val="11"/>
        <rFont val="游ゴシック Medium"/>
        <family val="3"/>
        <charset val="128"/>
      </rPr>
      <t>唯川</t>
    </r>
    <r>
      <rPr>
        <sz val="11"/>
        <rFont val="Consolas"/>
        <family val="3"/>
      </rPr>
      <t xml:space="preserve"> </t>
    </r>
    <r>
      <rPr>
        <sz val="11"/>
        <rFont val="游ゴシック Medium"/>
        <family val="3"/>
        <charset val="128"/>
      </rPr>
      <t>恵</t>
    </r>
    <rPh sb="0" eb="2">
      <t>ユイカワ</t>
    </rPh>
    <rPh sb="3" eb="4">
      <t>ケイ</t>
    </rPh>
    <phoneticPr fontId="1"/>
  </si>
  <si>
    <r>
      <rPr>
        <sz val="11"/>
        <rFont val="游ゴシック Medium"/>
        <family val="3"/>
        <charset val="128"/>
      </rPr>
      <t>今夜は心だけ抱いて</t>
    </r>
    <rPh sb="0" eb="2">
      <t>コンヤ</t>
    </rPh>
    <rPh sb="3" eb="4">
      <t>ココロ</t>
    </rPh>
    <rPh sb="6" eb="7">
      <t>ダ</t>
    </rPh>
    <phoneticPr fontId="1"/>
  </si>
  <si>
    <r>
      <rPr>
        <sz val="11"/>
        <rFont val="游ゴシック Medium"/>
        <family val="3"/>
        <charset val="128"/>
      </rPr>
      <t>夢野久作</t>
    </r>
    <rPh sb="0" eb="4">
      <t>ユメノキュウサク</t>
    </rPh>
    <phoneticPr fontId="1"/>
  </si>
  <si>
    <r>
      <rPr>
        <sz val="11"/>
        <rFont val="游ゴシック Medium"/>
        <family val="3"/>
        <charset val="128"/>
      </rPr>
      <t>夢野久作全集</t>
    </r>
    <r>
      <rPr>
        <sz val="11"/>
        <rFont val="Consolas"/>
        <family val="3"/>
      </rPr>
      <t xml:space="preserve"> 01</t>
    </r>
    <rPh sb="0" eb="2">
      <t>ユメノ</t>
    </rPh>
    <rPh sb="2" eb="4">
      <t>キュウサク</t>
    </rPh>
    <rPh sb="4" eb="6">
      <t>ゼンシュウ</t>
    </rPh>
    <phoneticPr fontId="1"/>
  </si>
  <si>
    <r>
      <rPr>
        <sz val="11"/>
        <rFont val="游ゴシック Medium"/>
        <family val="3"/>
        <charset val="128"/>
      </rPr>
      <t>夢野久作全集</t>
    </r>
    <r>
      <rPr>
        <sz val="11"/>
        <rFont val="Consolas"/>
        <family val="3"/>
      </rPr>
      <t xml:space="preserve"> 02</t>
    </r>
    <rPh sb="0" eb="2">
      <t>ユメノ</t>
    </rPh>
    <rPh sb="2" eb="4">
      <t>キュウサク</t>
    </rPh>
    <rPh sb="4" eb="6">
      <t>ゼンシュウ</t>
    </rPh>
    <phoneticPr fontId="1"/>
  </si>
  <si>
    <r>
      <rPr>
        <sz val="11"/>
        <rFont val="游ゴシック Medium"/>
        <family val="3"/>
        <charset val="128"/>
      </rPr>
      <t>夢野久作全集</t>
    </r>
    <r>
      <rPr>
        <sz val="11"/>
        <rFont val="Consolas"/>
        <family val="3"/>
      </rPr>
      <t xml:space="preserve"> 03</t>
    </r>
    <rPh sb="0" eb="2">
      <t>ユメノ</t>
    </rPh>
    <rPh sb="2" eb="4">
      <t>キュウサク</t>
    </rPh>
    <rPh sb="4" eb="6">
      <t>ゼンシュウ</t>
    </rPh>
    <phoneticPr fontId="1"/>
  </si>
  <si>
    <r>
      <rPr>
        <sz val="11"/>
        <rFont val="游ゴシック Medium"/>
        <family val="3"/>
        <charset val="128"/>
      </rPr>
      <t>夢野久作全集</t>
    </r>
    <r>
      <rPr>
        <sz val="11"/>
        <rFont val="Consolas"/>
        <family val="3"/>
      </rPr>
      <t xml:space="preserve"> 04</t>
    </r>
    <rPh sb="0" eb="2">
      <t>ユメノ</t>
    </rPh>
    <rPh sb="2" eb="4">
      <t>キュウサク</t>
    </rPh>
    <rPh sb="4" eb="6">
      <t>ゼンシュウ</t>
    </rPh>
    <phoneticPr fontId="1"/>
  </si>
  <si>
    <r>
      <rPr>
        <sz val="11"/>
        <rFont val="游ゴシック Medium"/>
        <family val="3"/>
        <charset val="128"/>
      </rPr>
      <t>夢野久作全集</t>
    </r>
    <r>
      <rPr>
        <sz val="11"/>
        <rFont val="Consolas"/>
        <family val="3"/>
      </rPr>
      <t xml:space="preserve"> 05</t>
    </r>
    <rPh sb="0" eb="2">
      <t>ユメノ</t>
    </rPh>
    <rPh sb="2" eb="4">
      <t>キュウサク</t>
    </rPh>
    <rPh sb="4" eb="6">
      <t>ゼンシュウ</t>
    </rPh>
    <phoneticPr fontId="1"/>
  </si>
  <si>
    <r>
      <rPr>
        <sz val="11"/>
        <rFont val="游ゴシック Medium"/>
        <family val="3"/>
        <charset val="128"/>
      </rPr>
      <t>夢野久作全集</t>
    </r>
    <r>
      <rPr>
        <sz val="11"/>
        <rFont val="Consolas"/>
        <family val="3"/>
      </rPr>
      <t xml:space="preserve"> 06</t>
    </r>
    <rPh sb="0" eb="2">
      <t>ユメノ</t>
    </rPh>
    <rPh sb="2" eb="4">
      <t>キュウサク</t>
    </rPh>
    <rPh sb="4" eb="6">
      <t>ゼンシュウ</t>
    </rPh>
    <phoneticPr fontId="1"/>
  </si>
  <si>
    <r>
      <rPr>
        <sz val="11"/>
        <rFont val="游ゴシック Medium"/>
        <family val="3"/>
        <charset val="128"/>
      </rPr>
      <t>夢野久作全集</t>
    </r>
    <r>
      <rPr>
        <sz val="11"/>
        <rFont val="Consolas"/>
        <family val="3"/>
      </rPr>
      <t xml:space="preserve"> 07</t>
    </r>
    <rPh sb="0" eb="2">
      <t>ユメノ</t>
    </rPh>
    <rPh sb="2" eb="4">
      <t>キュウサク</t>
    </rPh>
    <rPh sb="4" eb="6">
      <t>ゼンシュウ</t>
    </rPh>
    <phoneticPr fontId="1"/>
  </si>
  <si>
    <r>
      <rPr>
        <sz val="11"/>
        <rFont val="游ゴシック Medium"/>
        <family val="3"/>
        <charset val="128"/>
      </rPr>
      <t>夢野久作全集</t>
    </r>
    <r>
      <rPr>
        <sz val="11"/>
        <rFont val="Consolas"/>
        <family val="3"/>
      </rPr>
      <t xml:space="preserve"> 10</t>
    </r>
    <rPh sb="0" eb="2">
      <t>ユメノ</t>
    </rPh>
    <rPh sb="2" eb="4">
      <t>キュウサク</t>
    </rPh>
    <rPh sb="4" eb="6">
      <t>ゼンシュウ</t>
    </rPh>
    <phoneticPr fontId="1"/>
  </si>
  <si>
    <r>
      <rPr>
        <sz val="11"/>
        <rFont val="游ゴシック Medium"/>
        <family val="3"/>
        <charset val="128"/>
      </rPr>
      <t>夢野久作全集</t>
    </r>
    <r>
      <rPr>
        <sz val="11"/>
        <rFont val="Consolas"/>
        <family val="3"/>
      </rPr>
      <t xml:space="preserve"> 11</t>
    </r>
    <rPh sb="0" eb="2">
      <t>ユメノ</t>
    </rPh>
    <rPh sb="2" eb="4">
      <t>キュウサク</t>
    </rPh>
    <rPh sb="4" eb="6">
      <t>ゼンシュウ</t>
    </rPh>
    <phoneticPr fontId="1"/>
  </si>
  <si>
    <r>
      <rPr>
        <sz val="11"/>
        <rFont val="游ゴシック Medium"/>
        <family val="3"/>
        <charset val="128"/>
      </rPr>
      <t>空を飛ぶパラソル</t>
    </r>
    <rPh sb="0" eb="1">
      <t>ソラ</t>
    </rPh>
    <rPh sb="2" eb="3">
      <t>ト</t>
    </rPh>
    <phoneticPr fontId="1"/>
  </si>
  <si>
    <r>
      <t>04</t>
    </r>
    <r>
      <rPr>
        <sz val="11"/>
        <rFont val="游ゴシック Medium"/>
        <family val="3"/>
        <charset val="128"/>
      </rPr>
      <t>に該当</t>
    </r>
    <rPh sb="3" eb="5">
      <t>ガイトウ</t>
    </rPh>
    <phoneticPr fontId="1"/>
  </si>
  <si>
    <r>
      <rPr>
        <b/>
        <sz val="11"/>
        <color indexed="33"/>
        <rFont val="游ゴシック Medium"/>
        <family val="3"/>
        <charset val="128"/>
      </rPr>
      <t>少女地獄</t>
    </r>
    <rPh sb="0" eb="2">
      <t>ショウジョ</t>
    </rPh>
    <rPh sb="2" eb="4">
      <t>ジゴク</t>
    </rPh>
    <phoneticPr fontId="1"/>
  </si>
  <si>
    <r>
      <t>08</t>
    </r>
    <r>
      <rPr>
        <sz val="11"/>
        <rFont val="游ゴシック Medium"/>
        <family val="3"/>
        <charset val="128"/>
      </rPr>
      <t>に該当</t>
    </r>
    <rPh sb="3" eb="5">
      <t>ガイトウ</t>
    </rPh>
    <phoneticPr fontId="1"/>
  </si>
  <si>
    <r>
      <rPr>
        <sz val="11"/>
        <rFont val="游ゴシック Medium"/>
        <family val="3"/>
        <charset val="128"/>
      </rPr>
      <t>ドグラ・マグラ</t>
    </r>
    <phoneticPr fontId="1"/>
  </si>
  <si>
    <r>
      <t>09</t>
    </r>
    <r>
      <rPr>
        <sz val="11"/>
        <rFont val="游ゴシック Medium"/>
        <family val="3"/>
        <charset val="128"/>
      </rPr>
      <t>に該当</t>
    </r>
    <r>
      <rPr>
        <sz val="11"/>
        <rFont val="Consolas"/>
        <family val="3"/>
      </rPr>
      <t>/</t>
    </r>
    <r>
      <rPr>
        <sz val="11"/>
        <rFont val="游ゴシック Medium"/>
        <family val="3"/>
        <charset val="128"/>
      </rPr>
      <t>夢野久作傑作選Ⅳ</t>
    </r>
    <rPh sb="3" eb="5">
      <t>ガイトウ</t>
    </rPh>
    <rPh sb="6" eb="8">
      <t>ユメノ</t>
    </rPh>
    <rPh sb="8" eb="10">
      <t>キュウサク</t>
    </rPh>
    <rPh sb="10" eb="13">
      <t>ケッサクセン</t>
    </rPh>
    <phoneticPr fontId="1"/>
  </si>
  <si>
    <r>
      <rPr>
        <sz val="11"/>
        <rFont val="游ゴシック Medium"/>
        <family val="3"/>
        <charset val="128"/>
      </rPr>
      <t>教養文庫</t>
    </r>
    <rPh sb="0" eb="2">
      <t>キョウヨウ</t>
    </rPh>
    <rPh sb="2" eb="4">
      <t>ブンコ</t>
    </rPh>
    <phoneticPr fontId="1"/>
  </si>
  <si>
    <r>
      <rPr>
        <sz val="11"/>
        <rFont val="游ゴシック Medium"/>
        <family val="3"/>
        <charset val="128"/>
      </rPr>
      <t>吉田知子</t>
    </r>
    <rPh sb="0" eb="2">
      <t>ヨシダ</t>
    </rPh>
    <rPh sb="2" eb="4">
      <t>トモコ</t>
    </rPh>
    <phoneticPr fontId="1"/>
  </si>
  <si>
    <r>
      <rPr>
        <sz val="11"/>
        <rFont val="游ゴシック Medium"/>
        <family val="3"/>
        <charset val="128"/>
      </rPr>
      <t>無明長夜</t>
    </r>
    <rPh sb="0" eb="2">
      <t>ムミョウ</t>
    </rPh>
    <rPh sb="2" eb="4">
      <t>チョウヤ</t>
    </rPh>
    <phoneticPr fontId="1"/>
  </si>
  <si>
    <r>
      <rPr>
        <sz val="11"/>
        <rFont val="游ゴシック Medium"/>
        <family val="3"/>
        <charset val="128"/>
      </rPr>
      <t>山藤章二</t>
    </r>
    <rPh sb="0" eb="2">
      <t>ヤマフジ</t>
    </rPh>
    <rPh sb="2" eb="4">
      <t>ショウジ</t>
    </rPh>
    <phoneticPr fontId="1"/>
  </si>
  <si>
    <r>
      <rPr>
        <sz val="11"/>
        <rFont val="游ゴシック Medium"/>
        <family val="3"/>
        <charset val="128"/>
      </rPr>
      <t>贋食物誌</t>
    </r>
    <rPh sb="0" eb="1">
      <t>ニセ</t>
    </rPh>
    <rPh sb="1" eb="3">
      <t>ショクモツ</t>
    </rPh>
    <rPh sb="3" eb="4">
      <t>シ</t>
    </rPh>
    <phoneticPr fontId="1"/>
  </si>
  <si>
    <r>
      <rPr>
        <sz val="11"/>
        <rFont val="游ゴシック Medium"/>
        <family val="3"/>
        <charset val="128"/>
      </rPr>
      <t>美少女</t>
    </r>
    <rPh sb="0" eb="3">
      <t>ビショウジョ</t>
    </rPh>
    <phoneticPr fontId="1"/>
  </si>
  <si>
    <r>
      <rPr>
        <sz val="11"/>
        <rFont val="游ゴシック Medium"/>
        <family val="3"/>
        <charset val="128"/>
      </rPr>
      <t>娼婦の部屋</t>
    </r>
    <r>
      <rPr>
        <sz val="11"/>
        <rFont val="Consolas"/>
        <family val="3"/>
      </rPr>
      <t>/</t>
    </r>
    <r>
      <rPr>
        <sz val="11"/>
        <rFont val="游ゴシック Medium"/>
        <family val="3"/>
        <charset val="128"/>
      </rPr>
      <t>不意の出来事</t>
    </r>
    <rPh sb="0" eb="2">
      <t>ショウフ</t>
    </rPh>
    <rPh sb="3" eb="5">
      <t>ヘヤ</t>
    </rPh>
    <rPh sb="6" eb="8">
      <t>フイ</t>
    </rPh>
    <rPh sb="9" eb="12">
      <t>デキゴト</t>
    </rPh>
    <phoneticPr fontId="1"/>
  </si>
  <si>
    <r>
      <rPr>
        <sz val="11"/>
        <rFont val="游ゴシック Medium"/>
        <family val="3"/>
        <charset val="128"/>
      </rPr>
      <t>砂の上の植物群</t>
    </r>
    <rPh sb="0" eb="1">
      <t>スナ</t>
    </rPh>
    <rPh sb="2" eb="3">
      <t>ウエ</t>
    </rPh>
    <rPh sb="4" eb="6">
      <t>ショクブツ</t>
    </rPh>
    <rPh sb="6" eb="7">
      <t>グン</t>
    </rPh>
    <phoneticPr fontId="1"/>
  </si>
  <si>
    <r>
      <rPr>
        <sz val="11"/>
        <rFont val="游ゴシック Medium"/>
        <family val="3"/>
        <charset val="128"/>
      </rPr>
      <t>技巧的生活</t>
    </r>
    <rPh sb="0" eb="3">
      <t>ギコウテキ</t>
    </rPh>
    <rPh sb="3" eb="5">
      <t>セイカツ</t>
    </rPh>
    <phoneticPr fontId="1"/>
  </si>
  <si>
    <r>
      <rPr>
        <sz val="11"/>
        <rFont val="游ゴシック Medium"/>
        <family val="3"/>
        <charset val="128"/>
      </rPr>
      <t>新潮文庫･旧時代</t>
    </r>
    <rPh sb="0" eb="4">
      <t>シンチョウブンコ</t>
    </rPh>
    <rPh sb="5" eb="8">
      <t>キュウジダイ</t>
    </rPh>
    <phoneticPr fontId="1"/>
  </si>
  <si>
    <r>
      <rPr>
        <sz val="11"/>
        <rFont val="游ゴシック Medium"/>
        <family val="3"/>
        <charset val="128"/>
      </rPr>
      <t>原色の街</t>
    </r>
    <r>
      <rPr>
        <sz val="11"/>
        <rFont val="Consolas"/>
        <family val="3"/>
      </rPr>
      <t>/</t>
    </r>
    <r>
      <rPr>
        <sz val="11"/>
        <rFont val="游ゴシック Medium"/>
        <family val="3"/>
        <charset val="128"/>
      </rPr>
      <t>驟雨</t>
    </r>
    <rPh sb="0" eb="2">
      <t>ゲンショク</t>
    </rPh>
    <rPh sb="3" eb="4">
      <t>マチ</t>
    </rPh>
    <rPh sb="5" eb="7">
      <t>シュウウ</t>
    </rPh>
    <phoneticPr fontId="1"/>
  </si>
  <si>
    <r>
      <rPr>
        <sz val="11"/>
        <rFont val="游ゴシック Medium"/>
        <family val="3"/>
        <charset val="128"/>
      </rPr>
      <t>夜の噂</t>
    </r>
    <rPh sb="0" eb="1">
      <t>ヨル</t>
    </rPh>
    <rPh sb="2" eb="3">
      <t>ウワサ</t>
    </rPh>
    <phoneticPr fontId="1"/>
  </si>
  <si>
    <r>
      <rPr>
        <sz val="11"/>
        <rFont val="游ゴシック Medium"/>
        <family val="3"/>
        <charset val="128"/>
      </rPr>
      <t>湿った空乾いた空</t>
    </r>
    <rPh sb="0" eb="1">
      <t>シメ</t>
    </rPh>
    <rPh sb="3" eb="4">
      <t>ソラ</t>
    </rPh>
    <rPh sb="4" eb="5">
      <t>カワ</t>
    </rPh>
    <rPh sb="7" eb="8">
      <t>ソラ</t>
    </rPh>
    <phoneticPr fontId="1"/>
  </si>
  <si>
    <r>
      <rPr>
        <sz val="11"/>
        <rFont val="游ゴシック Medium"/>
        <family val="3"/>
        <charset val="128"/>
      </rPr>
      <t>夕暮まで</t>
    </r>
    <rPh sb="0" eb="2">
      <t>ユウグレ</t>
    </rPh>
    <phoneticPr fontId="1"/>
  </si>
  <si>
    <r>
      <rPr>
        <sz val="11"/>
        <rFont val="游ゴシック Medium"/>
        <family val="3"/>
        <charset val="128"/>
      </rPr>
      <t>目玉</t>
    </r>
    <rPh sb="0" eb="2">
      <t>メダマ</t>
    </rPh>
    <phoneticPr fontId="1"/>
  </si>
  <si>
    <r>
      <rPr>
        <sz val="11"/>
        <rFont val="游ゴシック Medium"/>
        <family val="3"/>
        <charset val="128"/>
      </rPr>
      <t>怖</t>
    </r>
    <r>
      <rPr>
        <sz val="11"/>
        <color indexed="37"/>
        <rFont val="游ゴシック Medium"/>
        <family val="3"/>
        <charset val="128"/>
      </rPr>
      <t>ろ</t>
    </r>
    <r>
      <rPr>
        <sz val="11"/>
        <rFont val="游ゴシック Medium"/>
        <family val="3"/>
        <charset val="128"/>
      </rPr>
      <t>しい場所</t>
    </r>
    <rPh sb="0" eb="1">
      <t>オソ</t>
    </rPh>
    <rPh sb="4" eb="6">
      <t>バショ</t>
    </rPh>
    <phoneticPr fontId="1"/>
  </si>
  <si>
    <r>
      <t>1976/01_</t>
    </r>
    <r>
      <rPr>
        <sz val="11"/>
        <rFont val="游ゴシック Medium"/>
        <family val="3"/>
        <charset val="128"/>
      </rPr>
      <t>新潮社</t>
    </r>
    <rPh sb="8" eb="11">
      <t>シンチョウシャ</t>
    </rPh>
    <phoneticPr fontId="1"/>
  </si>
  <si>
    <r>
      <rPr>
        <sz val="11"/>
        <rFont val="游ゴシック Medium"/>
        <family val="3"/>
        <charset val="128"/>
      </rPr>
      <t>古本大學池袋</t>
    </r>
    <rPh sb="0" eb="2">
      <t>フルホン</t>
    </rPh>
    <rPh sb="2" eb="4">
      <t>ダイガク</t>
    </rPh>
    <rPh sb="4" eb="6">
      <t>イケブクロ</t>
    </rPh>
    <phoneticPr fontId="1"/>
  </si>
  <si>
    <r>
      <rPr>
        <sz val="11"/>
        <rFont val="游ゴシック Medium"/>
        <family val="3"/>
        <charset val="128"/>
      </rPr>
      <t>暗室</t>
    </r>
    <rPh sb="0" eb="2">
      <t>アンシツ</t>
    </rPh>
    <phoneticPr fontId="1"/>
  </si>
  <si>
    <r>
      <rPr>
        <sz val="11"/>
        <rFont val="游ゴシック Medium"/>
        <family val="3"/>
        <charset val="128"/>
      </rPr>
      <t>星と月は天の穴</t>
    </r>
    <rPh sb="0" eb="1">
      <t>ホシ</t>
    </rPh>
    <rPh sb="2" eb="3">
      <t>ツキ</t>
    </rPh>
    <rPh sb="4" eb="5">
      <t>テン</t>
    </rPh>
    <rPh sb="6" eb="7">
      <t>アナ</t>
    </rPh>
    <phoneticPr fontId="1"/>
  </si>
  <si>
    <r>
      <rPr>
        <sz val="11"/>
        <rFont val="游ゴシック Medium"/>
        <family val="3"/>
        <charset val="128"/>
      </rPr>
      <t>コールガール</t>
    </r>
    <phoneticPr fontId="1"/>
  </si>
  <si>
    <r>
      <rPr>
        <sz val="11"/>
        <rFont val="游ゴシック Medium"/>
        <family val="3"/>
        <charset val="128"/>
      </rPr>
      <t>悪友のすすめ</t>
    </r>
    <rPh sb="0" eb="2">
      <t>アクユウ</t>
    </rPh>
    <phoneticPr fontId="1"/>
  </si>
  <si>
    <r>
      <rPr>
        <sz val="11"/>
        <rFont val="游ゴシック Medium"/>
        <family val="3"/>
        <charset val="128"/>
      </rPr>
      <t>軽薄のすすめ</t>
    </r>
    <rPh sb="0" eb="2">
      <t>ケイハク</t>
    </rPh>
    <phoneticPr fontId="1"/>
  </si>
  <si>
    <r>
      <rPr>
        <sz val="11"/>
        <rFont val="游ゴシック Medium"/>
        <family val="3"/>
        <charset val="128"/>
      </rPr>
      <t>子供の領分</t>
    </r>
    <rPh sb="0" eb="2">
      <t>コドモ</t>
    </rPh>
    <rPh sb="3" eb="5">
      <t>リョウブン</t>
    </rPh>
    <phoneticPr fontId="1"/>
  </si>
  <si>
    <r>
      <rPr>
        <sz val="11"/>
        <rFont val="游ゴシック Medium"/>
        <family val="3"/>
        <charset val="128"/>
      </rPr>
      <t>赤と紫</t>
    </r>
    <rPh sb="0" eb="1">
      <t>アカ</t>
    </rPh>
    <rPh sb="2" eb="3">
      <t>ムラサキ</t>
    </rPh>
    <phoneticPr fontId="1"/>
  </si>
  <si>
    <r>
      <rPr>
        <sz val="11"/>
        <rFont val="游ゴシック Medium"/>
        <family val="3"/>
        <charset val="128"/>
      </rPr>
      <t>街の底で</t>
    </r>
    <rPh sb="0" eb="1">
      <t>マチ</t>
    </rPh>
    <rPh sb="2" eb="3">
      <t>ソコ</t>
    </rPh>
    <phoneticPr fontId="1"/>
  </si>
  <si>
    <r>
      <rPr>
        <sz val="11"/>
        <rFont val="游ゴシック Medium"/>
        <family val="3"/>
        <charset val="128"/>
      </rPr>
      <t>鬱の一年</t>
    </r>
    <rPh sb="0" eb="1">
      <t>ウツ</t>
    </rPh>
    <rPh sb="2" eb="4">
      <t>イチネン</t>
    </rPh>
    <phoneticPr fontId="1"/>
  </si>
  <si>
    <r>
      <rPr>
        <sz val="11"/>
        <rFont val="游ゴシック Medium"/>
        <family val="3"/>
        <charset val="128"/>
      </rPr>
      <t>着流し対談</t>
    </r>
    <rPh sb="0" eb="2">
      <t>キナガ</t>
    </rPh>
    <rPh sb="3" eb="5">
      <t>タイダン</t>
    </rPh>
    <phoneticPr fontId="1"/>
  </si>
  <si>
    <r>
      <rPr>
        <sz val="11"/>
        <rFont val="游ゴシック Medium"/>
        <family val="3"/>
        <charset val="128"/>
      </rPr>
      <t>恋愛論</t>
    </r>
    <rPh sb="0" eb="2">
      <t>レンアイ</t>
    </rPh>
    <rPh sb="2" eb="3">
      <t>ロン</t>
    </rPh>
    <phoneticPr fontId="1"/>
  </si>
  <si>
    <r>
      <rPr>
        <sz val="11"/>
        <rFont val="游ゴシック Medium"/>
        <family val="3"/>
        <charset val="128"/>
      </rPr>
      <t>闇の中の祝祭</t>
    </r>
    <rPh sb="0" eb="1">
      <t>ヤミ</t>
    </rPh>
    <rPh sb="2" eb="3">
      <t>ナカ</t>
    </rPh>
    <rPh sb="4" eb="6">
      <t>シュクサイ</t>
    </rPh>
    <phoneticPr fontId="1"/>
  </si>
  <si>
    <r>
      <rPr>
        <sz val="11"/>
        <rFont val="游ゴシック Medium"/>
        <family val="3"/>
        <charset val="128"/>
      </rPr>
      <t>男と女の子</t>
    </r>
    <rPh sb="0" eb="1">
      <t>オトコ</t>
    </rPh>
    <rPh sb="2" eb="3">
      <t>オンナ</t>
    </rPh>
    <rPh sb="4" eb="5">
      <t>コ</t>
    </rPh>
    <phoneticPr fontId="1"/>
  </si>
  <si>
    <r>
      <rPr>
        <sz val="11"/>
        <rFont val="游ゴシック Medium"/>
        <family val="3"/>
        <charset val="128"/>
      </rPr>
      <t>生と性</t>
    </r>
    <rPh sb="0" eb="1">
      <t>セイ</t>
    </rPh>
    <rPh sb="2" eb="3">
      <t>セイ</t>
    </rPh>
    <phoneticPr fontId="1"/>
  </si>
  <si>
    <r>
      <rPr>
        <sz val="11"/>
        <rFont val="游ゴシック Medium"/>
        <family val="3"/>
        <charset val="128"/>
      </rPr>
      <t>散文</t>
    </r>
    <r>
      <rPr>
        <sz val="11"/>
        <rFont val="Consolas"/>
        <family val="3"/>
      </rPr>
      <t>/</t>
    </r>
    <r>
      <rPr>
        <sz val="11"/>
        <rFont val="游ゴシック Medium"/>
        <family val="3"/>
        <charset val="128"/>
      </rPr>
      <t>文学</t>
    </r>
    <rPh sb="0" eb="2">
      <t>サンブン</t>
    </rPh>
    <rPh sb="3" eb="5">
      <t>ブンガク</t>
    </rPh>
    <phoneticPr fontId="1"/>
  </si>
  <si>
    <r>
      <rPr>
        <b/>
        <sz val="11"/>
        <color indexed="14"/>
        <rFont val="游ゴシック Medium"/>
        <family val="3"/>
        <charset val="128"/>
      </rPr>
      <t>吉行エイスケ</t>
    </r>
    <rPh sb="0" eb="2">
      <t>ヨシユキ</t>
    </rPh>
    <phoneticPr fontId="1"/>
  </si>
  <si>
    <r>
      <rPr>
        <sz val="11"/>
        <rFont val="游ゴシック Medium"/>
        <family val="3"/>
        <charset val="128"/>
      </rPr>
      <t>詩とダダと私と</t>
    </r>
    <rPh sb="0" eb="1">
      <t>シ</t>
    </rPh>
    <rPh sb="5" eb="6">
      <t>ワタシ</t>
    </rPh>
    <phoneticPr fontId="1"/>
  </si>
  <si>
    <r>
      <rPr>
        <sz val="11"/>
        <rFont val="游ゴシック Medium"/>
        <family val="3"/>
        <charset val="128"/>
      </rPr>
      <t>米倉斉加年</t>
    </r>
    <rPh sb="0" eb="2">
      <t>ヨネクラ</t>
    </rPh>
    <rPh sb="2" eb="5">
      <t>サカトシ</t>
    </rPh>
    <phoneticPr fontId="1"/>
  </si>
  <si>
    <r>
      <rPr>
        <sz val="11"/>
        <rFont val="游ゴシック Medium"/>
        <family val="3"/>
        <charset val="128"/>
      </rPr>
      <t>女のかたち</t>
    </r>
    <rPh sb="0" eb="1">
      <t>オンナ</t>
    </rPh>
    <phoneticPr fontId="1"/>
  </si>
  <si>
    <r>
      <rPr>
        <b/>
        <sz val="11"/>
        <color indexed="33"/>
        <rFont val="游ゴシック Medium"/>
        <family val="3"/>
        <charset val="128"/>
      </rPr>
      <t>横光利一</t>
    </r>
    <rPh sb="0" eb="4">
      <t>ヨコミツリイチ</t>
    </rPh>
    <phoneticPr fontId="1"/>
  </si>
  <si>
    <r>
      <rPr>
        <sz val="11"/>
        <rFont val="游ゴシック Medium"/>
        <family val="3"/>
        <charset val="128"/>
      </rPr>
      <t>上海</t>
    </r>
    <rPh sb="0" eb="2">
      <t>シャンハイ</t>
    </rPh>
    <phoneticPr fontId="1"/>
  </si>
  <si>
    <r>
      <rPr>
        <sz val="11"/>
        <rFont val="游ゴシック Medium"/>
        <family val="3"/>
        <charset val="128"/>
      </rPr>
      <t>寝園</t>
    </r>
    <rPh sb="0" eb="2">
      <t>シンエン</t>
    </rPh>
    <phoneticPr fontId="1"/>
  </si>
  <si>
    <r>
      <rPr>
        <sz val="11"/>
        <rFont val="游ゴシック Medium"/>
        <family val="3"/>
        <charset val="128"/>
      </rPr>
      <t>紋章</t>
    </r>
    <rPh sb="0" eb="2">
      <t>モンショウ</t>
    </rPh>
    <phoneticPr fontId="1"/>
  </si>
  <si>
    <r>
      <rPr>
        <sz val="11"/>
        <rFont val="游ゴシック Medium"/>
        <family val="3"/>
        <charset val="128"/>
      </rPr>
      <t>愛の挨拶</t>
    </r>
    <r>
      <rPr>
        <sz val="11"/>
        <rFont val="Consolas"/>
        <family val="3"/>
      </rPr>
      <t>/</t>
    </r>
    <r>
      <rPr>
        <sz val="11"/>
        <rFont val="游ゴシック Medium"/>
        <family val="3"/>
        <charset val="128"/>
      </rPr>
      <t>馬車</t>
    </r>
    <r>
      <rPr>
        <sz val="11"/>
        <rFont val="Consolas"/>
        <family val="3"/>
      </rPr>
      <t>/</t>
    </r>
    <r>
      <rPr>
        <sz val="11"/>
        <rFont val="游ゴシック Medium"/>
        <family val="3"/>
        <charset val="128"/>
      </rPr>
      <t>純粋小説論</t>
    </r>
    <rPh sb="0" eb="1">
      <t>アイ</t>
    </rPh>
    <rPh sb="2" eb="4">
      <t>アイサツ</t>
    </rPh>
    <rPh sb="5" eb="7">
      <t>バシャ</t>
    </rPh>
    <rPh sb="8" eb="10">
      <t>ジュンスイ</t>
    </rPh>
    <rPh sb="10" eb="12">
      <t>ショウセツ</t>
    </rPh>
    <rPh sb="12" eb="13">
      <t>ロン</t>
    </rPh>
    <phoneticPr fontId="1"/>
  </si>
  <si>
    <r>
      <rPr>
        <sz val="11"/>
        <rFont val="游ゴシック Medium"/>
        <family val="3"/>
        <charset val="128"/>
      </rPr>
      <t>夜の靴</t>
    </r>
    <r>
      <rPr>
        <sz val="11"/>
        <rFont val="Consolas"/>
        <family val="3"/>
      </rPr>
      <t>/</t>
    </r>
    <r>
      <rPr>
        <sz val="11"/>
        <rFont val="游ゴシック Medium"/>
        <family val="3"/>
        <charset val="128"/>
      </rPr>
      <t>微笑</t>
    </r>
    <rPh sb="0" eb="1">
      <t>ヨル</t>
    </rPh>
    <rPh sb="2" eb="3">
      <t>クツ</t>
    </rPh>
    <rPh sb="4" eb="6">
      <t>ビショウ</t>
    </rPh>
    <phoneticPr fontId="1"/>
  </si>
  <si>
    <r>
      <rPr>
        <sz val="11"/>
        <rFont val="游ゴシック Medium"/>
        <family val="3"/>
        <charset val="128"/>
      </rPr>
      <t>日輪</t>
    </r>
    <r>
      <rPr>
        <sz val="11"/>
        <rFont val="Consolas"/>
        <family val="3"/>
      </rPr>
      <t>/</t>
    </r>
    <r>
      <rPr>
        <sz val="11"/>
        <rFont val="游ゴシック Medium"/>
        <family val="3"/>
        <charset val="128"/>
      </rPr>
      <t>春は馬車に乗って</t>
    </r>
    <rPh sb="0" eb="2">
      <t>ニチリン</t>
    </rPh>
    <rPh sb="3" eb="4">
      <t>ハル</t>
    </rPh>
    <rPh sb="5" eb="7">
      <t>バシャ</t>
    </rPh>
    <rPh sb="8" eb="9">
      <t>ノ</t>
    </rPh>
    <phoneticPr fontId="1"/>
  </si>
  <si>
    <r>
      <rPr>
        <sz val="11"/>
        <rFont val="游ゴシック Medium"/>
        <family val="3"/>
        <charset val="128"/>
      </rPr>
      <t>家族会議</t>
    </r>
    <rPh sb="0" eb="4">
      <t>カゾクカイギ</t>
    </rPh>
    <phoneticPr fontId="1"/>
  </si>
  <si>
    <r>
      <rPr>
        <sz val="11"/>
        <rFont val="游ゴシック Medium"/>
        <family val="3"/>
        <charset val="128"/>
      </rPr>
      <t>旅愁</t>
    </r>
    <rPh sb="0" eb="2">
      <t>リョシュウ</t>
    </rPh>
    <phoneticPr fontId="1"/>
  </si>
  <si>
    <r>
      <rPr>
        <sz val="11"/>
        <rFont val="游ゴシック Medium"/>
        <family val="3"/>
        <charset val="128"/>
      </rPr>
      <t>まちあわせ</t>
    </r>
    <phoneticPr fontId="1"/>
  </si>
  <si>
    <r>
      <t>2012/10</t>
    </r>
    <r>
      <rPr>
        <sz val="11"/>
        <rFont val="游ゴシック Medium"/>
        <family val="3"/>
        <charset val="128"/>
      </rPr>
      <t>「自殺の国」として刊行</t>
    </r>
    <r>
      <rPr>
        <sz val="11"/>
        <rFont val="Consolas"/>
        <family val="3"/>
      </rPr>
      <t>|2016/11/10</t>
    </r>
    <rPh sb="8" eb="10">
      <t>ジサツ</t>
    </rPh>
    <rPh sb="11" eb="12">
      <t>クニ</t>
    </rPh>
    <rPh sb="16" eb="18">
      <t>カンコウ</t>
    </rPh>
    <phoneticPr fontId="1"/>
  </si>
  <si>
    <r>
      <rPr>
        <strike/>
        <sz val="11"/>
        <rFont val="游ゴシック Medium"/>
        <family val="3"/>
        <charset val="128"/>
      </rPr>
      <t>童話</t>
    </r>
    <r>
      <rPr>
        <strike/>
        <sz val="11"/>
        <rFont val="Consolas"/>
        <family val="3"/>
      </rPr>
      <t>/ancient/ethnic</t>
    </r>
    <rPh sb="0" eb="2">
      <t>ドウワ</t>
    </rPh>
    <phoneticPr fontId="1"/>
  </si>
  <si>
    <r>
      <rPr>
        <strike/>
        <sz val="11"/>
        <rFont val="游ゴシック Medium"/>
        <family val="3"/>
        <charset val="128"/>
      </rPr>
      <t>古沢岩美</t>
    </r>
    <r>
      <rPr>
        <strike/>
        <sz val="11"/>
        <rFont val="Consolas"/>
        <family val="3"/>
      </rPr>
      <t>/</t>
    </r>
    <r>
      <rPr>
        <strike/>
        <sz val="11"/>
        <rFont val="游ゴシック Medium"/>
        <family val="3"/>
        <charset val="128"/>
      </rPr>
      <t>大場正史</t>
    </r>
    <rPh sb="0" eb="2">
      <t>フルサワ</t>
    </rPh>
    <rPh sb="2" eb="4">
      <t>イワミ</t>
    </rPh>
    <rPh sb="5" eb="7">
      <t>オオバ</t>
    </rPh>
    <rPh sb="7" eb="9">
      <t>マサフミ</t>
    </rPh>
    <phoneticPr fontId="1"/>
  </si>
  <si>
    <r>
      <rPr>
        <strike/>
        <sz val="11"/>
        <rFont val="游ゴシック Medium"/>
        <family val="3"/>
        <charset val="128"/>
      </rPr>
      <t>画</t>
    </r>
    <r>
      <rPr>
        <strike/>
        <sz val="11"/>
        <rFont val="Consolas"/>
        <family val="3"/>
      </rPr>
      <t>/</t>
    </r>
    <r>
      <rPr>
        <strike/>
        <sz val="11"/>
        <rFont val="游ゴシック Medium"/>
        <family val="3"/>
        <charset val="128"/>
      </rPr>
      <t>訳</t>
    </r>
    <rPh sb="0" eb="1">
      <t>ガ</t>
    </rPh>
    <rPh sb="2" eb="3">
      <t>ヤク</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</si>
  <si>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1</t>
    </r>
    <r>
      <rPr>
        <strike/>
        <sz val="11"/>
        <rFont val="游ゴシック Medium"/>
        <family val="3"/>
        <charset val="128"/>
      </rPr>
      <t>巻</t>
    </r>
    <rPh sb="4" eb="5">
      <t>バン</t>
    </rPh>
    <rPh sb="6" eb="8">
      <t>センヤ</t>
    </rPh>
    <rPh sb="8" eb="10">
      <t>イチヤ</t>
    </rPh>
    <rPh sb="10" eb="12">
      <t>モノガタリ</t>
    </rPh>
    <rPh sb="13" eb="14">
      <t>ダイ</t>
    </rPh>
    <rPh sb="15" eb="16">
      <t>カン</t>
    </rPh>
    <phoneticPr fontId="1"/>
  </si>
  <si>
    <r>
      <t>1967</t>
    </r>
    <r>
      <rPr>
        <strike/>
        <sz val="11"/>
        <rFont val="游ゴシック Medium"/>
        <family val="3"/>
        <charset val="128"/>
      </rPr>
      <t>河出書房</t>
    </r>
    <rPh sb="4" eb="6">
      <t>カワデ</t>
    </rPh>
    <rPh sb="6" eb="8">
      <t>ショボウ</t>
    </rPh>
    <phoneticPr fontId="1"/>
  </si>
  <si>
    <r>
      <rPr>
        <strike/>
        <sz val="11"/>
        <rFont val="游ゴシック Medium"/>
        <family val="3"/>
        <charset val="128"/>
      </rPr>
      <t>ちくま文庫</t>
    </r>
    <r>
      <rPr>
        <strike/>
        <sz val="11"/>
        <rFont val="Consolas"/>
        <family val="3"/>
      </rPr>
      <t>/</t>
    </r>
    <r>
      <rPr>
        <strike/>
        <sz val="11"/>
        <rFont val="游ゴシック Medium"/>
        <family val="3"/>
        <charset val="128"/>
      </rPr>
      <t>筑摩書房</t>
    </r>
    <rPh sb="3" eb="5">
      <t>ブンコ</t>
    </rPh>
    <rPh sb="6" eb="8">
      <t>チクマ</t>
    </rPh>
    <rPh sb="8" eb="10">
      <t>ショボウ</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</si>
  <si>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2</t>
    </r>
    <r>
      <rPr>
        <strike/>
        <sz val="11"/>
        <rFont val="游ゴシック Medium"/>
        <family val="3"/>
        <charset val="128"/>
      </rPr>
      <t>巻</t>
    </r>
    <rPh sb="4" eb="5">
      <t>バン</t>
    </rPh>
    <rPh sb="6" eb="8">
      <t>センヤ</t>
    </rPh>
    <rPh sb="8" eb="10">
      <t>イチヤ</t>
    </rPh>
    <rPh sb="10" eb="12">
      <t>モノガタリ</t>
    </rPh>
    <rPh sb="13" eb="14">
      <t>ダイ</t>
    </rPh>
    <rPh sb="15" eb="16">
      <t>カン</t>
    </rPh>
    <phoneticPr fontId="1"/>
  </si>
  <si>
    <r>
      <rPr>
        <strike/>
        <sz val="11"/>
        <rFont val="游ゴシック Medium"/>
        <family val="3"/>
        <charset val="128"/>
      </rPr>
      <t>往来座へ</t>
    </r>
    <rPh sb="0" eb="2">
      <t>オウライ</t>
    </rPh>
    <rPh sb="2" eb="3">
      <t>ザ</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</si>
  <si>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3</t>
    </r>
    <r>
      <rPr>
        <strike/>
        <sz val="11"/>
        <rFont val="游ゴシック Medium"/>
        <family val="3"/>
        <charset val="128"/>
      </rPr>
      <t>巻</t>
    </r>
    <rPh sb="4" eb="5">
      <t>バン</t>
    </rPh>
    <rPh sb="6" eb="8">
      <t>センヤ</t>
    </rPh>
    <rPh sb="8" eb="10">
      <t>イチヤ</t>
    </rPh>
    <rPh sb="10" eb="12">
      <t>モノガタリ</t>
    </rPh>
    <rPh sb="13" eb="14">
      <t>ダイ</t>
    </rPh>
    <rPh sb="15" eb="16">
      <t>カン</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</si>
  <si>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4</t>
    </r>
    <r>
      <rPr>
        <strike/>
        <sz val="11"/>
        <rFont val="游ゴシック Medium"/>
        <family val="3"/>
        <charset val="128"/>
      </rPr>
      <t>巻</t>
    </r>
    <rPh sb="4" eb="5">
      <t>バン</t>
    </rPh>
    <rPh sb="6" eb="8">
      <t>センヤ</t>
    </rPh>
    <rPh sb="8" eb="10">
      <t>イチヤ</t>
    </rPh>
    <rPh sb="10" eb="12">
      <t>モノガタリ</t>
    </rPh>
    <rPh sb="13" eb="14">
      <t>ダイ</t>
    </rPh>
    <rPh sb="15" eb="16">
      <t>カン</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</si>
  <si>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5</t>
    </r>
    <r>
      <rPr>
        <strike/>
        <sz val="11"/>
        <rFont val="游ゴシック Medium"/>
        <family val="3"/>
        <charset val="128"/>
      </rPr>
      <t>巻</t>
    </r>
    <rPh sb="4" eb="5">
      <t>バン</t>
    </rPh>
    <rPh sb="6" eb="8">
      <t>センヤ</t>
    </rPh>
    <rPh sb="8" eb="10">
      <t>イチヤ</t>
    </rPh>
    <rPh sb="10" eb="12">
      <t>モノガタリ</t>
    </rPh>
    <rPh sb="13" eb="14">
      <t>ダイ</t>
    </rPh>
    <rPh sb="15" eb="16">
      <t>カン</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</si>
  <si>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6</t>
    </r>
    <r>
      <rPr>
        <strike/>
        <sz val="11"/>
        <rFont val="游ゴシック Medium"/>
        <family val="3"/>
        <charset val="128"/>
      </rPr>
      <t>巻</t>
    </r>
    <rPh sb="4" eb="5">
      <t>バン</t>
    </rPh>
    <rPh sb="6" eb="8">
      <t>センヤ</t>
    </rPh>
    <rPh sb="8" eb="10">
      <t>イチヤ</t>
    </rPh>
    <rPh sb="10" eb="12">
      <t>モノガタリ</t>
    </rPh>
    <rPh sb="13" eb="14">
      <t>ダイ</t>
    </rPh>
    <rPh sb="15" eb="16">
      <t>カン</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</si>
  <si>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7</t>
    </r>
    <r>
      <rPr>
        <strike/>
        <sz val="11"/>
        <rFont val="游ゴシック Medium"/>
        <family val="3"/>
        <charset val="128"/>
      </rPr>
      <t>巻</t>
    </r>
    <rPh sb="4" eb="5">
      <t>バン</t>
    </rPh>
    <rPh sb="6" eb="8">
      <t>センヤ</t>
    </rPh>
    <rPh sb="8" eb="10">
      <t>イチヤ</t>
    </rPh>
    <rPh sb="10" eb="12">
      <t>モノガタリ</t>
    </rPh>
    <rPh sb="13" eb="14">
      <t>ダイ</t>
    </rPh>
    <rPh sb="15" eb="16">
      <t>カン</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</si>
  <si>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8</t>
    </r>
    <r>
      <rPr>
        <strike/>
        <sz val="11"/>
        <rFont val="游ゴシック Medium"/>
        <family val="3"/>
        <charset val="128"/>
      </rPr>
      <t>巻</t>
    </r>
    <rPh sb="4" eb="5">
      <t>バン</t>
    </rPh>
    <rPh sb="6" eb="8">
      <t>センヤ</t>
    </rPh>
    <rPh sb="8" eb="10">
      <t>イチヤ</t>
    </rPh>
    <rPh sb="10" eb="12">
      <t>モノガタリ</t>
    </rPh>
    <rPh sb="13" eb="14">
      <t>ダイ</t>
    </rPh>
    <rPh sb="15" eb="16">
      <t>カン</t>
    </rPh>
    <phoneticPr fontId="1"/>
  </si>
  <si>
    <r>
      <rPr>
        <strike/>
        <sz val="11"/>
        <rFont val="游ゴシック Medium"/>
        <family val="3"/>
        <charset val="128"/>
      </rPr>
      <t>往来座へ</t>
    </r>
    <r>
      <rPr>
        <strike/>
        <sz val="11"/>
        <rFont val="Consolas"/>
        <family val="3"/>
      </rPr>
      <t>/</t>
    </r>
    <r>
      <rPr>
        <strike/>
        <sz val="11"/>
        <rFont val="游ゴシック Medium"/>
        <family val="3"/>
        <charset val="128"/>
      </rPr>
      <t>飯田祐子様より</t>
    </r>
    <rPh sb="5" eb="7">
      <t>イイダ</t>
    </rPh>
    <rPh sb="7" eb="9">
      <t>ユウコ</t>
    </rPh>
    <rPh sb="9" eb="10">
      <t>サマ</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</si>
  <si>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9</t>
    </r>
    <r>
      <rPr>
        <strike/>
        <sz val="11"/>
        <rFont val="游ゴシック Medium"/>
        <family val="3"/>
        <charset val="128"/>
      </rPr>
      <t>巻</t>
    </r>
    <rPh sb="4" eb="5">
      <t>バン</t>
    </rPh>
    <rPh sb="6" eb="8">
      <t>センヤ</t>
    </rPh>
    <rPh sb="8" eb="10">
      <t>イチヤ</t>
    </rPh>
    <rPh sb="10" eb="12">
      <t>モノガタリ</t>
    </rPh>
    <rPh sb="13" eb="14">
      <t>ダイ</t>
    </rPh>
    <rPh sb="15" eb="16">
      <t>カン</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</si>
  <si>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10</t>
    </r>
    <r>
      <rPr>
        <strike/>
        <sz val="11"/>
        <rFont val="游ゴシック Medium"/>
        <family val="3"/>
        <charset val="128"/>
      </rPr>
      <t>巻</t>
    </r>
    <rPh sb="4" eb="5">
      <t>バン</t>
    </rPh>
    <rPh sb="6" eb="8">
      <t>センヤ</t>
    </rPh>
    <rPh sb="8" eb="10">
      <t>イチヤ</t>
    </rPh>
    <rPh sb="10" eb="12">
      <t>モノガタリ</t>
    </rPh>
    <rPh sb="13" eb="14">
      <t>ダイ</t>
    </rPh>
    <rPh sb="16" eb="17">
      <t>カン</t>
    </rPh>
    <phoneticPr fontId="1"/>
  </si>
  <si>
    <r>
      <rPr>
        <strike/>
        <sz val="11"/>
        <rFont val="游ゴシック Medium"/>
        <family val="3"/>
        <charset val="128"/>
      </rPr>
      <t>バートン版</t>
    </r>
    <r>
      <rPr>
        <strike/>
        <sz val="11"/>
        <rFont val="Consolas"/>
        <family val="3"/>
      </rPr>
      <t xml:space="preserve"> </t>
    </r>
    <r>
      <rPr>
        <strike/>
        <sz val="11"/>
        <rFont val="游ゴシック Medium"/>
        <family val="3"/>
        <charset val="128"/>
      </rPr>
      <t>千夜一夜物語</t>
    </r>
    <r>
      <rPr>
        <strike/>
        <sz val="11"/>
        <rFont val="Consolas"/>
        <family val="3"/>
      </rPr>
      <t xml:space="preserve"> </t>
    </r>
    <r>
      <rPr>
        <strike/>
        <sz val="11"/>
        <rFont val="游ゴシック Medium"/>
        <family val="3"/>
        <charset val="128"/>
      </rPr>
      <t>第</t>
    </r>
    <r>
      <rPr>
        <strike/>
        <sz val="11"/>
        <rFont val="Consolas"/>
        <family val="3"/>
      </rPr>
      <t>11</t>
    </r>
    <r>
      <rPr>
        <strike/>
        <sz val="11"/>
        <rFont val="游ゴシック Medium"/>
        <family val="3"/>
        <charset val="128"/>
      </rPr>
      <t>巻</t>
    </r>
    <rPh sb="4" eb="5">
      <t>バン</t>
    </rPh>
    <rPh sb="6" eb="8">
      <t>センヤ</t>
    </rPh>
    <rPh sb="8" eb="10">
      <t>イチヤ</t>
    </rPh>
    <rPh sb="10" eb="12">
      <t>モノガタリ</t>
    </rPh>
    <rPh sb="13" eb="14">
      <t>ダイ</t>
    </rPh>
    <rPh sb="16" eb="17">
      <t>カン</t>
    </rPh>
    <phoneticPr fontId="1"/>
  </si>
  <si>
    <r>
      <rPr>
        <sz val="11"/>
        <rFont val="游ゴシック Medium"/>
        <family val="3"/>
        <charset val="128"/>
      </rPr>
      <t>文学</t>
    </r>
    <r>
      <rPr>
        <sz val="11"/>
        <rFont val="Consolas"/>
        <family val="3"/>
      </rPr>
      <t>/ancient/ethnic</t>
    </r>
    <rPh sb="0" eb="2">
      <t>ブンガク</t>
    </rPh>
    <phoneticPr fontId="1"/>
  </si>
  <si>
    <r>
      <t>Burton,Richard Francis/</t>
    </r>
    <r>
      <rPr>
        <sz val="11"/>
        <rFont val="游ゴシック Medium"/>
        <family val="3"/>
        <charset val="128"/>
      </rPr>
      <t>大場正史</t>
    </r>
    <rPh sb="0" eb="6">
      <t>バートン</t>
    </rPh>
    <rPh sb="7" eb="14">
      <t>リチャード</t>
    </rPh>
    <rPh sb="23" eb="25">
      <t>オオバ</t>
    </rPh>
    <rPh sb="25" eb="27">
      <t>マサフミ</t>
    </rPh>
    <phoneticPr fontId="1"/>
  </si>
  <si>
    <r>
      <rPr>
        <sz val="11"/>
        <rFont val="游ゴシック Medium"/>
        <family val="3"/>
        <charset val="128"/>
      </rPr>
      <t>バートン版</t>
    </r>
    <r>
      <rPr>
        <sz val="11"/>
        <rFont val="Consolas"/>
        <family val="3"/>
      </rPr>
      <t xml:space="preserve"> Kama Soutra</t>
    </r>
    <rPh sb="4" eb="5">
      <t>バン</t>
    </rPh>
    <rPh sb="6" eb="17">
      <t>カーマ・スートラ</t>
    </rPh>
    <phoneticPr fontId="1"/>
  </si>
  <si>
    <r>
      <rPr>
        <sz val="11"/>
        <rFont val="游ゴシック Medium"/>
        <family val="3"/>
        <charset val="128"/>
      </rPr>
      <t>川本三郎</t>
    </r>
    <r>
      <rPr>
        <sz val="11"/>
        <rFont val="Consolas"/>
        <family val="3"/>
      </rPr>
      <t>/</t>
    </r>
    <r>
      <rPr>
        <sz val="11"/>
        <rFont val="游ゴシック Medium"/>
        <family val="3"/>
        <charset val="128"/>
      </rPr>
      <t>柴田元幸</t>
    </r>
    <r>
      <rPr>
        <sz val="11"/>
        <rFont val="Consolas"/>
        <family val="3"/>
      </rPr>
      <t>/</t>
    </r>
    <r>
      <rPr>
        <sz val="11"/>
        <rFont val="游ゴシック Medium"/>
        <family val="3"/>
        <charset val="128"/>
      </rPr>
      <t>岸本佐知子</t>
    </r>
    <rPh sb="0" eb="2">
      <t>カワモト</t>
    </rPh>
    <rPh sb="2" eb="4">
      <t>サブロウ</t>
    </rPh>
    <rPh sb="5" eb="7">
      <t>シバタ</t>
    </rPh>
    <rPh sb="7" eb="9">
      <t>モトユキ</t>
    </rPh>
    <rPh sb="10" eb="12">
      <t>キシモト</t>
    </rPh>
    <rPh sb="12" eb="15">
      <t>サチコ</t>
    </rPh>
    <phoneticPr fontId="1"/>
  </si>
  <si>
    <r>
      <rPr>
        <sz val="11"/>
        <rFont val="游ゴシック Medium"/>
        <family val="3"/>
        <charset val="128"/>
      </rPr>
      <t>筒井正明</t>
    </r>
    <rPh sb="0" eb="2">
      <t>ツツイ</t>
    </rPh>
    <rPh sb="2" eb="4">
      <t>マサアキ</t>
    </rPh>
    <phoneticPr fontId="1"/>
  </si>
  <si>
    <r>
      <t>Garp</t>
    </r>
    <r>
      <rPr>
        <sz val="11"/>
        <rFont val="游ゴシック Medium"/>
        <family val="3"/>
        <charset val="128"/>
      </rPr>
      <t>の世界</t>
    </r>
    <r>
      <rPr>
        <sz val="11"/>
        <rFont val="Consolas"/>
        <family val="3"/>
      </rPr>
      <t>/The World According to Garp</t>
    </r>
    <rPh sb="0" eb="4">
      <t>ガープ</t>
    </rPh>
    <rPh sb="5" eb="7">
      <t>セカイ</t>
    </rPh>
    <rPh sb="31" eb="35">
      <t>ガープ</t>
    </rPh>
    <phoneticPr fontId="1"/>
  </si>
  <si>
    <r>
      <rPr>
        <sz val="11"/>
        <rFont val="游ゴシック Medium"/>
        <family val="3"/>
        <charset val="128"/>
      </rPr>
      <t>中野圭二</t>
    </r>
    <rPh sb="0" eb="2">
      <t>ナカノ</t>
    </rPh>
    <rPh sb="2" eb="4">
      <t>ケイジ</t>
    </rPh>
    <phoneticPr fontId="1"/>
  </si>
  <si>
    <r>
      <rPr>
        <sz val="11"/>
        <rFont val="游ゴシック Medium"/>
        <family val="3"/>
        <charset val="128"/>
      </rPr>
      <t>斎藤数衛</t>
    </r>
    <rPh sb="0" eb="2">
      <t>サイトウ</t>
    </rPh>
    <rPh sb="2" eb="4">
      <t>カズエ</t>
    </rPh>
    <phoneticPr fontId="1"/>
  </si>
  <si>
    <r>
      <t>158</t>
    </r>
    <r>
      <rPr>
        <sz val="11"/>
        <rFont val="游ゴシック Medium"/>
        <family val="3"/>
        <charset val="128"/>
      </rPr>
      <t>ポンドの結婚</t>
    </r>
    <r>
      <rPr>
        <sz val="11"/>
        <rFont val="Consolas"/>
        <family val="3"/>
      </rPr>
      <t>/The 158-pound marriage</t>
    </r>
    <rPh sb="7" eb="9">
      <t>ケッコン</t>
    </rPh>
    <phoneticPr fontId="1"/>
  </si>
  <si>
    <r>
      <rPr>
        <sz val="11"/>
        <rFont val="游ゴシック Medium"/>
        <family val="3"/>
        <charset val="128"/>
      </rPr>
      <t>真野明裕</t>
    </r>
    <rPh sb="0" eb="4">
      <t>マノアキヒロ</t>
    </rPh>
    <phoneticPr fontId="1"/>
  </si>
  <si>
    <r>
      <rPr>
        <sz val="11"/>
        <rFont val="游ゴシック Medium"/>
        <family val="3"/>
        <charset val="128"/>
      </rPr>
      <t>文春文庫</t>
    </r>
    <r>
      <rPr>
        <sz val="11"/>
        <rFont val="Consolas"/>
        <family val="3"/>
      </rPr>
      <t>/</t>
    </r>
    <r>
      <rPr>
        <sz val="11"/>
        <rFont val="游ゴシック Medium"/>
        <family val="3"/>
        <charset val="128"/>
      </rPr>
      <t>文藝春秋</t>
    </r>
    <rPh sb="0" eb="4">
      <t>ブンシュンブンコ</t>
    </rPh>
    <rPh sb="5" eb="9">
      <t>ブンゲイシュンジュウ</t>
    </rPh>
    <phoneticPr fontId="1"/>
  </si>
  <si>
    <r>
      <rPr>
        <sz val="11"/>
        <rFont val="游ゴシック Medium"/>
        <family val="3"/>
        <charset val="128"/>
      </rPr>
      <t>アールバース</t>
    </r>
    <r>
      <rPr>
        <sz val="11"/>
        <rFont val="Consolas"/>
        <family val="3"/>
      </rPr>
      <t>,</t>
    </r>
    <r>
      <rPr>
        <sz val="11"/>
        <rFont val="游ゴシック Medium"/>
        <family val="3"/>
        <charset val="128"/>
      </rPr>
      <t>ハン・</t>
    </r>
    <r>
      <rPr>
        <sz val="11"/>
        <rFont val="Consolas"/>
        <family val="3"/>
      </rPr>
      <t>B</t>
    </r>
    <phoneticPr fontId="1"/>
  </si>
  <si>
    <r>
      <rPr>
        <sz val="11"/>
        <rFont val="游ゴシック Medium"/>
        <family val="3"/>
        <charset val="128"/>
      </rPr>
      <t>岡本浜江</t>
    </r>
    <rPh sb="0" eb="2">
      <t>オカモト</t>
    </rPh>
    <rPh sb="2" eb="3">
      <t>ハマ</t>
    </rPh>
    <rPh sb="3" eb="4">
      <t>エ</t>
    </rPh>
    <phoneticPr fontId="1"/>
  </si>
  <si>
    <r>
      <rPr>
        <sz val="11"/>
        <rFont val="游ゴシック Medium"/>
        <family val="3"/>
        <charset val="128"/>
      </rPr>
      <t>小さな恋の物語</t>
    </r>
    <rPh sb="0" eb="1">
      <t>チイ</t>
    </rPh>
    <rPh sb="3" eb="4">
      <t>コイ</t>
    </rPh>
    <rPh sb="5" eb="7">
      <t>モノガタリ</t>
    </rPh>
    <phoneticPr fontId="1"/>
  </si>
  <si>
    <r>
      <rPr>
        <sz val="11"/>
        <rFont val="游ゴシック Medium"/>
        <family val="3"/>
        <charset val="128"/>
      </rPr>
      <t>中村</t>
    </r>
    <r>
      <rPr>
        <sz val="11"/>
        <rFont val="Consolas"/>
        <family val="3"/>
      </rPr>
      <t xml:space="preserve"> </t>
    </r>
    <r>
      <rPr>
        <sz val="11"/>
        <rFont val="游ゴシック Medium"/>
        <family val="3"/>
        <charset val="128"/>
      </rPr>
      <t>能三</t>
    </r>
    <rPh sb="0" eb="2">
      <t>ナカムラ</t>
    </rPh>
    <rPh sb="3" eb="5">
      <t>ヨシミ</t>
    </rPh>
    <phoneticPr fontId="1"/>
  </si>
  <si>
    <r>
      <rPr>
        <sz val="11"/>
        <rFont val="游ゴシック Medium"/>
        <family val="3"/>
        <charset val="128"/>
      </rPr>
      <t>死者との結婚</t>
    </r>
    <r>
      <rPr>
        <sz val="11"/>
        <rFont val="Consolas"/>
        <family val="3"/>
      </rPr>
      <t>/I Married a Dead Man</t>
    </r>
    <rPh sb="0" eb="2">
      <t>シシャ</t>
    </rPh>
    <rPh sb="4" eb="6">
      <t>ケッコン</t>
    </rPh>
    <phoneticPr fontId="1"/>
  </si>
  <si>
    <r>
      <rPr>
        <sz val="11"/>
        <rFont val="游ゴシック Medium"/>
        <family val="3"/>
        <charset val="128"/>
      </rPr>
      <t>ハヤカワ･ミステリ文庫</t>
    </r>
    <r>
      <rPr>
        <sz val="11"/>
        <rFont val="Consolas"/>
        <family val="3"/>
      </rPr>
      <t>/</t>
    </r>
    <r>
      <rPr>
        <sz val="11"/>
        <rFont val="游ゴシック Medium"/>
        <family val="3"/>
        <charset val="128"/>
      </rPr>
      <t>早川書房</t>
    </r>
    <rPh sb="9" eb="11">
      <t>ブンコ</t>
    </rPh>
    <rPh sb="12" eb="16">
      <t>ハヤカワショボウ</t>
    </rPh>
    <phoneticPr fontId="1"/>
  </si>
  <si>
    <r>
      <rPr>
        <sz val="11"/>
        <rFont val="游ゴシック Medium"/>
        <family val="3"/>
        <charset val="128"/>
      </rPr>
      <t>風見</t>
    </r>
    <r>
      <rPr>
        <sz val="11"/>
        <rFont val="Consolas"/>
        <family val="3"/>
      </rPr>
      <t xml:space="preserve"> </t>
    </r>
    <r>
      <rPr>
        <sz val="11"/>
        <rFont val="游ゴシック Medium"/>
        <family val="3"/>
        <charset val="128"/>
      </rPr>
      <t>潤</t>
    </r>
    <rPh sb="0" eb="2">
      <t>カザミ</t>
    </rPh>
    <rPh sb="3" eb="4">
      <t>ジュン</t>
    </rPh>
    <phoneticPr fontId="1"/>
  </si>
  <si>
    <r>
      <rPr>
        <sz val="11"/>
        <rFont val="游ゴシック Medium"/>
        <family val="3"/>
        <charset val="128"/>
      </rPr>
      <t>宇宙の果ての</t>
    </r>
    <r>
      <rPr>
        <sz val="11"/>
        <rFont val="Consolas"/>
        <family val="3"/>
      </rPr>
      <t>Restaurant</t>
    </r>
    <rPh sb="0" eb="2">
      <t>ウチュウ</t>
    </rPh>
    <rPh sb="3" eb="4">
      <t>ハ</t>
    </rPh>
    <rPh sb="6" eb="16">
      <t>レストラン</t>
    </rPh>
    <phoneticPr fontId="1"/>
  </si>
  <si>
    <r>
      <rPr>
        <sz val="11"/>
        <rFont val="游ゴシック Medium"/>
        <family val="3"/>
        <charset val="128"/>
      </rPr>
      <t>成川裕子</t>
    </r>
    <rPh sb="0" eb="2">
      <t>ナリカワ</t>
    </rPh>
    <rPh sb="2" eb="4">
      <t>ヒロコ</t>
    </rPh>
    <phoneticPr fontId="1"/>
  </si>
  <si>
    <r>
      <rPr>
        <sz val="11"/>
        <rFont val="游ゴシック Medium"/>
        <family val="3"/>
        <charset val="128"/>
      </rPr>
      <t>女彫刻家</t>
    </r>
    <r>
      <rPr>
        <sz val="11"/>
        <rFont val="Consolas"/>
        <family val="3"/>
      </rPr>
      <t>/The Sculptress</t>
    </r>
    <rPh sb="0" eb="1">
      <t>オンナ</t>
    </rPh>
    <rPh sb="1" eb="4">
      <t>チョウコクカ</t>
    </rPh>
    <phoneticPr fontId="1"/>
  </si>
  <si>
    <r>
      <rPr>
        <sz val="11"/>
        <rFont val="游ゴシック Medium"/>
        <family val="3"/>
        <charset val="128"/>
      </rPr>
      <t>旭屋書店</t>
    </r>
    <r>
      <rPr>
        <sz val="11"/>
        <rFont val="Consolas"/>
        <family val="3"/>
      </rPr>
      <t>/</t>
    </r>
    <r>
      <rPr>
        <sz val="11"/>
        <rFont val="游ゴシック Medium"/>
        <family val="3"/>
        <charset val="128"/>
      </rPr>
      <t>東武池袋</t>
    </r>
    <rPh sb="0" eb="1">
      <t>アサヒ</t>
    </rPh>
    <rPh sb="1" eb="2">
      <t>ヤ</t>
    </rPh>
    <rPh sb="2" eb="4">
      <t>ショテン</t>
    </rPh>
    <rPh sb="5" eb="7">
      <t>トウブ</t>
    </rPh>
    <rPh sb="7" eb="9">
      <t>イケブクロ</t>
    </rPh>
    <phoneticPr fontId="1"/>
  </si>
  <si>
    <r>
      <t>NWA</t>
    </r>
    <r>
      <rPr>
        <sz val="11"/>
        <rFont val="游ゴシック Medium"/>
        <family val="3"/>
        <charset val="128"/>
      </rPr>
      <t>最優秀長編賞</t>
    </r>
    <rPh sb="3" eb="6">
      <t>サイユウシュウ</t>
    </rPh>
    <rPh sb="6" eb="8">
      <t>チョウヘン</t>
    </rPh>
    <rPh sb="8" eb="9">
      <t>ショウ</t>
    </rPh>
    <phoneticPr fontId="1"/>
  </si>
  <si>
    <r>
      <rPr>
        <sz val="11"/>
        <rFont val="游ゴシック Medium"/>
        <family val="3"/>
        <charset val="128"/>
      </rPr>
      <t>日夏</t>
    </r>
    <r>
      <rPr>
        <sz val="11"/>
        <rFont val="Consolas"/>
        <family val="3"/>
      </rPr>
      <t xml:space="preserve"> </t>
    </r>
    <r>
      <rPr>
        <sz val="11"/>
        <rFont val="游ゴシック Medium"/>
        <family val="3"/>
        <charset val="128"/>
      </rPr>
      <t>響</t>
    </r>
    <rPh sb="0" eb="2">
      <t>ヒナツ</t>
    </rPh>
    <rPh sb="3" eb="4">
      <t>ヒビキ</t>
    </rPh>
    <phoneticPr fontId="1"/>
  </si>
  <si>
    <r>
      <rPr>
        <sz val="11"/>
        <rFont val="游ゴシック Medium"/>
        <family val="3"/>
        <charset val="128"/>
      </rPr>
      <t>戦慄の絆</t>
    </r>
    <r>
      <rPr>
        <sz val="11"/>
        <rFont val="Consolas"/>
        <family val="3"/>
      </rPr>
      <t>/Twins</t>
    </r>
    <rPh sb="0" eb="2">
      <t>センリツ</t>
    </rPh>
    <rPh sb="3" eb="4">
      <t>キズナ</t>
    </rPh>
    <phoneticPr fontId="1"/>
  </si>
  <si>
    <r>
      <rPr>
        <sz val="11"/>
        <rFont val="游ゴシック Medium"/>
        <family val="3"/>
        <charset val="128"/>
      </rPr>
      <t>モダンホラー</t>
    </r>
    <r>
      <rPr>
        <sz val="11"/>
        <rFont val="Consolas"/>
        <family val="3"/>
      </rPr>
      <t xml:space="preserve"> Sellection</t>
    </r>
    <rPh sb="7" eb="17">
      <t>セレクション</t>
    </rPh>
    <phoneticPr fontId="1"/>
  </si>
  <si>
    <r>
      <rPr>
        <sz val="11"/>
        <rFont val="游ゴシック Medium"/>
        <family val="3"/>
        <charset val="128"/>
      </rPr>
      <t>ハヤカワ文庫</t>
    </r>
    <r>
      <rPr>
        <sz val="11"/>
        <rFont val="Consolas"/>
        <family val="3"/>
      </rPr>
      <t>/</t>
    </r>
    <r>
      <rPr>
        <sz val="11"/>
        <rFont val="游ゴシック Medium"/>
        <family val="3"/>
        <charset val="128"/>
      </rPr>
      <t>早川書房</t>
    </r>
    <rPh sb="4" eb="6">
      <t>ブンコ</t>
    </rPh>
    <rPh sb="7" eb="11">
      <t>ハヤカワショボウ</t>
    </rPh>
    <phoneticPr fontId="1"/>
  </si>
  <si>
    <r>
      <rPr>
        <sz val="11"/>
        <rFont val="游ゴシック Medium"/>
        <family val="3"/>
        <charset val="128"/>
      </rPr>
      <t>エイメ</t>
    </r>
    <r>
      <rPr>
        <sz val="11"/>
        <rFont val="Consolas"/>
        <family val="3"/>
      </rPr>
      <t>,Marcel</t>
    </r>
    <rPh sb="4" eb="10">
      <t>マルセル</t>
    </rPh>
    <phoneticPr fontId="1"/>
  </si>
  <si>
    <r>
      <rPr>
        <sz val="11"/>
        <rFont val="游ゴシック Medium"/>
        <family val="3"/>
        <charset val="128"/>
      </rPr>
      <t>第二の顔</t>
    </r>
    <rPh sb="0" eb="2">
      <t>ダイニ</t>
    </rPh>
    <rPh sb="3" eb="4">
      <t>カオ</t>
    </rPh>
    <phoneticPr fontId="1"/>
  </si>
  <si>
    <r>
      <rPr>
        <sz val="11"/>
        <rFont val="游ゴシック Medium"/>
        <family val="3"/>
        <charset val="128"/>
      </rPr>
      <t>風間賢二</t>
    </r>
    <rPh sb="0" eb="2">
      <t>カザマ</t>
    </rPh>
    <rPh sb="2" eb="4">
      <t>ケンジ</t>
    </rPh>
    <phoneticPr fontId="1"/>
  </si>
  <si>
    <r>
      <rPr>
        <sz val="11"/>
        <rFont val="游ゴシック Medium"/>
        <family val="3"/>
        <charset val="128"/>
      </rPr>
      <t>高橋義孝</t>
    </r>
    <rPh sb="0" eb="2">
      <t>タカハシ</t>
    </rPh>
    <rPh sb="2" eb="4">
      <t>ヨシタカ</t>
    </rPh>
    <phoneticPr fontId="1"/>
  </si>
  <si>
    <r>
      <rPr>
        <sz val="11"/>
        <rFont val="游ゴシック Medium"/>
        <family val="3"/>
        <charset val="128"/>
      </rPr>
      <t>変身</t>
    </r>
    <r>
      <rPr>
        <sz val="11"/>
        <rFont val="Consolas"/>
        <family val="3"/>
      </rPr>
      <t>/Die Verwandlung</t>
    </r>
    <rPh sb="0" eb="2">
      <t>ヘンシン</t>
    </rPh>
    <phoneticPr fontId="1"/>
  </si>
  <si>
    <r>
      <rPr>
        <sz val="11"/>
        <rFont val="游ゴシック Medium"/>
        <family val="3"/>
        <charset val="128"/>
      </rPr>
      <t>原田義人</t>
    </r>
    <rPh sb="0" eb="2">
      <t>ハラダ</t>
    </rPh>
    <rPh sb="2" eb="4">
      <t>ヨシヒト</t>
    </rPh>
    <phoneticPr fontId="1"/>
  </si>
  <si>
    <r>
      <rPr>
        <sz val="11"/>
        <rFont val="游ゴシック Medium"/>
        <family val="3"/>
        <charset val="128"/>
      </rPr>
      <t>審判</t>
    </r>
    <r>
      <rPr>
        <sz val="11"/>
        <rFont val="Consolas"/>
        <family val="3"/>
      </rPr>
      <t>/Der Prozess</t>
    </r>
    <rPh sb="0" eb="2">
      <t>シンパン</t>
    </rPh>
    <phoneticPr fontId="1"/>
  </si>
  <si>
    <r>
      <rPr>
        <sz val="11"/>
        <rFont val="游ゴシック Medium"/>
        <family val="3"/>
        <charset val="128"/>
      </rPr>
      <t>前田敬作</t>
    </r>
    <rPh sb="0" eb="2">
      <t>マエダ</t>
    </rPh>
    <rPh sb="2" eb="4">
      <t>ケイサク</t>
    </rPh>
    <phoneticPr fontId="1"/>
  </si>
  <si>
    <r>
      <rPr>
        <sz val="11"/>
        <rFont val="游ゴシック Medium"/>
        <family val="3"/>
        <charset val="128"/>
      </rPr>
      <t>城</t>
    </r>
    <r>
      <rPr>
        <sz val="11"/>
        <rFont val="Consolas"/>
        <family val="3"/>
      </rPr>
      <t>/Das Schloss</t>
    </r>
    <rPh sb="0" eb="1">
      <t>シロ</t>
    </rPh>
    <phoneticPr fontId="1"/>
  </si>
  <si>
    <r>
      <rPr>
        <sz val="11"/>
        <rFont val="游ゴシック Medium"/>
        <family val="3"/>
        <charset val="128"/>
      </rPr>
      <t>窪田啓作</t>
    </r>
    <rPh sb="0" eb="2">
      <t>クボタ</t>
    </rPh>
    <rPh sb="2" eb="4">
      <t>ケイサク</t>
    </rPh>
    <phoneticPr fontId="1"/>
  </si>
  <si>
    <r>
      <rPr>
        <sz val="11"/>
        <rFont val="游ゴシック Medium"/>
        <family val="3"/>
        <charset val="128"/>
      </rPr>
      <t>異邦人</t>
    </r>
    <r>
      <rPr>
        <sz val="11"/>
        <rFont val="Consolas"/>
        <family val="3"/>
      </rPr>
      <t>/L'Etranger</t>
    </r>
    <rPh sb="0" eb="3">
      <t>イホウジン</t>
    </rPh>
    <phoneticPr fontId="1"/>
  </si>
  <si>
    <r>
      <rPr>
        <sz val="11"/>
        <rFont val="游ゴシック Medium"/>
        <family val="3"/>
        <charset val="128"/>
      </rPr>
      <t>清水</t>
    </r>
    <r>
      <rPr>
        <sz val="11"/>
        <rFont val="Consolas"/>
        <family val="3"/>
      </rPr>
      <t xml:space="preserve"> </t>
    </r>
    <r>
      <rPr>
        <sz val="11"/>
        <rFont val="游ゴシック Medium"/>
        <family val="3"/>
        <charset val="128"/>
      </rPr>
      <t>徹</t>
    </r>
    <rPh sb="0" eb="2">
      <t>シミズ</t>
    </rPh>
    <rPh sb="3" eb="4">
      <t>トオル</t>
    </rPh>
    <phoneticPr fontId="1"/>
  </si>
  <si>
    <r>
      <rPr>
        <sz val="11"/>
        <rFont val="游ゴシック Medium"/>
        <family val="3"/>
        <charset val="128"/>
      </rPr>
      <t>シーシュポスの神話</t>
    </r>
    <r>
      <rPr>
        <sz val="11"/>
        <rFont val="Consolas"/>
        <family val="3"/>
      </rPr>
      <t>/Le Mythe Sisyphe</t>
    </r>
    <rPh sb="7" eb="9">
      <t>シンワ</t>
    </rPh>
    <phoneticPr fontId="1"/>
  </si>
  <si>
    <r>
      <rPr>
        <sz val="11"/>
        <rFont val="游ゴシック Medium"/>
        <family val="3"/>
        <charset val="128"/>
      </rPr>
      <t>高畠正明</t>
    </r>
    <rPh sb="0" eb="2">
      <t>タカバタケ</t>
    </rPh>
    <rPh sb="2" eb="4">
      <t>マサアキ</t>
    </rPh>
    <phoneticPr fontId="1"/>
  </si>
  <si>
    <r>
      <rPr>
        <sz val="11"/>
        <rFont val="游ゴシック Medium"/>
        <family val="3"/>
        <charset val="128"/>
      </rPr>
      <t>幸福な死</t>
    </r>
    <r>
      <rPr>
        <sz val="11"/>
        <rFont val="Consolas"/>
        <family val="3"/>
      </rPr>
      <t xml:space="preserve">/La Mort Heureuse/Cahiers Arbert Camus </t>
    </r>
    <r>
      <rPr>
        <sz val="11"/>
        <rFont val="游ゴシック Medium"/>
        <family val="3"/>
        <charset val="128"/>
      </rPr>
      <t>Ⅰ</t>
    </r>
    <rPh sb="0" eb="2">
      <t>コウフク</t>
    </rPh>
    <rPh sb="3" eb="4">
      <t>シ</t>
    </rPh>
    <phoneticPr fontId="1"/>
  </si>
  <si>
    <r>
      <rPr>
        <sz val="11"/>
        <rFont val="游ゴシック Medium"/>
        <family val="3"/>
        <charset val="128"/>
      </rPr>
      <t>宮崎嶺雄</t>
    </r>
    <rPh sb="0" eb="2">
      <t>ミヤザキ</t>
    </rPh>
    <rPh sb="2" eb="4">
      <t>ミネオ</t>
    </rPh>
    <phoneticPr fontId="1"/>
  </si>
  <si>
    <r>
      <rPr>
        <sz val="11"/>
        <rFont val="游ゴシック Medium"/>
        <family val="3"/>
        <charset val="128"/>
      </rPr>
      <t>くもの巣の小道</t>
    </r>
    <r>
      <rPr>
        <sz val="11"/>
        <rFont val="Consolas"/>
        <family val="3"/>
      </rPr>
      <t>/Partisan</t>
    </r>
    <r>
      <rPr>
        <sz val="11"/>
        <rFont val="游ゴシック Medium"/>
        <family val="3"/>
        <charset val="128"/>
      </rPr>
      <t>あるいは落伍者たちをめぐる寓話</t>
    </r>
    <r>
      <rPr>
        <sz val="11"/>
        <rFont val="Consolas"/>
        <family val="3"/>
      </rPr>
      <t>/Il Sentiero Dei Nidi Di Ragno</t>
    </r>
    <rPh sb="3" eb="4">
      <t>ス</t>
    </rPh>
    <rPh sb="5" eb="7">
      <t>コミチ</t>
    </rPh>
    <rPh sb="8" eb="16">
      <t>パルチザン</t>
    </rPh>
    <rPh sb="20" eb="23">
      <t>ラクゴシャ</t>
    </rPh>
    <rPh sb="29" eb="31">
      <t>グウワ</t>
    </rPh>
    <phoneticPr fontId="1"/>
  </si>
  <si>
    <r>
      <rPr>
        <sz val="11"/>
        <rFont val="游ゴシック Medium"/>
        <family val="3"/>
        <charset val="128"/>
      </rPr>
      <t>柔らかい月</t>
    </r>
    <r>
      <rPr>
        <sz val="11"/>
        <rFont val="Consolas"/>
        <family val="3"/>
      </rPr>
      <t>/Ti con Zero</t>
    </r>
    <rPh sb="0" eb="1">
      <t>ヤワ</t>
    </rPh>
    <rPh sb="4" eb="5">
      <t>ツキ</t>
    </rPh>
    <phoneticPr fontId="1"/>
  </si>
  <si>
    <r>
      <rPr>
        <sz val="11"/>
        <rFont val="游ゴシック Medium"/>
        <family val="3"/>
        <charset val="128"/>
      </rPr>
      <t>ハヤカワ</t>
    </r>
    <r>
      <rPr>
        <sz val="11"/>
        <rFont val="Consolas"/>
        <family val="3"/>
      </rPr>
      <t>SF</t>
    </r>
    <r>
      <rPr>
        <sz val="11"/>
        <rFont val="游ゴシック Medium"/>
        <family val="3"/>
        <charset val="128"/>
      </rPr>
      <t>文庫</t>
    </r>
    <r>
      <rPr>
        <sz val="11"/>
        <rFont val="Consolas"/>
        <family val="3"/>
      </rPr>
      <t>/</t>
    </r>
    <r>
      <rPr>
        <sz val="11"/>
        <rFont val="游ゴシック Medium"/>
        <family val="3"/>
        <charset val="128"/>
      </rPr>
      <t>早川書房</t>
    </r>
    <rPh sb="6" eb="8">
      <t>ブンコ</t>
    </rPh>
    <rPh sb="9" eb="13">
      <t>ハヤカワショボウ</t>
    </rPh>
    <phoneticPr fontId="1"/>
  </si>
  <si>
    <r>
      <rPr>
        <sz val="11"/>
        <rFont val="游ゴシック Medium"/>
        <family val="3"/>
        <charset val="128"/>
      </rPr>
      <t>林九真理に貸出中</t>
    </r>
    <r>
      <rPr>
        <sz val="11"/>
        <rFont val="Consolas"/>
        <family val="3"/>
      </rPr>
      <t>/</t>
    </r>
    <r>
      <rPr>
        <sz val="11"/>
        <rFont val="游ゴシック Medium"/>
        <family val="3"/>
        <charset val="128"/>
      </rPr>
      <t>絶版</t>
    </r>
    <rPh sb="0" eb="1">
      <t>ハヤシ</t>
    </rPh>
    <rPh sb="1" eb="4">
      <t>クマリ</t>
    </rPh>
    <rPh sb="5" eb="8">
      <t>カシダシチュウ</t>
    </rPh>
    <rPh sb="9" eb="11">
      <t>ゼッパン</t>
    </rPh>
    <phoneticPr fontId="1"/>
  </si>
  <si>
    <r>
      <rPr>
        <sz val="11"/>
        <rFont val="游ゴシック Medium"/>
        <family val="3"/>
        <charset val="128"/>
      </rPr>
      <t>古沢安二郎</t>
    </r>
    <rPh sb="0" eb="2">
      <t>フルサワ</t>
    </rPh>
    <rPh sb="2" eb="5">
      <t>ヤスジロウ</t>
    </rPh>
    <phoneticPr fontId="1"/>
  </si>
  <si>
    <r>
      <rPr>
        <sz val="11"/>
        <rFont val="游ゴシック Medium"/>
        <family val="3"/>
        <charset val="128"/>
      </rPr>
      <t>高松二郎</t>
    </r>
    <rPh sb="0" eb="2">
      <t>タカマツ</t>
    </rPh>
    <rPh sb="2" eb="4">
      <t>ジロウ</t>
    </rPh>
    <phoneticPr fontId="1"/>
  </si>
  <si>
    <r>
      <t>Hiram</t>
    </r>
    <r>
      <rPr>
        <sz val="11"/>
        <rFont val="游ゴシック Medium"/>
        <family val="3"/>
        <charset val="128"/>
      </rPr>
      <t>氏の大冒険</t>
    </r>
    <r>
      <rPr>
        <sz val="11"/>
        <rFont val="Consolas"/>
        <family val="3"/>
      </rPr>
      <t>/The Adventures of Hiram Holliday</t>
    </r>
    <rPh sb="0" eb="5">
      <t>ハイラム</t>
    </rPh>
    <rPh sb="5" eb="6">
      <t>シ</t>
    </rPh>
    <rPh sb="7" eb="10">
      <t>ダイボウケン</t>
    </rPh>
    <phoneticPr fontId="1"/>
  </si>
  <si>
    <r>
      <rPr>
        <sz val="11"/>
        <rFont val="游ゴシック Medium"/>
        <family val="3"/>
        <charset val="128"/>
      </rPr>
      <t>銀色の白鳥たち</t>
    </r>
    <r>
      <rPr>
        <sz val="11"/>
        <rFont val="Consolas"/>
        <family val="3"/>
      </rPr>
      <t>/</t>
    </r>
    <r>
      <rPr>
        <sz val="11"/>
        <rFont val="游ゴシック Medium"/>
        <family val="3"/>
        <charset val="128"/>
      </rPr>
      <t>ある物語作家の告白</t>
    </r>
    <r>
      <rPr>
        <sz val="11"/>
        <rFont val="Consolas"/>
        <family val="3"/>
      </rPr>
      <t>/Confessions of a Story-Teller</t>
    </r>
    <rPh sb="0" eb="2">
      <t>ギンイロ</t>
    </rPh>
    <rPh sb="3" eb="5">
      <t>ハクチョウ</t>
    </rPh>
    <rPh sb="10" eb="12">
      <t>モノガタリ</t>
    </rPh>
    <rPh sb="12" eb="14">
      <t>サッカ</t>
    </rPh>
    <rPh sb="15" eb="17">
      <t>コクハク</t>
    </rPh>
    <phoneticPr fontId="1"/>
  </si>
  <si>
    <r>
      <rPr>
        <sz val="11"/>
        <rFont val="游ゴシック Medium"/>
        <family val="3"/>
        <charset val="128"/>
      </rPr>
      <t>灰島かり</t>
    </r>
    <r>
      <rPr>
        <sz val="11"/>
        <rFont val="Consolas"/>
        <family val="3"/>
      </rPr>
      <t>/Szasz, Susanne</t>
    </r>
    <rPh sb="0" eb="1">
      <t>ハイ</t>
    </rPh>
    <rPh sb="1" eb="2">
      <t>ジマ</t>
    </rPh>
    <rPh sb="5" eb="10">
      <t>サース</t>
    </rPh>
    <rPh sb="12" eb="19">
      <t>スザンヌ</t>
    </rPh>
    <phoneticPr fontId="1"/>
  </si>
  <si>
    <r>
      <rPr>
        <sz val="11"/>
        <rFont val="游ゴシック Medium"/>
        <family val="3"/>
        <charset val="128"/>
      </rPr>
      <t>訳</t>
    </r>
    <r>
      <rPr>
        <sz val="11"/>
        <rFont val="Consolas"/>
        <family val="3"/>
      </rPr>
      <t>/</t>
    </r>
    <r>
      <rPr>
        <sz val="11"/>
        <rFont val="游ゴシック Medium"/>
        <family val="3"/>
        <charset val="128"/>
      </rPr>
      <t>写真</t>
    </r>
    <rPh sb="0" eb="1">
      <t>ヤク</t>
    </rPh>
    <rPh sb="2" eb="4">
      <t>シャシン</t>
    </rPh>
    <phoneticPr fontId="1"/>
  </si>
  <si>
    <r>
      <rPr>
        <sz val="11"/>
        <rFont val="游ゴシック Medium"/>
        <family val="3"/>
        <charset val="128"/>
      </rPr>
      <t>猫語の教科書</t>
    </r>
    <r>
      <rPr>
        <sz val="11"/>
        <rFont val="Consolas"/>
        <family val="3"/>
      </rPr>
      <t>/The Silent Miaow</t>
    </r>
    <rPh sb="0" eb="1">
      <t>ネコ</t>
    </rPh>
    <rPh sb="1" eb="2">
      <t>ゴ</t>
    </rPh>
    <rPh sb="3" eb="6">
      <t>キョウカショ</t>
    </rPh>
    <phoneticPr fontId="1"/>
  </si>
  <si>
    <r>
      <rPr>
        <sz val="11"/>
        <rFont val="游ゴシック Medium"/>
        <family val="3"/>
        <charset val="128"/>
      </rPr>
      <t>浅羽莢子</t>
    </r>
    <rPh sb="0" eb="2">
      <t>アサバ</t>
    </rPh>
    <rPh sb="2" eb="3">
      <t>サヤ</t>
    </rPh>
    <rPh sb="3" eb="4">
      <t>コ</t>
    </rPh>
    <phoneticPr fontId="1"/>
  </si>
  <si>
    <r>
      <rPr>
        <sz val="11"/>
        <rFont val="游ゴシック Medium"/>
        <family val="3"/>
        <charset val="128"/>
      </rPr>
      <t>死者の書</t>
    </r>
    <r>
      <rPr>
        <sz val="11"/>
        <rFont val="Consolas"/>
        <family val="3"/>
      </rPr>
      <t>/The Land of Laughs</t>
    </r>
    <rPh sb="0" eb="2">
      <t>シシャ</t>
    </rPh>
    <rPh sb="3" eb="4">
      <t>ショ</t>
    </rPh>
    <phoneticPr fontId="1"/>
  </si>
  <si>
    <r>
      <rPr>
        <sz val="11"/>
        <rFont val="游ゴシック Medium"/>
        <family val="3"/>
        <charset val="128"/>
      </rPr>
      <t>我らが影の声</t>
    </r>
    <r>
      <rPr>
        <sz val="11"/>
        <rFont val="Consolas"/>
        <family val="3"/>
      </rPr>
      <t>/Voice of our Shadow</t>
    </r>
    <rPh sb="0" eb="1">
      <t>ワレ</t>
    </rPh>
    <rPh sb="3" eb="4">
      <t>カゲ</t>
    </rPh>
    <rPh sb="5" eb="6">
      <t>コエ</t>
    </rPh>
    <phoneticPr fontId="1"/>
  </si>
  <si>
    <r>
      <rPr>
        <sz val="11"/>
        <rFont val="游ゴシック Medium"/>
        <family val="3"/>
        <charset val="128"/>
      </rPr>
      <t>月の骨</t>
    </r>
    <r>
      <rPr>
        <sz val="11"/>
        <rFont val="Consolas"/>
        <family val="3"/>
      </rPr>
      <t>/Bones of the Moon</t>
    </r>
    <rPh sb="0" eb="1">
      <t>ツキ</t>
    </rPh>
    <rPh sb="2" eb="3">
      <t>ホネ</t>
    </rPh>
    <phoneticPr fontId="1"/>
  </si>
  <si>
    <r>
      <rPr>
        <sz val="11"/>
        <rFont val="游ゴシック Medium"/>
        <family val="3"/>
        <charset val="128"/>
      </rPr>
      <t>炎の眠り</t>
    </r>
    <r>
      <rPr>
        <sz val="11"/>
        <rFont val="Consolas"/>
        <family val="3"/>
      </rPr>
      <t>/Sleeping in Flame</t>
    </r>
    <rPh sb="0" eb="1">
      <t>ホノオ</t>
    </rPh>
    <rPh sb="2" eb="3">
      <t>ネム</t>
    </rPh>
    <phoneticPr fontId="1"/>
  </si>
  <si>
    <r>
      <rPr>
        <sz val="11"/>
        <rFont val="游ゴシック Medium"/>
        <family val="3"/>
        <charset val="128"/>
      </rPr>
      <t>空に浮かぶ子供</t>
    </r>
    <r>
      <rPr>
        <sz val="11"/>
        <rFont val="Consolas"/>
        <family val="3"/>
      </rPr>
      <t>/A Child across the Sky</t>
    </r>
    <rPh sb="0" eb="1">
      <t>ソラ</t>
    </rPh>
    <rPh sb="2" eb="3">
      <t>ウ</t>
    </rPh>
    <rPh sb="5" eb="7">
      <t>コドモ</t>
    </rPh>
    <phoneticPr fontId="1"/>
  </si>
  <si>
    <r>
      <rPr>
        <sz val="11"/>
        <rFont val="游ゴシック Medium"/>
        <family val="3"/>
        <charset val="128"/>
      </rPr>
      <t>黒いカクテル</t>
    </r>
    <r>
      <rPr>
        <sz val="11"/>
        <rFont val="Consolas"/>
        <family val="3"/>
      </rPr>
      <t>/The Panic Hand vol.2</t>
    </r>
    <rPh sb="0" eb="1">
      <t>クロ</t>
    </rPh>
    <phoneticPr fontId="1"/>
  </si>
  <si>
    <r>
      <rPr>
        <sz val="11"/>
        <rFont val="游ゴシック Medium"/>
        <family val="3"/>
        <charset val="128"/>
      </rPr>
      <t>犬博物館の外で</t>
    </r>
    <r>
      <rPr>
        <sz val="11"/>
        <rFont val="Consolas"/>
        <family val="3"/>
      </rPr>
      <t>/Outside the Dog Museum</t>
    </r>
    <rPh sb="0" eb="1">
      <t>イヌ</t>
    </rPh>
    <rPh sb="1" eb="4">
      <t>ハクブツカン</t>
    </rPh>
    <rPh sb="5" eb="6">
      <t>ソト</t>
    </rPh>
    <phoneticPr fontId="1"/>
  </si>
  <si>
    <r>
      <rPr>
        <sz val="11"/>
        <rFont val="游ゴシック Medium"/>
        <family val="3"/>
        <charset val="128"/>
      </rPr>
      <t>沈黙のあと</t>
    </r>
    <r>
      <rPr>
        <sz val="11"/>
        <rFont val="Consolas"/>
        <family val="3"/>
      </rPr>
      <t>/After Silence</t>
    </r>
    <rPh sb="0" eb="2">
      <t>チンモク</t>
    </rPh>
    <phoneticPr fontId="1"/>
  </si>
  <si>
    <r>
      <rPr>
        <sz val="11"/>
        <rFont val="游ゴシック Medium"/>
        <family val="3"/>
        <charset val="128"/>
      </rPr>
      <t>パニックの手</t>
    </r>
    <r>
      <rPr>
        <sz val="11"/>
        <rFont val="Consolas"/>
        <family val="3"/>
      </rPr>
      <t>/The Panic Hand vol.1</t>
    </r>
    <rPh sb="5" eb="6">
      <t>テ</t>
    </rPh>
    <phoneticPr fontId="1"/>
  </si>
  <si>
    <r>
      <rPr>
        <sz val="11"/>
        <rFont val="游ゴシック Medium"/>
        <family val="3"/>
        <charset val="128"/>
      </rPr>
      <t>蜂の巣にキス</t>
    </r>
    <r>
      <rPr>
        <sz val="11"/>
        <rFont val="Consolas"/>
        <family val="3"/>
      </rPr>
      <t>/Kissing the Beehive</t>
    </r>
    <rPh sb="0" eb="1">
      <t>ハチ</t>
    </rPh>
    <rPh sb="2" eb="3">
      <t>ス</t>
    </rPh>
    <phoneticPr fontId="1"/>
  </si>
  <si>
    <r>
      <rPr>
        <sz val="11"/>
        <rFont val="游ゴシック Medium"/>
        <family val="3"/>
        <charset val="128"/>
      </rPr>
      <t>岩崎民平</t>
    </r>
    <rPh sb="0" eb="2">
      <t>イワサキ</t>
    </rPh>
    <rPh sb="2" eb="4">
      <t>タミヘイ</t>
    </rPh>
    <phoneticPr fontId="1"/>
  </si>
  <si>
    <r>
      <rPr>
        <sz val="11"/>
        <rFont val="游ゴシック Medium"/>
        <family val="3"/>
        <charset val="128"/>
      </rPr>
      <t>不思議の国の</t>
    </r>
    <r>
      <rPr>
        <sz val="11"/>
        <rFont val="Consolas"/>
        <family val="3"/>
      </rPr>
      <t>Alice/Alice's Adventures in Wonderland</t>
    </r>
    <rPh sb="0" eb="3">
      <t>フシギ</t>
    </rPh>
    <rPh sb="4" eb="5">
      <t>クニ</t>
    </rPh>
    <rPh sb="6" eb="11">
      <t>アリス</t>
    </rPh>
    <phoneticPr fontId="1"/>
  </si>
  <si>
    <r>
      <rPr>
        <sz val="11"/>
        <rFont val="游ゴシック Medium"/>
        <family val="3"/>
        <charset val="128"/>
      </rPr>
      <t>永井</t>
    </r>
    <r>
      <rPr>
        <sz val="11"/>
        <rFont val="Consolas"/>
        <family val="3"/>
      </rPr>
      <t xml:space="preserve"> </t>
    </r>
    <r>
      <rPr>
        <sz val="11"/>
        <rFont val="游ゴシック Medium"/>
        <family val="3"/>
        <charset val="128"/>
      </rPr>
      <t>淳</t>
    </r>
    <rPh sb="0" eb="2">
      <t>ナガイ</t>
    </rPh>
    <rPh sb="3" eb="4">
      <t>ジュン</t>
    </rPh>
    <phoneticPr fontId="1"/>
  </si>
  <si>
    <r>
      <rPr>
        <sz val="11"/>
        <rFont val="游ゴシック Medium"/>
        <family val="3"/>
        <charset val="128"/>
      </rPr>
      <t>高本研一</t>
    </r>
    <rPh sb="0" eb="2">
      <t>タカモト</t>
    </rPh>
    <rPh sb="2" eb="4">
      <t>ケンイチ</t>
    </rPh>
    <phoneticPr fontId="1"/>
  </si>
  <si>
    <r>
      <rPr>
        <sz val="11"/>
        <rFont val="游ゴシック Medium"/>
        <family val="3"/>
        <charset val="128"/>
      </rPr>
      <t>猫と鼠</t>
    </r>
    <r>
      <rPr>
        <sz val="11"/>
        <rFont val="Consolas"/>
        <family val="3"/>
      </rPr>
      <t>/Katz und Maus</t>
    </r>
    <rPh sb="0" eb="1">
      <t>ネコ</t>
    </rPh>
    <rPh sb="2" eb="3">
      <t>ネズミ</t>
    </rPh>
    <phoneticPr fontId="1"/>
  </si>
  <si>
    <r>
      <rPr>
        <sz val="11"/>
        <rFont val="游ゴシック Medium"/>
        <family val="3"/>
        <charset val="128"/>
      </rPr>
      <t>ブリキの太鼓</t>
    </r>
    <r>
      <rPr>
        <sz val="11"/>
        <rFont val="Consolas"/>
        <family val="3"/>
      </rPr>
      <t>/Die Blechtrommel</t>
    </r>
    <rPh sb="4" eb="6">
      <t>タイコ</t>
    </rPh>
    <phoneticPr fontId="1"/>
  </si>
  <si>
    <r>
      <rPr>
        <sz val="11"/>
        <rFont val="游ゴシック Medium"/>
        <family val="3"/>
        <charset val="128"/>
      </rPr>
      <t>第一</t>
    </r>
    <r>
      <rPr>
        <sz val="11"/>
        <rFont val="Consolas"/>
        <family val="3"/>
      </rPr>
      <t>~</t>
    </r>
    <r>
      <rPr>
        <sz val="11"/>
        <rFont val="游ゴシック Medium"/>
        <family val="3"/>
        <charset val="128"/>
      </rPr>
      <t>三部</t>
    </r>
    <rPh sb="0" eb="2">
      <t>ダイイチ</t>
    </rPh>
    <rPh sb="3" eb="5">
      <t>サンブ</t>
    </rPh>
    <phoneticPr fontId="1"/>
  </si>
  <si>
    <r>
      <rPr>
        <sz val="11"/>
        <rFont val="游ゴシック Medium"/>
        <family val="3"/>
        <charset val="128"/>
      </rPr>
      <t>杉山高之</t>
    </r>
    <rPh sb="0" eb="2">
      <t>スギヤマ</t>
    </rPh>
    <rPh sb="2" eb="4">
      <t>タカユキ</t>
    </rPh>
    <phoneticPr fontId="1"/>
  </si>
  <si>
    <r>
      <rPr>
        <sz val="11"/>
        <rFont val="游ゴシック Medium"/>
        <family val="3"/>
        <charset val="128"/>
      </rPr>
      <t>豊崎光一</t>
    </r>
    <r>
      <rPr>
        <sz val="11"/>
        <rFont val="Consolas"/>
        <family val="3"/>
      </rPr>
      <t>/</t>
    </r>
    <r>
      <rPr>
        <sz val="11"/>
        <rFont val="游ゴシック Medium"/>
        <family val="3"/>
        <charset val="128"/>
      </rPr>
      <t>佐藤領時</t>
    </r>
    <rPh sb="0" eb="2">
      <t>トヨサキ</t>
    </rPh>
    <rPh sb="2" eb="4">
      <t>コウイチ</t>
    </rPh>
    <rPh sb="5" eb="7">
      <t>サトウ</t>
    </rPh>
    <rPh sb="7" eb="9">
      <t>リョウジ</t>
    </rPh>
    <phoneticPr fontId="1"/>
  </si>
  <si>
    <r>
      <rPr>
        <sz val="11"/>
        <rFont val="游ゴシック Medium"/>
        <family val="3"/>
        <charset val="128"/>
      </rPr>
      <t>海を見たことがなかった少年</t>
    </r>
    <r>
      <rPr>
        <sz val="11"/>
        <rFont val="Consolas"/>
        <family val="3"/>
      </rPr>
      <t>/Mondo</t>
    </r>
    <r>
      <rPr>
        <sz val="11"/>
        <rFont val="游ゴシック Medium"/>
        <family val="3"/>
        <charset val="128"/>
      </rPr>
      <t>ほか子供たちの物語</t>
    </r>
    <r>
      <rPr>
        <sz val="11"/>
        <rFont val="Consolas"/>
        <family val="3"/>
      </rPr>
      <t>/Mondo et Autres Histoires</t>
    </r>
    <rPh sb="0" eb="1">
      <t>ウミ</t>
    </rPh>
    <rPh sb="2" eb="3">
      <t>ミ</t>
    </rPh>
    <rPh sb="11" eb="13">
      <t>ショウネン</t>
    </rPh>
    <rPh sb="14" eb="19">
      <t>モンド</t>
    </rPh>
    <rPh sb="21" eb="23">
      <t>コドモ</t>
    </rPh>
    <rPh sb="26" eb="28">
      <t>モノガタリ</t>
    </rPh>
    <phoneticPr fontId="1"/>
  </si>
  <si>
    <r>
      <rPr>
        <sz val="11"/>
        <rFont val="游ゴシック Medium"/>
        <family val="3"/>
        <charset val="128"/>
      </rPr>
      <t>一ノ瀬直二</t>
    </r>
    <rPh sb="0" eb="1">
      <t>イチ</t>
    </rPh>
    <rPh sb="2" eb="3">
      <t>セ</t>
    </rPh>
    <rPh sb="3" eb="5">
      <t>ナオジ</t>
    </rPh>
    <phoneticPr fontId="1"/>
  </si>
  <si>
    <r>
      <rPr>
        <sz val="11"/>
        <rFont val="游ゴシック Medium"/>
        <family val="3"/>
        <charset val="128"/>
      </rPr>
      <t>料理人</t>
    </r>
    <r>
      <rPr>
        <sz val="11"/>
        <rFont val="Consolas"/>
        <family val="3"/>
      </rPr>
      <t>/The Cook</t>
    </r>
    <rPh sb="0" eb="2">
      <t>リョウリ</t>
    </rPh>
    <rPh sb="2" eb="3">
      <t>ニン</t>
    </rPh>
    <phoneticPr fontId="1"/>
  </si>
  <si>
    <r>
      <rPr>
        <sz val="11"/>
        <rFont val="游ゴシック Medium"/>
        <family val="3"/>
        <charset val="128"/>
      </rPr>
      <t>井上</t>
    </r>
    <r>
      <rPr>
        <sz val="11"/>
        <rFont val="Consolas"/>
        <family val="3"/>
      </rPr>
      <t xml:space="preserve"> </t>
    </r>
    <r>
      <rPr>
        <sz val="11"/>
        <rFont val="游ゴシック Medium"/>
        <family val="3"/>
        <charset val="128"/>
      </rPr>
      <t>勇</t>
    </r>
    <rPh sb="0" eb="2">
      <t>イノウエ</t>
    </rPh>
    <rPh sb="3" eb="4">
      <t>イサム</t>
    </rPh>
    <phoneticPr fontId="1"/>
  </si>
  <si>
    <r>
      <t>20</t>
    </r>
    <r>
      <rPr>
        <sz val="11"/>
        <rFont val="游ゴシック Medium"/>
        <family val="3"/>
        <charset val="128"/>
      </rPr>
      <t>億の針</t>
    </r>
    <r>
      <rPr>
        <sz val="11"/>
        <rFont val="Consolas"/>
        <family val="3"/>
      </rPr>
      <t>/Needle</t>
    </r>
    <rPh sb="2" eb="3">
      <t>オク</t>
    </rPh>
    <rPh sb="4" eb="5">
      <t>ハリ</t>
    </rPh>
    <phoneticPr fontId="1"/>
  </si>
  <si>
    <r>
      <rPr>
        <sz val="11"/>
        <rFont val="游ゴシック Medium"/>
        <family val="3"/>
        <charset val="128"/>
      </rPr>
      <t>田中征二郎</t>
    </r>
    <rPh sb="0" eb="2">
      <t>タナカ</t>
    </rPh>
    <rPh sb="2" eb="5">
      <t>セイジロウ</t>
    </rPh>
    <phoneticPr fontId="1"/>
  </si>
  <si>
    <r>
      <rPr>
        <sz val="11"/>
        <rFont val="游ゴシック Medium"/>
        <family val="3"/>
        <charset val="128"/>
      </rPr>
      <t>情事の終り</t>
    </r>
    <r>
      <rPr>
        <sz val="11"/>
        <rFont val="Consolas"/>
        <family val="3"/>
      </rPr>
      <t>/The End of the Affair</t>
    </r>
    <rPh sb="0" eb="2">
      <t>ジョウジ</t>
    </rPh>
    <rPh sb="3" eb="4">
      <t>オワ</t>
    </rPh>
    <phoneticPr fontId="1"/>
  </si>
  <si>
    <r>
      <rPr>
        <sz val="11"/>
        <rFont val="游ゴシック Medium"/>
        <family val="3"/>
        <charset val="128"/>
      </rPr>
      <t>永川玲二</t>
    </r>
    <rPh sb="0" eb="2">
      <t>ナガカワ</t>
    </rPh>
    <rPh sb="2" eb="4">
      <t>レイジ</t>
    </rPh>
    <phoneticPr fontId="1"/>
  </si>
  <si>
    <r>
      <rPr>
        <sz val="11"/>
        <rFont val="游ゴシック Medium"/>
        <family val="3"/>
        <charset val="128"/>
      </rPr>
      <t>もうひとりの自分</t>
    </r>
    <r>
      <rPr>
        <sz val="11"/>
        <rFont val="Consolas"/>
        <family val="3"/>
      </rPr>
      <t>/The Man Within</t>
    </r>
    <rPh sb="6" eb="8">
      <t>ジブン</t>
    </rPh>
    <phoneticPr fontId="1"/>
  </si>
  <si>
    <r>
      <rPr>
        <sz val="11"/>
        <rFont val="游ゴシック Medium"/>
        <family val="3"/>
        <charset val="128"/>
      </rPr>
      <t>相良守峯</t>
    </r>
    <rPh sb="0" eb="2">
      <t>サガラ</t>
    </rPh>
    <rPh sb="2" eb="4">
      <t>モリオ</t>
    </rPh>
    <phoneticPr fontId="1"/>
  </si>
  <si>
    <r>
      <rPr>
        <sz val="11"/>
        <rFont val="游ゴシック Medium"/>
        <family val="3"/>
        <charset val="128"/>
      </rPr>
      <t>第一</t>
    </r>
    <r>
      <rPr>
        <sz val="11"/>
        <rFont val="Consolas"/>
        <family val="3"/>
      </rPr>
      <t>~</t>
    </r>
    <r>
      <rPr>
        <sz val="11"/>
        <rFont val="游ゴシック Medium"/>
        <family val="3"/>
        <charset val="128"/>
      </rPr>
      <t>二部</t>
    </r>
    <rPh sb="0" eb="2">
      <t>ダイイチ</t>
    </rPh>
    <rPh sb="3" eb="5">
      <t>ニブ</t>
    </rPh>
    <phoneticPr fontId="1"/>
  </si>
  <si>
    <r>
      <rPr>
        <sz val="11"/>
        <rFont val="游ゴシック Medium"/>
        <family val="3"/>
        <charset val="128"/>
      </rPr>
      <t>永井</t>
    </r>
    <r>
      <rPr>
        <sz val="11"/>
        <rFont val="Consolas"/>
        <family val="3"/>
      </rPr>
      <t xml:space="preserve"> </t>
    </r>
    <r>
      <rPr>
        <sz val="11"/>
        <rFont val="游ゴシック Medium"/>
        <family val="3"/>
        <charset val="128"/>
      </rPr>
      <t>淳</t>
    </r>
    <r>
      <rPr>
        <sz val="11"/>
        <rFont val="Consolas"/>
        <family val="3"/>
      </rPr>
      <t>/</t>
    </r>
    <r>
      <rPr>
        <sz val="11"/>
        <rFont val="游ゴシック Medium"/>
        <family val="3"/>
        <charset val="128"/>
      </rPr>
      <t>深町真理子</t>
    </r>
    <rPh sb="0" eb="4">
      <t>ナガイジュン</t>
    </rPh>
    <rPh sb="5" eb="7">
      <t>フカマチ</t>
    </rPh>
    <rPh sb="7" eb="10">
      <t>マリコ</t>
    </rPh>
    <phoneticPr fontId="1"/>
  </si>
  <si>
    <r>
      <rPr>
        <sz val="11"/>
        <rFont val="游ゴシック Medium"/>
        <family val="3"/>
        <charset val="128"/>
      </rPr>
      <t>九マイルは遠すぎる</t>
    </r>
    <r>
      <rPr>
        <sz val="11"/>
        <rFont val="Consolas"/>
        <family val="3"/>
      </rPr>
      <t>/The Nine Mile Walk</t>
    </r>
    <rPh sb="0" eb="1">
      <t>キュウ</t>
    </rPh>
    <rPh sb="5" eb="6">
      <t>トオ</t>
    </rPh>
    <phoneticPr fontId="1"/>
  </si>
  <si>
    <r>
      <rPr>
        <sz val="11"/>
        <rFont val="游ゴシック Medium"/>
        <family val="3"/>
        <charset val="128"/>
      </rPr>
      <t>平井</t>
    </r>
    <r>
      <rPr>
        <sz val="11"/>
        <rFont val="Consolas"/>
        <family val="3"/>
      </rPr>
      <t xml:space="preserve"> </t>
    </r>
    <r>
      <rPr>
        <sz val="11"/>
        <rFont val="游ゴシック Medium"/>
        <family val="3"/>
        <charset val="128"/>
      </rPr>
      <t>肇</t>
    </r>
    <rPh sb="0" eb="2">
      <t>ヒライ</t>
    </rPh>
    <rPh sb="3" eb="4">
      <t>ハジメ</t>
    </rPh>
    <phoneticPr fontId="1"/>
  </si>
  <si>
    <r>
      <rPr>
        <sz val="11"/>
        <rFont val="游ゴシック Medium"/>
        <family val="3"/>
        <charset val="128"/>
      </rPr>
      <t>外套</t>
    </r>
    <r>
      <rPr>
        <sz val="11"/>
        <rFont val="Consolas"/>
        <family val="3"/>
      </rPr>
      <t>/</t>
    </r>
    <r>
      <rPr>
        <sz val="11"/>
        <rFont val="游ゴシック Medium"/>
        <family val="3"/>
        <charset val="128"/>
      </rPr>
      <t>鼻</t>
    </r>
    <rPh sb="0" eb="2">
      <t>ガイトウ</t>
    </rPh>
    <rPh sb="3" eb="4">
      <t>ハナ</t>
    </rPh>
    <phoneticPr fontId="1"/>
  </si>
  <si>
    <r>
      <rPr>
        <sz val="11"/>
        <rFont val="游ゴシック Medium"/>
        <family val="3"/>
        <charset val="128"/>
      </rPr>
      <t>田中一江</t>
    </r>
    <rPh sb="0" eb="2">
      <t>タナカ</t>
    </rPh>
    <rPh sb="2" eb="4">
      <t>カズエ</t>
    </rPh>
    <phoneticPr fontId="1"/>
  </si>
  <si>
    <r>
      <t>I'm Eve/</t>
    </r>
    <r>
      <rPr>
        <sz val="11"/>
        <rFont val="游ゴシック Medium"/>
        <family val="3"/>
        <charset val="128"/>
      </rPr>
      <t>私はイヴ</t>
    </r>
    <r>
      <rPr>
        <sz val="8"/>
        <rFont val="Consolas"/>
        <family val="3"/>
      </rPr>
      <t xml:space="preserve"> </t>
    </r>
    <r>
      <rPr>
        <sz val="8"/>
        <rFont val="游ゴシック Medium"/>
        <family val="3"/>
        <charset val="128"/>
      </rPr>
      <t>ある多重人格者の自伝</t>
    </r>
    <rPh sb="8" eb="9">
      <t>ワタシ</t>
    </rPh>
    <rPh sb="15" eb="17">
      <t>タジュウ</t>
    </rPh>
    <rPh sb="17" eb="20">
      <t>ジンカクシャ</t>
    </rPh>
    <rPh sb="21" eb="23">
      <t>ジデン</t>
    </rPh>
    <phoneticPr fontId="1"/>
  </si>
  <si>
    <r>
      <rPr>
        <sz val="11"/>
        <rFont val="游ゴシック Medium"/>
        <family val="3"/>
        <charset val="128"/>
      </rPr>
      <t>白石</t>
    </r>
    <r>
      <rPr>
        <sz val="11"/>
        <rFont val="Consolas"/>
        <family val="3"/>
      </rPr>
      <t xml:space="preserve"> </t>
    </r>
    <r>
      <rPr>
        <sz val="11"/>
        <rFont val="游ゴシック Medium"/>
        <family val="3"/>
        <charset val="128"/>
      </rPr>
      <t>朗･梶元靖子･他</t>
    </r>
    <rPh sb="0" eb="2">
      <t>シライシ</t>
    </rPh>
    <rPh sb="3" eb="4">
      <t>ロウ</t>
    </rPh>
    <rPh sb="5" eb="7">
      <t>カジモト</t>
    </rPh>
    <rPh sb="7" eb="9">
      <t>ヤスコ</t>
    </rPh>
    <rPh sb="10" eb="11">
      <t>ホカ</t>
    </rPh>
    <phoneticPr fontId="1"/>
  </si>
  <si>
    <r>
      <t>999/</t>
    </r>
    <r>
      <rPr>
        <sz val="11"/>
        <rFont val="游ゴシック Medium"/>
        <family val="3"/>
        <charset val="128"/>
      </rPr>
      <t>妖女たち</t>
    </r>
    <rPh sb="0" eb="3">
      <t>ナイン・ナイン・ナイン</t>
    </rPh>
    <rPh sb="4" eb="6">
      <t>ヨウジョ</t>
    </rPh>
    <phoneticPr fontId="1"/>
  </si>
  <si>
    <r>
      <rPr>
        <sz val="11"/>
        <rFont val="游ゴシック Medium"/>
        <family val="3"/>
        <charset val="128"/>
      </rPr>
      <t>白井浩司</t>
    </r>
    <r>
      <rPr>
        <sz val="11"/>
        <rFont val="Consolas"/>
        <family val="3"/>
      </rPr>
      <t>/</t>
    </r>
    <r>
      <rPr>
        <sz val="11"/>
        <rFont val="游ゴシック Medium"/>
        <family val="3"/>
        <charset val="128"/>
      </rPr>
      <t>平井啓之</t>
    </r>
    <rPh sb="0" eb="2">
      <t>シライ</t>
    </rPh>
    <rPh sb="2" eb="4">
      <t>コウジ</t>
    </rPh>
    <rPh sb="5" eb="7">
      <t>ヒライ</t>
    </rPh>
    <rPh sb="7" eb="9">
      <t>ヒロユキ</t>
    </rPh>
    <phoneticPr fontId="1"/>
  </si>
  <si>
    <r>
      <rPr>
        <sz val="11"/>
        <rFont val="游ゴシック Medium"/>
        <family val="3"/>
        <charset val="128"/>
      </rPr>
      <t>聖ジュネ</t>
    </r>
    <r>
      <rPr>
        <sz val="11"/>
        <rFont val="Consolas"/>
        <family val="3"/>
      </rPr>
      <t>/Saint Genet,Comedien et Martyr</t>
    </r>
    <rPh sb="0" eb="1">
      <t>セイ</t>
    </rPh>
    <rPh sb="11" eb="16">
      <t>ジュネ</t>
    </rPh>
    <phoneticPr fontId="1"/>
  </si>
  <si>
    <r>
      <rPr>
        <sz val="11"/>
        <rFont val="游ゴシック Medium"/>
        <family val="3"/>
        <charset val="128"/>
      </rPr>
      <t>ジュンク堂</t>
    </r>
    <r>
      <rPr>
        <sz val="11"/>
        <rFont val="Consolas"/>
        <family val="3"/>
      </rPr>
      <t>3F</t>
    </r>
    <phoneticPr fontId="1"/>
  </si>
  <si>
    <r>
      <rPr>
        <sz val="11"/>
        <rFont val="游ゴシック Medium"/>
        <family val="3"/>
        <charset val="128"/>
      </rPr>
      <t>伊吹武彦</t>
    </r>
    <r>
      <rPr>
        <sz val="11"/>
        <rFont val="Consolas"/>
        <family val="3"/>
      </rPr>
      <t>/</t>
    </r>
    <r>
      <rPr>
        <sz val="11"/>
        <rFont val="游ゴシック Medium"/>
        <family val="3"/>
        <charset val="128"/>
      </rPr>
      <t>白井浩司</t>
    </r>
    <r>
      <rPr>
        <sz val="11"/>
        <rFont val="Consolas"/>
        <family val="3"/>
      </rPr>
      <t>/</t>
    </r>
    <r>
      <rPr>
        <sz val="11"/>
        <rFont val="游ゴシック Medium"/>
        <family val="3"/>
        <charset val="128"/>
      </rPr>
      <t>窪田啓作</t>
    </r>
    <r>
      <rPr>
        <sz val="11"/>
        <rFont val="Consolas"/>
        <family val="3"/>
      </rPr>
      <t>/</t>
    </r>
    <r>
      <rPr>
        <sz val="11"/>
        <rFont val="游ゴシック Medium"/>
        <family val="3"/>
        <charset val="128"/>
      </rPr>
      <t>中村真一郎</t>
    </r>
    <rPh sb="0" eb="2">
      <t>イブキ</t>
    </rPh>
    <rPh sb="2" eb="4">
      <t>タケヒコ</t>
    </rPh>
    <rPh sb="5" eb="7">
      <t>シライ</t>
    </rPh>
    <rPh sb="7" eb="9">
      <t>コウジ</t>
    </rPh>
    <rPh sb="10" eb="12">
      <t>クボタ</t>
    </rPh>
    <rPh sb="12" eb="14">
      <t>ケイサク</t>
    </rPh>
    <rPh sb="15" eb="20">
      <t>ナカムラシンイチロウ</t>
    </rPh>
    <phoneticPr fontId="1"/>
  </si>
  <si>
    <r>
      <rPr>
        <sz val="11"/>
        <rFont val="游ゴシック Medium"/>
        <family val="3"/>
        <charset val="128"/>
      </rPr>
      <t>水いらず</t>
    </r>
    <r>
      <rPr>
        <sz val="11"/>
        <rFont val="Consolas"/>
        <family val="3"/>
      </rPr>
      <t>/Intimite</t>
    </r>
    <rPh sb="0" eb="4">
      <t>ミズイラズ</t>
    </rPh>
    <phoneticPr fontId="1"/>
  </si>
  <si>
    <r>
      <rPr>
        <sz val="11"/>
        <rFont val="游ゴシック Medium"/>
        <family val="3"/>
        <charset val="128"/>
      </rPr>
      <t>野崎</t>
    </r>
    <r>
      <rPr>
        <sz val="11"/>
        <rFont val="Consolas"/>
        <family val="3"/>
      </rPr>
      <t xml:space="preserve"> </t>
    </r>
    <r>
      <rPr>
        <sz val="11"/>
        <rFont val="游ゴシック Medium"/>
        <family val="3"/>
        <charset val="128"/>
      </rPr>
      <t>孝</t>
    </r>
    <r>
      <rPr>
        <sz val="11"/>
        <rFont val="Consolas"/>
        <family val="3"/>
      </rPr>
      <t>/</t>
    </r>
    <r>
      <rPr>
        <sz val="11"/>
        <rFont val="游ゴシック Medium"/>
        <family val="3"/>
        <charset val="128"/>
      </rPr>
      <t>井上謙治</t>
    </r>
    <rPh sb="0" eb="2">
      <t>ノザキ</t>
    </rPh>
    <rPh sb="3" eb="4">
      <t>タカシ</t>
    </rPh>
    <rPh sb="5" eb="7">
      <t>イノウエ</t>
    </rPh>
    <rPh sb="7" eb="9">
      <t>ケンジ</t>
    </rPh>
    <phoneticPr fontId="1"/>
  </si>
  <si>
    <r>
      <rPr>
        <sz val="11"/>
        <rFont val="游ゴシック Medium"/>
        <family val="3"/>
        <charset val="128"/>
      </rPr>
      <t>大工よ</t>
    </r>
    <r>
      <rPr>
        <sz val="11"/>
        <rFont val="Consolas"/>
        <family val="3"/>
      </rPr>
      <t>,</t>
    </r>
    <r>
      <rPr>
        <sz val="11"/>
        <rFont val="游ゴシック Medium"/>
        <family val="3"/>
        <charset val="128"/>
      </rPr>
      <t>屋根の梁を高く上げよ</t>
    </r>
    <r>
      <rPr>
        <sz val="11"/>
        <rFont val="Consolas"/>
        <family val="3"/>
      </rPr>
      <t xml:space="preserve"> Seymour</t>
    </r>
    <r>
      <rPr>
        <sz val="11"/>
        <rFont val="游ゴシック Medium"/>
        <family val="3"/>
        <charset val="128"/>
      </rPr>
      <t>─序章─</t>
    </r>
    <r>
      <rPr>
        <sz val="11"/>
        <rFont val="Consolas"/>
        <family val="3"/>
      </rPr>
      <t>/Raise High the Roof Beam,Carpenters and Seymour an Introduction</t>
    </r>
    <rPh sb="0" eb="2">
      <t>ダイク</t>
    </rPh>
    <rPh sb="4" eb="6">
      <t>ヤネ</t>
    </rPh>
    <rPh sb="7" eb="8">
      <t>ハリ</t>
    </rPh>
    <rPh sb="9" eb="10">
      <t>タカ</t>
    </rPh>
    <rPh sb="11" eb="12">
      <t>ア</t>
    </rPh>
    <rPh sb="15" eb="22">
      <t>シーモア</t>
    </rPh>
    <rPh sb="23" eb="25">
      <t>ジョショウ</t>
    </rPh>
    <phoneticPr fontId="1"/>
  </si>
  <si>
    <r>
      <rPr>
        <sz val="11"/>
        <rFont val="游ゴシック Medium"/>
        <family val="3"/>
        <charset val="128"/>
      </rPr>
      <t>蕗沢忠枝</t>
    </r>
    <r>
      <rPr>
        <sz val="11"/>
        <rFont val="Consolas"/>
        <family val="3"/>
      </rPr>
      <t>:</t>
    </r>
    <r>
      <rPr>
        <sz val="11"/>
        <rFont val="游ゴシック Medium"/>
        <family val="3"/>
        <charset val="128"/>
      </rPr>
      <t>枝</t>
    </r>
    <rPh sb="0" eb="1">
      <t>フキ</t>
    </rPh>
    <rPh sb="1" eb="2">
      <t>サワ</t>
    </rPh>
    <rPh sb="2" eb="4">
      <t>タダエ</t>
    </rPh>
    <rPh sb="5" eb="6">
      <t>エダ</t>
    </rPh>
    <phoneticPr fontId="1"/>
  </si>
  <si>
    <r>
      <rPr>
        <sz val="11"/>
        <rFont val="游ゴシック Medium"/>
        <family val="3"/>
        <charset val="128"/>
      </rPr>
      <t>ねじの回転</t>
    </r>
    <r>
      <rPr>
        <sz val="11"/>
        <rFont val="Consolas"/>
        <family val="3"/>
      </rPr>
      <t>/The Turn of the Screw</t>
    </r>
    <rPh sb="3" eb="5">
      <t>カイテン</t>
    </rPh>
    <phoneticPr fontId="1"/>
  </si>
  <si>
    <r>
      <rPr>
        <sz val="11"/>
        <rFont val="游ゴシック Medium"/>
        <family val="3"/>
        <charset val="128"/>
      </rPr>
      <t>福田恆存</t>
    </r>
    <rPh sb="0" eb="2">
      <t>フクダ</t>
    </rPh>
    <rPh sb="2" eb="4">
      <t>ツネアリ</t>
    </rPh>
    <phoneticPr fontId="1"/>
  </si>
  <si>
    <r>
      <rPr>
        <sz val="11"/>
        <rFont val="游ゴシック Medium"/>
        <family val="3"/>
        <charset val="128"/>
      </rPr>
      <t>まほの大学の課題図書</t>
    </r>
    <rPh sb="3" eb="5">
      <t>ダイガク</t>
    </rPh>
    <rPh sb="6" eb="10">
      <t>カダイトショ</t>
    </rPh>
    <phoneticPr fontId="1"/>
  </si>
  <si>
    <r>
      <rPr>
        <sz val="11"/>
        <rFont val="游ゴシック Medium"/>
        <family val="3"/>
        <charset val="128"/>
      </rPr>
      <t>大山</t>
    </r>
    <r>
      <rPr>
        <sz val="11"/>
        <rFont val="Consolas"/>
        <family val="3"/>
      </rPr>
      <t xml:space="preserve"> </t>
    </r>
    <r>
      <rPr>
        <sz val="11"/>
        <rFont val="游ゴシック Medium"/>
        <family val="3"/>
        <charset val="128"/>
      </rPr>
      <t>俊一</t>
    </r>
    <rPh sb="0" eb="2">
      <t>オオヤマ</t>
    </rPh>
    <rPh sb="3" eb="5">
      <t>トシカズ</t>
    </rPh>
    <phoneticPr fontId="1"/>
  </si>
  <si>
    <r>
      <rPr>
        <sz val="11"/>
        <rFont val="游ゴシック Medium"/>
        <family val="3"/>
        <charset val="128"/>
      </rPr>
      <t>リア王</t>
    </r>
    <rPh sb="2" eb="3">
      <t>オウ</t>
    </rPh>
    <phoneticPr fontId="1"/>
  </si>
  <si>
    <r>
      <rPr>
        <sz val="11"/>
        <rFont val="游ゴシック Medium"/>
        <family val="3"/>
        <charset val="128"/>
      </rPr>
      <t>マクベス</t>
    </r>
    <phoneticPr fontId="1"/>
  </si>
  <si>
    <r>
      <rPr>
        <sz val="11"/>
        <rFont val="游ゴシック Medium"/>
        <family val="3"/>
        <charset val="128"/>
      </rPr>
      <t>畑中佳樹</t>
    </r>
    <rPh sb="0" eb="2">
      <t>ハタナカ</t>
    </rPh>
    <rPh sb="2" eb="4">
      <t>ヨシキ</t>
    </rPh>
    <phoneticPr fontId="1"/>
  </si>
  <si>
    <r>
      <rPr>
        <sz val="11"/>
        <rFont val="游ゴシック Medium"/>
        <family val="3"/>
        <charset val="128"/>
      </rPr>
      <t>河出文庫</t>
    </r>
    <r>
      <rPr>
        <sz val="11"/>
        <rFont val="Consolas"/>
        <family val="3"/>
      </rPr>
      <t>/</t>
    </r>
    <r>
      <rPr>
        <sz val="11"/>
        <rFont val="游ゴシック Medium"/>
        <family val="3"/>
        <charset val="128"/>
      </rPr>
      <t>河出書房新社</t>
    </r>
    <rPh sb="0" eb="2">
      <t>カワデ</t>
    </rPh>
    <rPh sb="2" eb="4">
      <t>ブンコ</t>
    </rPh>
    <rPh sb="5" eb="9">
      <t>カワデショボウ</t>
    </rPh>
    <rPh sb="9" eb="11">
      <t>シンシャ</t>
    </rPh>
    <phoneticPr fontId="1"/>
  </si>
  <si>
    <r>
      <rPr>
        <sz val="11"/>
        <rFont val="游ゴシック Medium"/>
        <family val="3"/>
        <charset val="128"/>
      </rPr>
      <t>ハードカパーのがあるのに購入してしまった</t>
    </r>
    <rPh sb="12" eb="14">
      <t>コウニュウ</t>
    </rPh>
    <phoneticPr fontId="1"/>
  </si>
  <si>
    <r>
      <rPr>
        <sz val="11"/>
        <rFont val="游ゴシック Medium"/>
        <family val="3"/>
        <charset val="128"/>
      </rPr>
      <t>朝吹三吉</t>
    </r>
    <rPh sb="0" eb="2">
      <t>アサブキ</t>
    </rPh>
    <rPh sb="2" eb="3">
      <t>サン</t>
    </rPh>
    <rPh sb="3" eb="4">
      <t>キチ</t>
    </rPh>
    <phoneticPr fontId="1"/>
  </si>
  <si>
    <r>
      <rPr>
        <sz val="11"/>
        <rFont val="游ゴシック Medium"/>
        <family val="3"/>
        <charset val="128"/>
      </rPr>
      <t>泥棒日記</t>
    </r>
    <r>
      <rPr>
        <sz val="11"/>
        <rFont val="Consolas"/>
        <family val="3"/>
      </rPr>
      <t>/Journal du Voleur</t>
    </r>
    <rPh sb="0" eb="2">
      <t>ドロボウ</t>
    </rPh>
    <rPh sb="2" eb="4">
      <t>ニッキ</t>
    </rPh>
    <phoneticPr fontId="1"/>
  </si>
  <si>
    <r>
      <rPr>
        <sz val="11"/>
        <rFont val="游ゴシック Medium"/>
        <family val="3"/>
        <charset val="128"/>
      </rPr>
      <t>薔薇の奇蹟</t>
    </r>
    <r>
      <rPr>
        <sz val="11"/>
        <rFont val="Consolas"/>
        <family val="3"/>
      </rPr>
      <t>/Miracle de la Rose</t>
    </r>
    <rPh sb="0" eb="2">
      <t>バラ</t>
    </rPh>
    <rPh sb="3" eb="5">
      <t>キセキ</t>
    </rPh>
    <phoneticPr fontId="1"/>
  </si>
  <si>
    <r>
      <t>Internet</t>
    </r>
    <r>
      <rPr>
        <sz val="11"/>
        <rFont val="游ゴシック Medium"/>
        <family val="3"/>
        <charset val="128"/>
      </rPr>
      <t>で受注</t>
    </r>
    <rPh sb="0" eb="8">
      <t>インターネット</t>
    </rPh>
    <rPh sb="9" eb="11">
      <t>ジュチュウ</t>
    </rPh>
    <phoneticPr fontId="1"/>
  </si>
  <si>
    <r>
      <rPr>
        <sz val="11"/>
        <rFont val="游ゴシック Medium"/>
        <family val="3"/>
        <charset val="128"/>
      </rPr>
      <t>背徳者</t>
    </r>
    <r>
      <rPr>
        <sz val="11"/>
        <rFont val="Consolas"/>
        <family val="3"/>
      </rPr>
      <t>/L'Immoraliste</t>
    </r>
    <rPh sb="0" eb="3">
      <t>ハイトクシャ</t>
    </rPh>
    <phoneticPr fontId="1"/>
  </si>
  <si>
    <r>
      <rPr>
        <sz val="11"/>
        <rFont val="游ゴシック Medium"/>
        <family val="3"/>
        <charset val="128"/>
      </rPr>
      <t>関</t>
    </r>
    <r>
      <rPr>
        <sz val="11"/>
        <rFont val="Consolas"/>
        <family val="3"/>
      </rPr>
      <t xml:space="preserve"> </t>
    </r>
    <r>
      <rPr>
        <sz val="11"/>
        <rFont val="游ゴシック Medium"/>
        <family val="3"/>
        <charset val="128"/>
      </rPr>
      <t>泰祐</t>
    </r>
    <rPh sb="0" eb="1">
      <t>セキ</t>
    </rPh>
    <rPh sb="2" eb="4">
      <t>ヤスヒロ</t>
    </rPh>
    <phoneticPr fontId="1"/>
  </si>
  <si>
    <r>
      <rPr>
        <sz val="11"/>
        <rFont val="游ゴシック Medium"/>
        <family val="3"/>
        <charset val="128"/>
      </rPr>
      <t>大学時代</t>
    </r>
    <r>
      <rPr>
        <sz val="11"/>
        <rFont val="Consolas"/>
        <family val="3"/>
      </rPr>
      <t>/</t>
    </r>
    <r>
      <rPr>
        <sz val="11"/>
        <rFont val="游ゴシック Medium"/>
        <family val="3"/>
        <charset val="128"/>
      </rPr>
      <t>広場のほとり</t>
    </r>
    <r>
      <rPr>
        <sz val="11"/>
        <rFont val="Consolas"/>
        <family val="3"/>
      </rPr>
      <t>/</t>
    </r>
    <r>
      <rPr>
        <sz val="11"/>
        <rFont val="游ゴシック Medium"/>
        <family val="3"/>
        <charset val="128"/>
      </rPr>
      <t>他四編</t>
    </r>
    <rPh sb="0" eb="2">
      <t>ダイガク</t>
    </rPh>
    <rPh sb="2" eb="4">
      <t>ジダイ</t>
    </rPh>
    <rPh sb="5" eb="7">
      <t>ヒロバ</t>
    </rPh>
    <rPh sb="12" eb="13">
      <t>ホカ</t>
    </rPh>
    <rPh sb="13" eb="15">
      <t>ヨンヘン</t>
    </rPh>
    <phoneticPr fontId="1"/>
  </si>
  <si>
    <r>
      <rPr>
        <sz val="11"/>
        <rFont val="游ゴシック Medium"/>
        <family val="3"/>
        <charset val="128"/>
      </rPr>
      <t>嶋岡</t>
    </r>
    <r>
      <rPr>
        <sz val="11"/>
        <rFont val="Consolas"/>
        <family val="3"/>
      </rPr>
      <t xml:space="preserve"> </t>
    </r>
    <r>
      <rPr>
        <sz val="11"/>
        <rFont val="游ゴシック Medium"/>
        <family val="3"/>
        <charset val="128"/>
      </rPr>
      <t>晨</t>
    </r>
    <rPh sb="0" eb="2">
      <t>シマオカ</t>
    </rPh>
    <rPh sb="3" eb="4">
      <t>シン</t>
    </rPh>
    <phoneticPr fontId="1"/>
  </si>
  <si>
    <r>
      <t>Noe</t>
    </r>
    <r>
      <rPr>
        <sz val="11"/>
        <rFont val="游ゴシック Medium"/>
        <family val="3"/>
        <charset val="128"/>
      </rPr>
      <t>の方舟</t>
    </r>
    <r>
      <rPr>
        <sz val="11"/>
        <rFont val="Consolas"/>
        <family val="3"/>
      </rPr>
      <t>/</t>
    </r>
    <r>
      <rPr>
        <sz val="11"/>
        <rFont val="游ゴシック Medium"/>
        <family val="3"/>
        <charset val="128"/>
      </rPr>
      <t>沖に住む少女</t>
    </r>
    <r>
      <rPr>
        <sz val="11"/>
        <rFont val="Consolas"/>
        <family val="3"/>
      </rPr>
      <t>/L'Arche de Noe/L'Enfant de la Haute Mer</t>
    </r>
    <rPh sb="0" eb="3">
      <t>ノア</t>
    </rPh>
    <rPh sb="4" eb="6">
      <t>ハコブネ</t>
    </rPh>
    <rPh sb="7" eb="8">
      <t>オキ</t>
    </rPh>
    <rPh sb="9" eb="10">
      <t>ス</t>
    </rPh>
    <rPh sb="11" eb="13">
      <t>ショウジョ</t>
    </rPh>
    <phoneticPr fontId="1"/>
  </si>
  <si>
    <r>
      <rPr>
        <sz val="11"/>
        <rFont val="游ゴシック Medium"/>
        <family val="3"/>
        <charset val="128"/>
      </rPr>
      <t>巻</t>
    </r>
    <r>
      <rPr>
        <sz val="11"/>
        <rFont val="Consolas"/>
        <family val="3"/>
      </rPr>
      <t xml:space="preserve"> </t>
    </r>
    <r>
      <rPr>
        <sz val="11"/>
        <rFont val="游ゴシック Medium"/>
        <family val="3"/>
        <charset val="128"/>
      </rPr>
      <t>正平</t>
    </r>
    <rPh sb="0" eb="1">
      <t>マキ</t>
    </rPh>
    <rPh sb="2" eb="4">
      <t>ショウヘイ</t>
    </rPh>
    <phoneticPr fontId="1"/>
  </si>
  <si>
    <r>
      <rPr>
        <sz val="11"/>
        <rFont val="游ゴシック Medium"/>
        <family val="3"/>
        <charset val="128"/>
      </rPr>
      <t>失われた私</t>
    </r>
    <r>
      <rPr>
        <sz val="11"/>
        <rFont val="Consolas"/>
        <family val="3"/>
      </rPr>
      <t>/Sybil</t>
    </r>
    <rPh sb="0" eb="1">
      <t>ウシナ</t>
    </rPh>
    <rPh sb="4" eb="5">
      <t>ワタシ</t>
    </rPh>
    <phoneticPr fontId="1"/>
  </si>
  <si>
    <r>
      <rPr>
        <sz val="11"/>
        <rFont val="游ゴシック Medium"/>
        <family val="3"/>
        <charset val="128"/>
      </rPr>
      <t>丸谷才一</t>
    </r>
    <rPh sb="0" eb="2">
      <t>マルヤ</t>
    </rPh>
    <rPh sb="2" eb="4">
      <t>サイイチ</t>
    </rPh>
    <phoneticPr fontId="1"/>
  </si>
  <si>
    <r>
      <rPr>
        <sz val="11"/>
        <rFont val="游ゴシック Medium"/>
        <family val="3"/>
        <charset val="128"/>
      </rPr>
      <t>若い芸術家の肖像</t>
    </r>
    <r>
      <rPr>
        <sz val="11"/>
        <rFont val="Consolas"/>
        <family val="3"/>
      </rPr>
      <t>/A Portrait of the Artist as a Young Man</t>
    </r>
    <rPh sb="0" eb="1">
      <t>ワカ</t>
    </rPh>
    <rPh sb="2" eb="5">
      <t>ゲイジュツカ</t>
    </rPh>
    <rPh sb="6" eb="8">
      <t>ショウゾウ</t>
    </rPh>
    <phoneticPr fontId="1"/>
  </si>
  <si>
    <r>
      <rPr>
        <sz val="11"/>
        <rFont val="游ゴシック Medium"/>
        <family val="3"/>
        <charset val="128"/>
      </rPr>
      <t>安藤一郎</t>
    </r>
    <rPh sb="0" eb="2">
      <t>アンドウ</t>
    </rPh>
    <rPh sb="2" eb="4">
      <t>イチロウ</t>
    </rPh>
    <phoneticPr fontId="1"/>
  </si>
  <si>
    <r>
      <rPr>
        <sz val="11"/>
        <rFont val="游ゴシック Medium"/>
        <family val="3"/>
        <charset val="128"/>
      </rPr>
      <t>ダブリン市民</t>
    </r>
    <r>
      <rPr>
        <sz val="11"/>
        <rFont val="Consolas"/>
        <family val="3"/>
      </rPr>
      <t>/Dubliners</t>
    </r>
    <rPh sb="4" eb="6">
      <t>シミン</t>
    </rPh>
    <phoneticPr fontId="1"/>
  </si>
  <si>
    <r>
      <rPr>
        <sz val="11"/>
        <rFont val="游ゴシック Medium"/>
        <family val="3"/>
        <charset val="128"/>
      </rPr>
      <t>柳瀬尚紀</t>
    </r>
    <rPh sb="0" eb="2">
      <t>ヤナセ</t>
    </rPh>
    <rPh sb="2" eb="4">
      <t>ナオキ</t>
    </rPh>
    <phoneticPr fontId="1"/>
  </si>
  <si>
    <r>
      <rPr>
        <sz val="11"/>
        <rFont val="游ゴシック Medium"/>
        <family val="3"/>
        <charset val="128"/>
      </rPr>
      <t>中村保男</t>
    </r>
    <rPh sb="0" eb="2">
      <t>ナカムラ</t>
    </rPh>
    <rPh sb="2" eb="4">
      <t>ヤスオ</t>
    </rPh>
    <phoneticPr fontId="1"/>
  </si>
  <si>
    <r>
      <rPr>
        <sz val="11"/>
        <rFont val="游ゴシック Medium"/>
        <family val="3"/>
        <charset val="128"/>
      </rPr>
      <t>旧版</t>
    </r>
    <r>
      <rPr>
        <sz val="11"/>
        <rFont val="Consolas"/>
        <family val="3"/>
      </rPr>
      <t>/</t>
    </r>
    <r>
      <rPr>
        <sz val="11"/>
        <rFont val="游ゴシック Medium"/>
        <family val="3"/>
        <charset val="128"/>
      </rPr>
      <t>ネビュラ賞</t>
    </r>
    <rPh sb="0" eb="2">
      <t>キュウハン</t>
    </rPh>
    <rPh sb="7" eb="8">
      <t>ショウ</t>
    </rPh>
    <phoneticPr fontId="1"/>
  </si>
  <si>
    <r>
      <rPr>
        <sz val="11"/>
        <rFont val="游ゴシック Medium"/>
        <family val="3"/>
        <charset val="128"/>
      </rPr>
      <t>時間線を溯って</t>
    </r>
    <r>
      <rPr>
        <sz val="11"/>
        <rFont val="Consolas"/>
        <family val="3"/>
      </rPr>
      <t>/Up the Line</t>
    </r>
    <rPh sb="0" eb="2">
      <t>ジカン</t>
    </rPh>
    <rPh sb="2" eb="3">
      <t>セン</t>
    </rPh>
    <rPh sb="4" eb="5">
      <t>サカノボ</t>
    </rPh>
    <phoneticPr fontId="1"/>
  </si>
  <si>
    <r>
      <rPr>
        <sz val="11"/>
        <rFont val="游ゴシック Medium"/>
        <family val="3"/>
        <charset val="128"/>
      </rPr>
      <t>佐藤高子</t>
    </r>
    <rPh sb="0" eb="2">
      <t>サトウ</t>
    </rPh>
    <rPh sb="2" eb="4">
      <t>タカコ</t>
    </rPh>
    <phoneticPr fontId="1"/>
  </si>
  <si>
    <r>
      <rPr>
        <sz val="11"/>
        <rFont val="游ゴシック Medium"/>
        <family val="3"/>
        <charset val="128"/>
      </rPr>
      <t>夜の翼</t>
    </r>
    <r>
      <rPr>
        <sz val="11"/>
        <rFont val="Consolas"/>
        <family val="3"/>
      </rPr>
      <t>/Nightwings</t>
    </r>
    <rPh sb="0" eb="1">
      <t>ヨル</t>
    </rPh>
    <rPh sb="2" eb="3">
      <t>ツバサ</t>
    </rPh>
    <phoneticPr fontId="1"/>
  </si>
  <si>
    <r>
      <rPr>
        <sz val="11"/>
        <rFont val="游ゴシック Medium"/>
        <family val="3"/>
        <charset val="128"/>
      </rPr>
      <t>ヒューゴー賞</t>
    </r>
    <r>
      <rPr>
        <sz val="11"/>
        <rFont val="Consolas"/>
        <family val="3"/>
      </rPr>
      <t>/Apollo</t>
    </r>
    <r>
      <rPr>
        <sz val="11"/>
        <rFont val="游ゴシック Medium"/>
        <family val="3"/>
        <charset val="128"/>
      </rPr>
      <t>賞</t>
    </r>
    <rPh sb="5" eb="6">
      <t>ショウ</t>
    </rPh>
    <rPh sb="7" eb="13">
      <t>アポロ</t>
    </rPh>
    <rPh sb="13" eb="14">
      <t>ショウ</t>
    </rPh>
    <phoneticPr fontId="1"/>
  </si>
  <si>
    <r>
      <rPr>
        <sz val="11"/>
        <rFont val="游ゴシック Medium"/>
        <family val="3"/>
        <charset val="128"/>
      </rPr>
      <t>平井正穂</t>
    </r>
    <rPh sb="0" eb="2">
      <t>ヒライ</t>
    </rPh>
    <rPh sb="2" eb="4">
      <t>マサオ</t>
    </rPh>
    <phoneticPr fontId="1"/>
  </si>
  <si>
    <r>
      <t>Gulliver</t>
    </r>
    <r>
      <rPr>
        <sz val="11"/>
        <rFont val="游ゴシック Medium"/>
        <family val="3"/>
        <charset val="128"/>
      </rPr>
      <t>旅行記</t>
    </r>
    <r>
      <rPr>
        <sz val="11"/>
        <rFont val="Consolas"/>
        <family val="3"/>
      </rPr>
      <t>/Gulliver's Travels</t>
    </r>
    <rPh sb="0" eb="8">
      <t>ガリヴァー</t>
    </rPh>
    <rPh sb="8" eb="11">
      <t>リョコウキ</t>
    </rPh>
    <phoneticPr fontId="1"/>
  </si>
  <si>
    <r>
      <t>Celine,Louis-Ferdinand /</t>
    </r>
    <r>
      <rPr>
        <sz val="11"/>
        <rFont val="游ゴシック Medium"/>
        <family val="3"/>
        <charset val="128"/>
      </rPr>
      <t>デトゥシュ</t>
    </r>
    <r>
      <rPr>
        <sz val="11"/>
        <rFont val="Consolas"/>
        <family val="3"/>
      </rPr>
      <t>:</t>
    </r>
    <r>
      <rPr>
        <sz val="11"/>
        <rFont val="游ゴシック Medium"/>
        <family val="3"/>
        <charset val="128"/>
      </rPr>
      <t>本名</t>
    </r>
    <rPh sb="0" eb="6">
      <t>セリーヌ</t>
    </rPh>
    <rPh sb="30" eb="32">
      <t>ホンミョウ</t>
    </rPh>
    <phoneticPr fontId="1"/>
  </si>
  <si>
    <r>
      <rPr>
        <sz val="11"/>
        <rFont val="游ゴシック Medium"/>
        <family val="3"/>
        <charset val="128"/>
      </rPr>
      <t>夜の果ての旅</t>
    </r>
    <rPh sb="0" eb="1">
      <t>ヨル</t>
    </rPh>
    <rPh sb="2" eb="3">
      <t>ハ</t>
    </rPh>
    <rPh sb="5" eb="6">
      <t>タビ</t>
    </rPh>
    <phoneticPr fontId="1"/>
  </si>
  <si>
    <r>
      <rPr>
        <sz val="11"/>
        <rFont val="游ゴシック Medium"/>
        <family val="3"/>
        <charset val="128"/>
      </rPr>
      <t>清水正和</t>
    </r>
    <rPh sb="0" eb="2">
      <t>シミズ</t>
    </rPh>
    <rPh sb="2" eb="4">
      <t>マサカズ</t>
    </rPh>
    <phoneticPr fontId="1"/>
  </si>
  <si>
    <r>
      <t>L'Oeuvre/</t>
    </r>
    <r>
      <rPr>
        <sz val="11"/>
        <rFont val="游ゴシック Medium"/>
        <family val="3"/>
        <charset val="128"/>
      </rPr>
      <t>制作</t>
    </r>
    <rPh sb="9" eb="11">
      <t>セイサク</t>
    </rPh>
    <phoneticPr fontId="1"/>
  </si>
  <si>
    <r>
      <rPr>
        <sz val="11"/>
        <rFont val="游ゴシック Medium"/>
        <family val="3"/>
        <charset val="128"/>
      </rPr>
      <t>山本俊子</t>
    </r>
    <rPh sb="0" eb="2">
      <t>ヤマモト</t>
    </rPh>
    <rPh sb="2" eb="4">
      <t>トシコ</t>
    </rPh>
    <phoneticPr fontId="1"/>
  </si>
  <si>
    <r>
      <rPr>
        <sz val="11"/>
        <rFont val="游ゴシック Medium"/>
        <family val="3"/>
        <charset val="128"/>
      </rPr>
      <t>暗い森の少女</t>
    </r>
    <r>
      <rPr>
        <sz val="11"/>
        <rFont val="Consolas"/>
        <family val="3"/>
      </rPr>
      <t>/Suffer the Children</t>
    </r>
    <rPh sb="0" eb="1">
      <t>クラ</t>
    </rPh>
    <rPh sb="2" eb="3">
      <t>モリ</t>
    </rPh>
    <rPh sb="4" eb="6">
      <t>ショウジョ</t>
    </rPh>
    <phoneticPr fontId="1"/>
  </si>
  <si>
    <r>
      <rPr>
        <sz val="11"/>
        <rFont val="游ゴシック Medium"/>
        <family val="3"/>
        <charset val="128"/>
      </rPr>
      <t>三輪秀彦</t>
    </r>
    <rPh sb="0" eb="2">
      <t>ミワ</t>
    </rPh>
    <rPh sb="2" eb="4">
      <t>ヒデヒコ</t>
    </rPh>
    <phoneticPr fontId="1"/>
  </si>
  <si>
    <r>
      <rPr>
        <sz val="11"/>
        <rFont val="游ゴシック Medium"/>
        <family val="3"/>
        <charset val="128"/>
      </rPr>
      <t>ベティ・ブルー</t>
    </r>
    <r>
      <rPr>
        <sz val="11"/>
        <rFont val="Consolas"/>
        <family val="3"/>
      </rPr>
      <t xml:space="preserve"> </t>
    </r>
    <r>
      <rPr>
        <sz val="11"/>
        <rFont val="游ゴシック Medium"/>
        <family val="3"/>
        <charset val="128"/>
      </rPr>
      <t>愛と激情の日々</t>
    </r>
    <r>
      <rPr>
        <sz val="11"/>
        <rFont val="Consolas"/>
        <family val="3"/>
      </rPr>
      <t>/37,2</t>
    </r>
    <r>
      <rPr>
        <sz val="11"/>
        <rFont val="游ゴシック Medium"/>
        <family val="3"/>
        <charset val="128"/>
      </rPr>
      <t>゜</t>
    </r>
    <r>
      <rPr>
        <sz val="11"/>
        <rFont val="Consolas"/>
        <family val="3"/>
      </rPr>
      <t xml:space="preserve"> Le Matin</t>
    </r>
    <rPh sb="8" eb="9">
      <t>アイ</t>
    </rPh>
    <rPh sb="10" eb="12">
      <t>ゲキジョウ</t>
    </rPh>
    <rPh sb="13" eb="15">
      <t>ヒビ</t>
    </rPh>
    <phoneticPr fontId="1"/>
  </si>
  <si>
    <r>
      <rPr>
        <sz val="11"/>
        <rFont val="游ゴシック Medium"/>
        <family val="3"/>
        <charset val="128"/>
      </rPr>
      <t>浅倉久志</t>
    </r>
    <rPh sb="0" eb="2">
      <t>アサクラ</t>
    </rPh>
    <rPh sb="2" eb="4">
      <t>ヒサシ</t>
    </rPh>
    <phoneticPr fontId="1"/>
  </si>
  <si>
    <r>
      <t>Android</t>
    </r>
    <r>
      <rPr>
        <sz val="11"/>
        <rFont val="游ゴシック Medium"/>
        <family val="3"/>
        <charset val="128"/>
      </rPr>
      <t>は電気羊の夢を見るか</t>
    </r>
    <r>
      <rPr>
        <sz val="11"/>
        <rFont val="Consolas"/>
        <family val="3"/>
      </rPr>
      <t>?/Do Androids Dream of Electric Sheep?</t>
    </r>
    <rPh sb="0" eb="7">
      <t>アンドロイド</t>
    </rPh>
    <rPh sb="8" eb="10">
      <t>デンキ</t>
    </rPh>
    <rPh sb="10" eb="11">
      <t>ヒツジ</t>
    </rPh>
    <rPh sb="12" eb="13">
      <t>ユメ</t>
    </rPh>
    <rPh sb="14" eb="15">
      <t>ミ</t>
    </rPh>
    <phoneticPr fontId="1"/>
  </si>
  <si>
    <r>
      <rPr>
        <sz val="11"/>
        <rFont val="游ゴシック Medium"/>
        <family val="3"/>
        <charset val="128"/>
      </rPr>
      <t>夜間飛行</t>
    </r>
    <r>
      <rPr>
        <sz val="11"/>
        <rFont val="Consolas"/>
        <family val="3"/>
      </rPr>
      <t>/</t>
    </r>
    <r>
      <rPr>
        <sz val="11"/>
        <rFont val="游ゴシック Medium"/>
        <family val="3"/>
        <charset val="128"/>
      </rPr>
      <t>序</t>
    </r>
    <r>
      <rPr>
        <sz val="11"/>
        <rFont val="Consolas"/>
        <family val="3"/>
      </rPr>
      <t>:Gide,Andre'/</t>
    </r>
    <r>
      <rPr>
        <sz val="11"/>
        <rFont val="游ゴシック Medium"/>
        <family val="3"/>
        <charset val="128"/>
      </rPr>
      <t>南方郵便機</t>
    </r>
    <r>
      <rPr>
        <sz val="11"/>
        <rFont val="Consolas"/>
        <family val="3"/>
      </rPr>
      <t>/</t>
    </r>
    <r>
      <rPr>
        <sz val="11"/>
        <rFont val="游ゴシック Medium"/>
        <family val="3"/>
        <charset val="128"/>
      </rPr>
      <t>序</t>
    </r>
    <r>
      <rPr>
        <sz val="11"/>
        <rFont val="Consolas"/>
        <family val="3"/>
      </rPr>
      <t>:</t>
    </r>
    <r>
      <rPr>
        <sz val="11"/>
        <rFont val="游ゴシック Medium"/>
        <family val="3"/>
        <charset val="128"/>
      </rPr>
      <t>ブークレル</t>
    </r>
    <r>
      <rPr>
        <sz val="11"/>
        <rFont val="Consolas"/>
        <family val="3"/>
      </rPr>
      <t>,Andre'/Vol de Nuit</t>
    </r>
    <rPh sb="0" eb="2">
      <t>ヤカン</t>
    </rPh>
    <rPh sb="2" eb="4">
      <t>ヒコウ</t>
    </rPh>
    <rPh sb="5" eb="6">
      <t>ジョ</t>
    </rPh>
    <rPh sb="7" eb="11">
      <t>ジッド</t>
    </rPh>
    <rPh sb="12" eb="18">
      <t>アンドレ</t>
    </rPh>
    <rPh sb="19" eb="21">
      <t>ナンポウ</t>
    </rPh>
    <rPh sb="21" eb="23">
      <t>ユウビン</t>
    </rPh>
    <rPh sb="23" eb="24">
      <t>キ</t>
    </rPh>
    <rPh sb="25" eb="26">
      <t>ジョ</t>
    </rPh>
    <rPh sb="33" eb="39">
      <t>アンドレ</t>
    </rPh>
    <phoneticPr fontId="1"/>
  </si>
  <si>
    <r>
      <rPr>
        <sz val="11"/>
        <rFont val="游ゴシック Medium"/>
        <family val="3"/>
        <charset val="128"/>
      </rPr>
      <t>太平洋の防波堤</t>
    </r>
    <r>
      <rPr>
        <sz val="11"/>
        <rFont val="Consolas"/>
        <family val="3"/>
      </rPr>
      <t>/Un Barrage contre le Pacifique</t>
    </r>
    <rPh sb="0" eb="3">
      <t>タイヘイヨウ</t>
    </rPh>
    <rPh sb="4" eb="7">
      <t>ボウハテイ</t>
    </rPh>
    <phoneticPr fontId="1"/>
  </si>
  <si>
    <r>
      <rPr>
        <sz val="11"/>
        <rFont val="游ゴシック Medium"/>
        <family val="3"/>
        <charset val="128"/>
      </rPr>
      <t>集英社</t>
    </r>
    <r>
      <rPr>
        <sz val="11"/>
        <rFont val="Consolas"/>
        <family val="3"/>
      </rPr>
      <t>/</t>
    </r>
    <r>
      <rPr>
        <sz val="11"/>
        <rFont val="游ゴシック Medium"/>
        <family val="3"/>
        <charset val="128"/>
      </rPr>
      <t>河出書房新社</t>
    </r>
    <rPh sb="0" eb="3">
      <t>シュウエイシャ</t>
    </rPh>
    <phoneticPr fontId="1"/>
  </si>
  <si>
    <r>
      <rPr>
        <sz val="11"/>
        <rFont val="游ゴシック Medium"/>
        <family val="3"/>
        <charset val="128"/>
      </rPr>
      <t>清岡卓行</t>
    </r>
    <rPh sb="0" eb="2">
      <t>キヨオカ</t>
    </rPh>
    <rPh sb="2" eb="4">
      <t>タカユキ</t>
    </rPh>
    <phoneticPr fontId="1"/>
  </si>
  <si>
    <r>
      <rPr>
        <sz val="11"/>
        <rFont val="游ゴシック Medium"/>
        <family val="3"/>
        <charset val="128"/>
      </rPr>
      <t>ヒロシマ私の恋人</t>
    </r>
    <r>
      <rPr>
        <sz val="11"/>
        <rFont val="Consolas"/>
        <family val="3"/>
      </rPr>
      <t>/Hiroshima mon amour] Gallimard</t>
    </r>
    <rPh sb="4" eb="5">
      <t>ワタシ</t>
    </rPh>
    <rPh sb="6" eb="8">
      <t>コイビト</t>
    </rPh>
    <phoneticPr fontId="1"/>
  </si>
  <si>
    <r>
      <rPr>
        <sz val="11"/>
        <rFont val="游ゴシック Medium"/>
        <family val="3"/>
        <charset val="128"/>
      </rPr>
      <t>夏の夜の１０時半</t>
    </r>
    <r>
      <rPr>
        <sz val="11"/>
        <rFont val="Consolas"/>
        <family val="3"/>
      </rPr>
      <t>/Dix heures et demie du soir en e'te'</t>
    </r>
    <rPh sb="0" eb="1">
      <t>ナツ</t>
    </rPh>
    <rPh sb="2" eb="3">
      <t>ヨ</t>
    </rPh>
    <rPh sb="6" eb="8">
      <t>ジハン</t>
    </rPh>
    <phoneticPr fontId="1"/>
  </si>
  <si>
    <r>
      <rPr>
        <sz val="11"/>
        <rFont val="游ゴシック Medium"/>
        <family val="3"/>
        <charset val="128"/>
      </rPr>
      <t>阪上</t>
    </r>
    <r>
      <rPr>
        <sz val="11"/>
        <rFont val="Consolas"/>
        <family val="3"/>
      </rPr>
      <t xml:space="preserve"> </t>
    </r>
    <r>
      <rPr>
        <sz val="11"/>
        <rFont val="游ゴシック Medium"/>
        <family val="3"/>
        <charset val="128"/>
      </rPr>
      <t>脩</t>
    </r>
    <rPh sb="0" eb="2">
      <t>サカガミ</t>
    </rPh>
    <rPh sb="3" eb="4">
      <t>オサム</t>
    </rPh>
    <phoneticPr fontId="1"/>
  </si>
  <si>
    <r>
      <rPr>
        <sz val="11"/>
        <rFont val="游ゴシック Medium"/>
        <family val="3"/>
        <charset val="128"/>
      </rPr>
      <t>かくも長き不在</t>
    </r>
    <r>
      <rPr>
        <sz val="11"/>
        <rFont val="Consolas"/>
        <family val="3"/>
      </rPr>
      <t>/Une Aussi Longue Absence</t>
    </r>
    <rPh sb="3" eb="4">
      <t>ナガ</t>
    </rPh>
    <rPh sb="5" eb="7">
      <t>フザイ</t>
    </rPh>
    <phoneticPr fontId="1"/>
  </si>
  <si>
    <r>
      <rPr>
        <sz val="11"/>
        <rFont val="游ゴシック Medium"/>
        <family val="3"/>
        <charset val="128"/>
      </rPr>
      <t>破壊しに、と彼女は言う</t>
    </r>
    <r>
      <rPr>
        <sz val="11"/>
        <rFont val="Consolas"/>
        <family val="3"/>
      </rPr>
      <t>/De'truire Dit-Elle</t>
    </r>
    <rPh sb="0" eb="2">
      <t>ハカイ</t>
    </rPh>
    <rPh sb="6" eb="8">
      <t>カノジョ</t>
    </rPh>
    <rPh sb="9" eb="10">
      <t>イ</t>
    </rPh>
    <phoneticPr fontId="1"/>
  </si>
  <si>
    <r>
      <rPr>
        <sz val="11"/>
        <rFont val="游ゴシック Medium"/>
        <family val="3"/>
        <charset val="128"/>
      </rPr>
      <t>愛</t>
    </r>
    <r>
      <rPr>
        <sz val="11"/>
        <rFont val="Consolas"/>
        <family val="3"/>
      </rPr>
      <t>/L'Amour</t>
    </r>
    <rPh sb="0" eb="1">
      <t>アイ</t>
    </rPh>
    <phoneticPr fontId="1"/>
  </si>
  <si>
    <r>
      <rPr>
        <sz val="11"/>
        <rFont val="游ゴシック Medium"/>
        <family val="3"/>
        <charset val="128"/>
      </rPr>
      <t>清水</t>
    </r>
    <r>
      <rPr>
        <sz val="11"/>
        <rFont val="Consolas"/>
        <family val="3"/>
      </rPr>
      <t xml:space="preserve"> </t>
    </r>
    <r>
      <rPr>
        <sz val="11"/>
        <rFont val="游ゴシック Medium"/>
        <family val="3"/>
        <charset val="128"/>
      </rPr>
      <t>徹</t>
    </r>
    <rPh sb="0" eb="4">
      <t>シミズトオル</t>
    </rPh>
    <phoneticPr fontId="1"/>
  </si>
  <si>
    <r>
      <rPr>
        <sz val="11"/>
        <rFont val="游ゴシック Medium"/>
        <family val="3"/>
        <charset val="128"/>
      </rPr>
      <t>愛人</t>
    </r>
    <r>
      <rPr>
        <sz val="11"/>
        <rFont val="Consolas"/>
        <family val="3"/>
      </rPr>
      <t>/L'Amant</t>
    </r>
    <rPh sb="0" eb="2">
      <t>ラ・マン</t>
    </rPh>
    <phoneticPr fontId="1"/>
  </si>
  <si>
    <r>
      <rPr>
        <sz val="11"/>
        <rFont val="游ゴシック Medium"/>
        <family val="3"/>
        <charset val="128"/>
      </rPr>
      <t>北の愛人</t>
    </r>
    <r>
      <rPr>
        <sz val="11"/>
        <rFont val="Consolas"/>
        <family val="3"/>
      </rPr>
      <t>/L'Amant de la Chine du Nord</t>
    </r>
    <rPh sb="0" eb="1">
      <t>キタ</t>
    </rPh>
    <rPh sb="2" eb="4">
      <t>アイジン</t>
    </rPh>
    <phoneticPr fontId="1"/>
  </si>
  <si>
    <r>
      <t xml:space="preserve">[L'Amant] </t>
    </r>
    <r>
      <rPr>
        <sz val="11"/>
        <rFont val="游ゴシック Medium"/>
        <family val="3"/>
        <charset val="128"/>
      </rPr>
      <t>の</t>
    </r>
    <r>
      <rPr>
        <sz val="11"/>
        <rFont val="Consolas"/>
        <family val="3"/>
      </rPr>
      <t xml:space="preserve"> </t>
    </r>
    <r>
      <rPr>
        <sz val="11"/>
        <rFont val="游ゴシック Medium"/>
        <family val="3"/>
        <charset val="128"/>
      </rPr>
      <t>姉妹篇</t>
    </r>
    <rPh sb="1" eb="8">
      <t>ラ・マン</t>
    </rPh>
    <rPh sb="12" eb="14">
      <t>シマイ</t>
    </rPh>
    <rPh sb="14" eb="15">
      <t>ヘン</t>
    </rPh>
    <phoneticPr fontId="1"/>
  </si>
  <si>
    <r>
      <rPr>
        <sz val="11"/>
        <rFont val="游ゴシック Medium"/>
        <family val="3"/>
        <charset val="128"/>
      </rPr>
      <t>飯島</t>
    </r>
    <r>
      <rPr>
        <sz val="11"/>
        <rFont val="Consolas"/>
        <family val="3"/>
      </rPr>
      <t xml:space="preserve"> </t>
    </r>
    <r>
      <rPr>
        <sz val="11"/>
        <rFont val="游ゴシック Medium"/>
        <family val="3"/>
        <charset val="128"/>
      </rPr>
      <t>宏</t>
    </r>
    <rPh sb="0" eb="2">
      <t>イイジマ</t>
    </rPh>
    <rPh sb="3" eb="4">
      <t>ヒロシ</t>
    </rPh>
    <phoneticPr fontId="1"/>
  </si>
  <si>
    <r>
      <rPr>
        <sz val="11"/>
        <rFont val="游ゴシック Medium"/>
        <family val="3"/>
        <charset val="128"/>
      </rPr>
      <t>木村</t>
    </r>
    <r>
      <rPr>
        <sz val="11"/>
        <rFont val="Consolas"/>
        <family val="3"/>
      </rPr>
      <t xml:space="preserve"> </t>
    </r>
    <r>
      <rPr>
        <sz val="11"/>
        <rFont val="游ゴシック Medium"/>
        <family val="3"/>
        <charset val="128"/>
      </rPr>
      <t>浩</t>
    </r>
    <rPh sb="0" eb="2">
      <t>キムラ</t>
    </rPh>
    <rPh sb="3" eb="4">
      <t>ヒロシ</t>
    </rPh>
    <phoneticPr fontId="1"/>
  </si>
  <si>
    <r>
      <rPr>
        <sz val="11"/>
        <rFont val="游ゴシック Medium"/>
        <family val="3"/>
        <charset val="128"/>
      </rPr>
      <t>白痴</t>
    </r>
    <rPh sb="0" eb="2">
      <t>ハクチ</t>
    </rPh>
    <phoneticPr fontId="1"/>
  </si>
  <si>
    <r>
      <rPr>
        <sz val="11"/>
        <rFont val="游ゴシック Medium"/>
        <family val="3"/>
        <charset val="128"/>
      </rPr>
      <t>原</t>
    </r>
    <r>
      <rPr>
        <sz val="11"/>
        <rFont val="Consolas"/>
        <family val="3"/>
      </rPr>
      <t xml:space="preserve"> </t>
    </r>
    <r>
      <rPr>
        <sz val="11"/>
        <rFont val="游ゴシック Medium"/>
        <family val="3"/>
        <charset val="128"/>
      </rPr>
      <t>卓也</t>
    </r>
    <rPh sb="0" eb="1">
      <t>ハラ</t>
    </rPh>
    <rPh sb="2" eb="4">
      <t>タクヤ</t>
    </rPh>
    <phoneticPr fontId="1"/>
  </si>
  <si>
    <r>
      <rPr>
        <sz val="11"/>
        <rFont val="游ゴシック Medium"/>
        <family val="3"/>
        <charset val="128"/>
      </rPr>
      <t>カラマーゾフの兄弟</t>
    </r>
    <rPh sb="7" eb="9">
      <t>キョウダイ</t>
    </rPh>
    <phoneticPr fontId="1"/>
  </si>
  <si>
    <r>
      <rPr>
        <sz val="11"/>
        <rFont val="游ゴシック Medium"/>
        <family val="3"/>
        <charset val="128"/>
      </rPr>
      <t>上中下</t>
    </r>
    <rPh sb="0" eb="1">
      <t>ジョウ</t>
    </rPh>
    <rPh sb="1" eb="2">
      <t>チュウ</t>
    </rPh>
    <rPh sb="2" eb="3">
      <t>ゲ</t>
    </rPh>
    <phoneticPr fontId="1"/>
  </si>
  <si>
    <r>
      <rPr>
        <sz val="11"/>
        <rFont val="游ゴシック Medium"/>
        <family val="3"/>
        <charset val="128"/>
      </rPr>
      <t>小沼文彦</t>
    </r>
    <rPh sb="0" eb="2">
      <t>コヌマ</t>
    </rPh>
    <rPh sb="2" eb="4">
      <t>フミヒコ</t>
    </rPh>
    <phoneticPr fontId="1"/>
  </si>
  <si>
    <r>
      <rPr>
        <sz val="11"/>
        <rFont val="游ゴシック Medium"/>
        <family val="3"/>
        <charset val="128"/>
      </rPr>
      <t>二重人格</t>
    </r>
    <rPh sb="0" eb="4">
      <t>ニジュウジンカク</t>
    </rPh>
    <phoneticPr fontId="1"/>
  </si>
  <si>
    <r>
      <rPr>
        <sz val="11"/>
        <rFont val="游ゴシック Medium"/>
        <family val="3"/>
        <charset val="128"/>
      </rPr>
      <t>小野寺</t>
    </r>
    <r>
      <rPr>
        <sz val="11"/>
        <rFont val="Consolas"/>
        <family val="3"/>
      </rPr>
      <t xml:space="preserve"> </t>
    </r>
    <r>
      <rPr>
        <sz val="11"/>
        <rFont val="游ゴシック Medium"/>
        <family val="3"/>
        <charset val="128"/>
      </rPr>
      <t>健</t>
    </r>
    <rPh sb="0" eb="3">
      <t>オノデラ</t>
    </rPh>
    <rPh sb="4" eb="5">
      <t>タケシ</t>
    </rPh>
    <phoneticPr fontId="1"/>
  </si>
  <si>
    <r>
      <rPr>
        <sz val="11"/>
        <rFont val="游ゴシック Medium"/>
        <family val="3"/>
        <charset val="128"/>
      </rPr>
      <t>碾臼</t>
    </r>
    <r>
      <rPr>
        <sz val="11"/>
        <rFont val="Consolas"/>
        <family val="3"/>
      </rPr>
      <t>/the Millstone</t>
    </r>
    <rPh sb="0" eb="2">
      <t>ヒキウス</t>
    </rPh>
    <phoneticPr fontId="1"/>
  </si>
  <si>
    <r>
      <rPr>
        <sz val="11"/>
        <rFont val="游ゴシック Medium"/>
        <family val="3"/>
        <charset val="128"/>
      </rPr>
      <t>原</t>
    </r>
    <r>
      <rPr>
        <sz val="11"/>
        <rFont val="Consolas"/>
        <family val="3"/>
      </rPr>
      <t xml:space="preserve"> </t>
    </r>
    <r>
      <rPr>
        <sz val="11"/>
        <rFont val="游ゴシック Medium"/>
        <family val="3"/>
        <charset val="128"/>
      </rPr>
      <t>久一郎</t>
    </r>
    <rPh sb="0" eb="1">
      <t>ハラ</t>
    </rPh>
    <rPh sb="2" eb="3">
      <t>ヒサ</t>
    </rPh>
    <rPh sb="3" eb="5">
      <t>イチロウ</t>
    </rPh>
    <phoneticPr fontId="1"/>
  </si>
  <si>
    <r>
      <rPr>
        <sz val="11"/>
        <rFont val="游ゴシック Medium"/>
        <family val="3"/>
        <charset val="128"/>
      </rPr>
      <t>復活</t>
    </r>
    <rPh sb="0" eb="2">
      <t>フッカツ</t>
    </rPh>
    <phoneticPr fontId="1"/>
  </si>
  <si>
    <r>
      <rPr>
        <sz val="11"/>
        <rFont val="游ゴシック Medium"/>
        <family val="3"/>
        <charset val="128"/>
      </rPr>
      <t>大久保康雄</t>
    </r>
    <rPh sb="0" eb="3">
      <t>オオクボ</t>
    </rPh>
    <rPh sb="3" eb="5">
      <t>ヤスオ</t>
    </rPh>
    <phoneticPr fontId="1"/>
  </si>
  <si>
    <r>
      <rPr>
        <sz val="11"/>
        <rFont val="游ゴシック Medium"/>
        <family val="3"/>
        <charset val="128"/>
      </rPr>
      <t>小隅</t>
    </r>
    <r>
      <rPr>
        <sz val="11"/>
        <rFont val="Consolas"/>
        <family val="3"/>
      </rPr>
      <t xml:space="preserve"> </t>
    </r>
    <r>
      <rPr>
        <sz val="11"/>
        <rFont val="游ゴシック Medium"/>
        <family val="3"/>
        <charset val="128"/>
      </rPr>
      <t>黎</t>
    </r>
    <rPh sb="0" eb="2">
      <t>コズミ</t>
    </rPh>
    <rPh sb="3" eb="4">
      <t>レイ</t>
    </rPh>
    <phoneticPr fontId="1"/>
  </si>
  <si>
    <r>
      <t>Inferno</t>
    </r>
    <r>
      <rPr>
        <sz val="11"/>
        <rFont val="游ゴシック Medium"/>
        <family val="3"/>
        <charset val="128"/>
      </rPr>
      <t>─</t>
    </r>
    <r>
      <rPr>
        <sz val="11"/>
        <rFont val="Consolas"/>
        <family val="3"/>
      </rPr>
      <t>SF</t>
    </r>
    <r>
      <rPr>
        <sz val="11"/>
        <rFont val="游ゴシック Medium"/>
        <family val="3"/>
        <charset val="128"/>
      </rPr>
      <t>地獄篇─</t>
    </r>
    <rPh sb="0" eb="7">
      <t>インフェルノ</t>
    </rPh>
    <rPh sb="10" eb="12">
      <t>ジゴク</t>
    </rPh>
    <rPh sb="12" eb="13">
      <t>ヘン</t>
    </rPh>
    <phoneticPr fontId="1"/>
  </si>
  <si>
    <r>
      <rPr>
        <sz val="11"/>
        <rFont val="游ゴシック Medium"/>
        <family val="3"/>
        <charset val="128"/>
      </rPr>
      <t>西北書房</t>
    </r>
    <rPh sb="0" eb="2">
      <t>セイホク</t>
    </rPh>
    <rPh sb="2" eb="4">
      <t>ショボウ</t>
    </rPh>
    <phoneticPr fontId="1"/>
  </si>
  <si>
    <r>
      <rPr>
        <sz val="11"/>
        <rFont val="游ゴシック Medium"/>
        <family val="3"/>
        <charset val="128"/>
      </rPr>
      <t>乾</t>
    </r>
    <r>
      <rPr>
        <sz val="11"/>
        <rFont val="Consolas"/>
        <family val="3"/>
      </rPr>
      <t xml:space="preserve"> </t>
    </r>
    <r>
      <rPr>
        <sz val="11"/>
        <rFont val="游ゴシック Medium"/>
        <family val="3"/>
        <charset val="128"/>
      </rPr>
      <t>信一郎</t>
    </r>
    <rPh sb="0" eb="1">
      <t>イヌイ</t>
    </rPh>
    <rPh sb="2" eb="5">
      <t>シンイチロウ</t>
    </rPh>
    <phoneticPr fontId="1"/>
  </si>
  <si>
    <r>
      <rPr>
        <sz val="11"/>
        <rFont val="游ゴシック Medium"/>
        <family val="3"/>
        <charset val="128"/>
      </rPr>
      <t>時計じかけの</t>
    </r>
    <r>
      <rPr>
        <sz val="11"/>
        <rFont val="Consolas"/>
        <family val="3"/>
      </rPr>
      <t>Orange/Clockwork Orange</t>
    </r>
    <rPh sb="0" eb="2">
      <t>トケイ</t>
    </rPh>
    <rPh sb="6" eb="12">
      <t>オレンジ</t>
    </rPh>
    <phoneticPr fontId="1"/>
  </si>
  <si>
    <r>
      <rPr>
        <sz val="11"/>
        <rFont val="游ゴシック Medium"/>
        <family val="3"/>
        <charset val="128"/>
      </rPr>
      <t>杉山洋子</t>
    </r>
    <rPh sb="0" eb="2">
      <t>スギヤマ</t>
    </rPh>
    <rPh sb="2" eb="4">
      <t>ヨウコ</t>
    </rPh>
    <phoneticPr fontId="1"/>
  </si>
  <si>
    <r>
      <rPr>
        <sz val="11"/>
        <rFont val="游ゴシック Medium"/>
        <family val="3"/>
        <charset val="128"/>
      </rPr>
      <t>井上宗次</t>
    </r>
    <r>
      <rPr>
        <sz val="11"/>
        <rFont val="Consolas"/>
        <family val="3"/>
      </rPr>
      <t>/</t>
    </r>
    <r>
      <rPr>
        <sz val="11"/>
        <rFont val="游ゴシック Medium"/>
        <family val="3"/>
        <charset val="128"/>
      </rPr>
      <t>石田英二</t>
    </r>
    <rPh sb="0" eb="2">
      <t>イノウエ</t>
    </rPh>
    <rPh sb="2" eb="4">
      <t>ムネツグ</t>
    </rPh>
    <rPh sb="5" eb="7">
      <t>イシダ</t>
    </rPh>
    <rPh sb="7" eb="9">
      <t>エイジ</t>
    </rPh>
    <phoneticPr fontId="1"/>
  </si>
  <si>
    <r>
      <rPr>
        <sz val="11"/>
        <rFont val="游ゴシック Medium"/>
        <family val="3"/>
        <charset val="128"/>
      </rPr>
      <t>山本</t>
    </r>
    <r>
      <rPr>
        <sz val="11"/>
        <rFont val="Consolas"/>
        <family val="3"/>
      </rPr>
      <t xml:space="preserve"> </t>
    </r>
    <r>
      <rPr>
        <sz val="11"/>
        <rFont val="游ゴシック Medium"/>
        <family val="3"/>
        <charset val="128"/>
      </rPr>
      <t>功</t>
    </r>
    <rPh sb="0" eb="2">
      <t>ヤマモト</t>
    </rPh>
    <rPh sb="3" eb="4">
      <t>イサオ</t>
    </rPh>
    <phoneticPr fontId="1"/>
  </si>
  <si>
    <r>
      <rPr>
        <sz val="11"/>
        <rFont val="游ゴシック Medium"/>
        <family val="3"/>
        <charset val="128"/>
      </rPr>
      <t>文学と悪</t>
    </r>
    <r>
      <rPr>
        <sz val="11"/>
        <rFont val="Consolas"/>
        <family val="3"/>
      </rPr>
      <t>/LaLitterature et le Mal</t>
    </r>
    <rPh sb="0" eb="2">
      <t>ブンガク</t>
    </rPh>
    <rPh sb="3" eb="4">
      <t>アク</t>
    </rPh>
    <phoneticPr fontId="1"/>
  </si>
  <si>
    <r>
      <rPr>
        <sz val="11"/>
        <rFont val="游ゴシック Medium"/>
        <family val="3"/>
        <charset val="128"/>
      </rPr>
      <t>水野谷とおる</t>
    </r>
    <rPh sb="0" eb="3">
      <t>ミズノヤ</t>
    </rPh>
    <phoneticPr fontId="1"/>
  </si>
  <si>
    <r>
      <rPr>
        <sz val="11"/>
        <rFont val="游ゴシック Medium"/>
        <family val="3"/>
        <charset val="128"/>
      </rPr>
      <t>峰岸</t>
    </r>
    <r>
      <rPr>
        <sz val="11"/>
        <rFont val="Consolas"/>
        <family val="3"/>
      </rPr>
      <t xml:space="preserve"> </t>
    </r>
    <r>
      <rPr>
        <sz val="11"/>
        <rFont val="游ゴシック Medium"/>
        <family val="3"/>
        <charset val="128"/>
      </rPr>
      <t>久</t>
    </r>
    <rPh sb="0" eb="2">
      <t>ミネギシ</t>
    </rPh>
    <rPh sb="3" eb="4">
      <t>ヒサシ</t>
    </rPh>
    <phoneticPr fontId="1"/>
  </si>
  <si>
    <r>
      <rPr>
        <sz val="11"/>
        <rFont val="游ゴシック Medium"/>
        <family val="3"/>
        <charset val="128"/>
      </rPr>
      <t>沈んだ世界</t>
    </r>
    <r>
      <rPr>
        <sz val="11"/>
        <rFont val="Consolas"/>
        <family val="3"/>
      </rPr>
      <t>/The Drowned World</t>
    </r>
    <rPh sb="0" eb="1">
      <t>シズ</t>
    </rPh>
    <rPh sb="3" eb="5">
      <t>セカイ</t>
    </rPh>
    <phoneticPr fontId="1"/>
  </si>
  <si>
    <r>
      <rPr>
        <sz val="11"/>
        <rFont val="游ゴシック Medium"/>
        <family val="3"/>
        <charset val="128"/>
      </rPr>
      <t>永遠へのパスボート</t>
    </r>
    <r>
      <rPr>
        <sz val="11"/>
        <rFont val="Consolas"/>
        <family val="3"/>
      </rPr>
      <t>/Passport to Eternity</t>
    </r>
    <rPh sb="0" eb="2">
      <t>エイエン</t>
    </rPh>
    <phoneticPr fontId="1"/>
  </si>
  <si>
    <r>
      <rPr>
        <sz val="11"/>
        <rFont val="游ゴシック Medium"/>
        <family val="3"/>
        <charset val="128"/>
      </rPr>
      <t>燃える世界</t>
    </r>
    <r>
      <rPr>
        <sz val="11"/>
        <rFont val="Consolas"/>
        <family val="3"/>
      </rPr>
      <t>/The Burning World</t>
    </r>
    <rPh sb="0" eb="1">
      <t>モ</t>
    </rPh>
    <rPh sb="3" eb="5">
      <t>セカイ</t>
    </rPh>
    <phoneticPr fontId="1"/>
  </si>
  <si>
    <r>
      <rPr>
        <sz val="11"/>
        <rFont val="游ゴシック Medium"/>
        <family val="3"/>
        <charset val="128"/>
      </rPr>
      <t>結晶世界</t>
    </r>
    <r>
      <rPr>
        <sz val="11"/>
        <rFont val="Consolas"/>
        <family val="3"/>
      </rPr>
      <t>/The Crystal World</t>
    </r>
    <rPh sb="0" eb="2">
      <t>ケッショウ</t>
    </rPh>
    <rPh sb="2" eb="4">
      <t>セカイ</t>
    </rPh>
    <phoneticPr fontId="1"/>
  </si>
  <si>
    <r>
      <rPr>
        <sz val="11"/>
        <rFont val="游ゴシック Medium"/>
        <family val="3"/>
        <charset val="128"/>
      </rPr>
      <t>村上博基</t>
    </r>
    <rPh sb="0" eb="2">
      <t>ムラカミ</t>
    </rPh>
    <rPh sb="2" eb="4">
      <t>ヒロキ</t>
    </rPh>
    <phoneticPr fontId="1"/>
  </si>
  <si>
    <r>
      <rPr>
        <sz val="11"/>
        <rFont val="游ゴシック Medium"/>
        <family val="3"/>
        <charset val="128"/>
      </rPr>
      <t>増田まもる</t>
    </r>
    <rPh sb="0" eb="2">
      <t>マスダ</t>
    </rPh>
    <phoneticPr fontId="1"/>
  </si>
  <si>
    <r>
      <rPr>
        <sz val="11"/>
        <rFont val="游ゴシック Medium"/>
        <family val="3"/>
        <charset val="128"/>
      </rPr>
      <t>夢幻会社</t>
    </r>
    <r>
      <rPr>
        <sz val="11"/>
        <rFont val="Consolas"/>
        <family val="3"/>
      </rPr>
      <t>/The Unlimited Dream Company</t>
    </r>
    <rPh sb="0" eb="2">
      <t>ムゲン</t>
    </rPh>
    <rPh sb="2" eb="4">
      <t>ガイシャ</t>
    </rPh>
    <phoneticPr fontId="1"/>
  </si>
  <si>
    <r>
      <rPr>
        <sz val="11"/>
        <rFont val="游ゴシック Medium"/>
        <family val="3"/>
        <charset val="128"/>
      </rPr>
      <t>星</t>
    </r>
    <r>
      <rPr>
        <sz val="11"/>
        <rFont val="Consolas"/>
        <family val="3"/>
      </rPr>
      <t xml:space="preserve"> </t>
    </r>
    <r>
      <rPr>
        <sz val="11"/>
        <rFont val="游ゴシック Medium"/>
        <family val="3"/>
        <charset val="128"/>
      </rPr>
      <t>新蔵</t>
    </r>
    <rPh sb="0" eb="1">
      <t>ホシ</t>
    </rPh>
    <rPh sb="2" eb="4">
      <t>シンゾウ</t>
    </rPh>
    <phoneticPr fontId="1"/>
  </si>
  <si>
    <r>
      <rPr>
        <sz val="8"/>
        <rFont val="游ゴシック Medium"/>
        <family val="3"/>
        <charset val="128"/>
      </rPr>
      <t>ザ･ベスト･オブ･</t>
    </r>
    <r>
      <rPr>
        <sz val="11"/>
        <rFont val="游ゴシック Medium"/>
        <family val="3"/>
        <charset val="128"/>
      </rPr>
      <t>バラード</t>
    </r>
    <r>
      <rPr>
        <sz val="11"/>
        <rFont val="Consolas"/>
        <family val="3"/>
      </rPr>
      <t>/The Best Science Fiction of J.G.Ballard</t>
    </r>
    <phoneticPr fontId="1"/>
  </si>
  <si>
    <r>
      <t xml:space="preserve">1985/11/15 </t>
    </r>
    <r>
      <rPr>
        <sz val="11"/>
        <rFont val="游ゴシック Medium"/>
        <family val="3"/>
        <charset val="128"/>
      </rPr>
      <t>サンリオ</t>
    </r>
    <phoneticPr fontId="1"/>
  </si>
  <si>
    <r>
      <rPr>
        <sz val="11"/>
        <rFont val="游ゴシック Medium"/>
        <family val="3"/>
        <charset val="128"/>
      </rPr>
      <t>奇跡の大河</t>
    </r>
    <r>
      <rPr>
        <sz val="11"/>
        <rFont val="Consolas"/>
        <family val="3"/>
      </rPr>
      <t>/The Day of Creation</t>
    </r>
    <rPh sb="0" eb="2">
      <t>キセキ</t>
    </rPh>
    <rPh sb="3" eb="5">
      <t>タイガ</t>
    </rPh>
    <phoneticPr fontId="1"/>
  </si>
  <si>
    <r>
      <rPr>
        <sz val="11"/>
        <rFont val="游ゴシック Medium"/>
        <family val="3"/>
        <charset val="128"/>
      </rPr>
      <t>古書うさぎや</t>
    </r>
    <r>
      <rPr>
        <sz val="11"/>
        <rFont val="Consolas"/>
        <family val="3"/>
      </rPr>
      <t>/</t>
    </r>
    <r>
      <rPr>
        <sz val="11"/>
        <rFont val="游ゴシック Medium"/>
        <family val="3"/>
        <charset val="128"/>
      </rPr>
      <t>郵送料込</t>
    </r>
    <rPh sb="0" eb="2">
      <t>コショ</t>
    </rPh>
    <rPh sb="7" eb="10">
      <t>ユウソウリョウ</t>
    </rPh>
    <rPh sb="10" eb="11">
      <t>コミ</t>
    </rPh>
    <phoneticPr fontId="1"/>
  </si>
  <si>
    <r>
      <rPr>
        <sz val="11"/>
        <rFont val="游ゴシック Medium"/>
        <family val="3"/>
        <charset val="128"/>
      </rPr>
      <t>飯田隆昭</t>
    </r>
    <r>
      <rPr>
        <sz val="11"/>
        <rFont val="Consolas"/>
        <family val="3"/>
      </rPr>
      <t>/</t>
    </r>
    <r>
      <rPr>
        <sz val="11"/>
        <rFont val="游ゴシック Medium"/>
        <family val="3"/>
        <charset val="128"/>
      </rPr>
      <t>筒井康隆</t>
    </r>
    <rPh sb="0" eb="2">
      <t>イイダ</t>
    </rPh>
    <rPh sb="2" eb="4">
      <t>タカアキ</t>
    </rPh>
    <rPh sb="5" eb="7">
      <t>ツツイ</t>
    </rPh>
    <rPh sb="7" eb="9">
      <t>ヤスタカ</t>
    </rPh>
    <phoneticPr fontId="1"/>
  </si>
  <si>
    <r>
      <rPr>
        <sz val="11"/>
        <rFont val="游ゴシック Medium"/>
        <family val="3"/>
        <charset val="128"/>
      </rPr>
      <t>第三次世界大戦秘史</t>
    </r>
    <r>
      <rPr>
        <sz val="11"/>
        <rFont val="Consolas"/>
        <family val="3"/>
      </rPr>
      <t>/War Fever</t>
    </r>
    <rPh sb="0" eb="3">
      <t>ダイサンジ</t>
    </rPh>
    <rPh sb="3" eb="7">
      <t>セカイタイセン</t>
    </rPh>
    <rPh sb="7" eb="9">
      <t>ヒシ</t>
    </rPh>
    <phoneticPr fontId="1"/>
  </si>
  <si>
    <r>
      <rPr>
        <sz val="11"/>
        <rFont val="游ゴシック Medium"/>
        <family val="3"/>
        <charset val="128"/>
      </rPr>
      <t>福武文庫</t>
    </r>
    <r>
      <rPr>
        <sz val="11"/>
        <rFont val="Consolas"/>
        <family val="3"/>
      </rPr>
      <t>/Benesse</t>
    </r>
    <rPh sb="0" eb="4">
      <t>フクタケブンコ</t>
    </rPh>
    <rPh sb="5" eb="12">
      <t>ベネッセ</t>
    </rPh>
    <phoneticPr fontId="1"/>
  </si>
  <si>
    <r>
      <rPr>
        <sz val="11"/>
        <rFont val="游ゴシック Medium"/>
        <family val="3"/>
        <charset val="128"/>
      </rPr>
      <t>岩本正恵</t>
    </r>
    <rPh sb="0" eb="2">
      <t>イワモト</t>
    </rPh>
    <rPh sb="2" eb="4">
      <t>マサエ</t>
    </rPh>
    <phoneticPr fontId="1"/>
  </si>
  <si>
    <r>
      <rPr>
        <sz val="11"/>
        <rFont val="游ゴシック Medium"/>
        <family val="3"/>
        <charset val="128"/>
      </rPr>
      <t>蛯原徳夫</t>
    </r>
    <rPh sb="0" eb="2">
      <t>エビハラ</t>
    </rPh>
    <rPh sb="2" eb="4">
      <t>ノリオ</t>
    </rPh>
    <phoneticPr fontId="1"/>
  </si>
  <si>
    <r>
      <rPr>
        <sz val="11"/>
        <rFont val="游ゴシック Medium"/>
        <family val="3"/>
        <charset val="128"/>
      </rPr>
      <t>前川道介</t>
    </r>
    <rPh sb="0" eb="2">
      <t>マエカワ</t>
    </rPh>
    <rPh sb="2" eb="4">
      <t>ミチスケ</t>
    </rPh>
    <phoneticPr fontId="1"/>
  </si>
  <si>
    <r>
      <rPr>
        <sz val="11"/>
        <rFont val="游ゴシック Medium"/>
        <family val="3"/>
        <charset val="128"/>
      </rPr>
      <t>厚木</t>
    </r>
    <r>
      <rPr>
        <sz val="11"/>
        <rFont val="Consolas"/>
        <family val="3"/>
      </rPr>
      <t xml:space="preserve"> </t>
    </r>
    <r>
      <rPr>
        <sz val="11"/>
        <rFont val="游ゴシック Medium"/>
        <family val="3"/>
        <charset val="128"/>
      </rPr>
      <t>淳</t>
    </r>
    <rPh sb="0" eb="2">
      <t>アツギ</t>
    </rPh>
    <rPh sb="3" eb="4">
      <t>ジュン</t>
    </rPh>
    <phoneticPr fontId="1"/>
  </si>
  <si>
    <r>
      <rPr>
        <sz val="11"/>
        <rFont val="游ゴシック Medium"/>
        <family val="3"/>
        <charset val="128"/>
      </rPr>
      <t>失われた大陸</t>
    </r>
    <r>
      <rPr>
        <sz val="11"/>
        <rFont val="Consolas"/>
        <family val="3"/>
      </rPr>
      <t>/The Lost Continent:Beyond Thirty</t>
    </r>
    <rPh sb="0" eb="1">
      <t>ウシナ</t>
    </rPh>
    <rPh sb="4" eb="6">
      <t>タイリク</t>
    </rPh>
    <phoneticPr fontId="1"/>
  </si>
  <si>
    <r>
      <rPr>
        <sz val="11"/>
        <rFont val="游ゴシック Medium"/>
        <family val="3"/>
        <charset val="128"/>
      </rPr>
      <t>滝田文彦</t>
    </r>
    <rPh sb="0" eb="2">
      <t>タキタ</t>
    </rPh>
    <rPh sb="2" eb="4">
      <t>フミヒコ</t>
    </rPh>
    <phoneticPr fontId="1"/>
  </si>
  <si>
    <r>
      <rPr>
        <sz val="11"/>
        <rFont val="游ゴシック Medium"/>
        <family val="3"/>
        <charset val="128"/>
      </rPr>
      <t>心臓抜き</t>
    </r>
    <r>
      <rPr>
        <sz val="11"/>
        <rFont val="Consolas"/>
        <family val="3"/>
      </rPr>
      <t>/L'Arrache-Coeur</t>
    </r>
    <rPh sb="0" eb="2">
      <t>シンゾウ</t>
    </rPh>
    <rPh sb="2" eb="3">
      <t>ヌ</t>
    </rPh>
    <phoneticPr fontId="1"/>
  </si>
  <si>
    <r>
      <t>1953/1970</t>
    </r>
    <r>
      <rPr>
        <sz val="11"/>
        <rFont val="游ゴシック Medium"/>
        <family val="3"/>
        <charset val="128"/>
      </rPr>
      <t>白水社</t>
    </r>
    <r>
      <rPr>
        <sz val="11"/>
        <rFont val="Consolas"/>
        <family val="3"/>
      </rPr>
      <t>,1970</t>
    </r>
    <r>
      <rPr>
        <sz val="11"/>
        <rFont val="游ゴシック Medium"/>
        <family val="3"/>
        <charset val="128"/>
      </rPr>
      <t>早川書房単行本</t>
    </r>
    <r>
      <rPr>
        <sz val="11"/>
        <rFont val="Consolas"/>
        <family val="3"/>
      </rPr>
      <t>,2001</t>
    </r>
    <rPh sb="9" eb="12">
      <t>ハクスイシャ</t>
    </rPh>
    <rPh sb="17" eb="21">
      <t>ハヤカワショボウ</t>
    </rPh>
    <rPh sb="21" eb="24">
      <t>タンコウボン</t>
    </rPh>
    <phoneticPr fontId="1"/>
  </si>
  <si>
    <r>
      <rPr>
        <sz val="11"/>
        <rFont val="游ゴシック Medium"/>
        <family val="3"/>
        <charset val="128"/>
      </rPr>
      <t>ハヤカワ</t>
    </r>
    <r>
      <rPr>
        <sz val="11"/>
        <rFont val="Consolas"/>
        <family val="3"/>
      </rPr>
      <t>epi</t>
    </r>
    <r>
      <rPr>
        <sz val="11"/>
        <rFont val="游ゴシック Medium"/>
        <family val="3"/>
        <charset val="128"/>
      </rPr>
      <t>文庫</t>
    </r>
    <r>
      <rPr>
        <sz val="11"/>
        <rFont val="Consolas"/>
        <family val="3"/>
      </rPr>
      <t>/</t>
    </r>
    <r>
      <rPr>
        <sz val="11"/>
        <rFont val="游ゴシック Medium"/>
        <family val="3"/>
        <charset val="128"/>
      </rPr>
      <t>早川書房</t>
    </r>
    <rPh sb="7" eb="9">
      <t>ブンコ</t>
    </rPh>
    <rPh sb="10" eb="14">
      <t>ハヤカワショボウ</t>
    </rPh>
    <phoneticPr fontId="1"/>
  </si>
  <si>
    <r>
      <rPr>
        <sz val="11"/>
        <rFont val="游ゴシック Medium"/>
        <family val="3"/>
        <charset val="128"/>
      </rPr>
      <t>新宿</t>
    </r>
    <r>
      <rPr>
        <sz val="11"/>
        <rFont val="Consolas"/>
        <family val="3"/>
      </rPr>
      <t>Lumine'/</t>
    </r>
    <r>
      <rPr>
        <sz val="11"/>
        <rFont val="游ゴシック Medium"/>
        <family val="3"/>
        <charset val="128"/>
      </rPr>
      <t>青山</t>
    </r>
    <r>
      <rPr>
        <sz val="11"/>
        <rFont val="Consolas"/>
        <family val="3"/>
      </rPr>
      <t>Book Center</t>
    </r>
    <rPh sb="0" eb="2">
      <t>シンジュク</t>
    </rPh>
    <rPh sb="2" eb="9">
      <t>ルミネ</t>
    </rPh>
    <rPh sb="10" eb="12">
      <t>アオヤマ</t>
    </rPh>
    <rPh sb="12" eb="23">
      <t>ブック　センター</t>
    </rPh>
    <phoneticPr fontId="1"/>
  </si>
  <si>
    <r>
      <rPr>
        <sz val="11"/>
        <rFont val="游ゴシック Medium"/>
        <family val="3"/>
        <charset val="128"/>
      </rPr>
      <t>小川</t>
    </r>
    <r>
      <rPr>
        <sz val="11"/>
        <rFont val="Consolas"/>
        <family val="3"/>
      </rPr>
      <t xml:space="preserve"> </t>
    </r>
    <r>
      <rPr>
        <sz val="11"/>
        <rFont val="游ゴシック Medium"/>
        <family val="3"/>
        <charset val="128"/>
      </rPr>
      <t>隆</t>
    </r>
    <rPh sb="0" eb="2">
      <t>オガワ</t>
    </rPh>
    <rPh sb="3" eb="4">
      <t>タカシ</t>
    </rPh>
    <phoneticPr fontId="1"/>
  </si>
  <si>
    <r>
      <rPr>
        <sz val="11"/>
        <rFont val="游ゴシック Medium"/>
        <family val="3"/>
        <charset val="128"/>
      </rPr>
      <t>都甲幸治</t>
    </r>
    <rPh sb="0" eb="2">
      <t>トコウ</t>
    </rPh>
    <rPh sb="2" eb="4">
      <t>コウジ</t>
    </rPh>
    <phoneticPr fontId="1"/>
  </si>
  <si>
    <r>
      <t>Factotum/</t>
    </r>
    <r>
      <rPr>
        <sz val="11"/>
        <rFont val="游ゴシック Medium"/>
        <family val="3"/>
        <charset val="128"/>
      </rPr>
      <t>勝手に生きろ</t>
    </r>
    <r>
      <rPr>
        <sz val="11"/>
        <rFont val="Consolas"/>
        <family val="3"/>
      </rPr>
      <t xml:space="preserve"> !</t>
    </r>
    <rPh sb="9" eb="11">
      <t>カッテ</t>
    </rPh>
    <rPh sb="12" eb="13">
      <t>イ</t>
    </rPh>
    <phoneticPr fontId="1"/>
  </si>
  <si>
    <r>
      <rPr>
        <sz val="11"/>
        <rFont val="游ゴシック Medium"/>
        <family val="3"/>
        <charset val="128"/>
      </rPr>
      <t>中川五郎</t>
    </r>
    <rPh sb="0" eb="2">
      <t>ナカガワ</t>
    </rPh>
    <rPh sb="2" eb="4">
      <t>ゴロウ</t>
    </rPh>
    <phoneticPr fontId="1"/>
  </si>
  <si>
    <r>
      <t>Women/</t>
    </r>
    <r>
      <rPr>
        <sz val="11"/>
        <rFont val="游ゴシック Medium"/>
        <family val="3"/>
        <charset val="128"/>
      </rPr>
      <t>詩人と女たち</t>
    </r>
    <rPh sb="6" eb="8">
      <t>シジン</t>
    </rPh>
    <rPh sb="9" eb="10">
      <t>オンナ</t>
    </rPh>
    <phoneticPr fontId="1"/>
  </si>
  <si>
    <r>
      <rPr>
        <sz val="11"/>
        <rFont val="游ゴシック Medium"/>
        <family val="3"/>
        <charset val="128"/>
      </rPr>
      <t>死をポケットに入れて</t>
    </r>
    <rPh sb="0" eb="1">
      <t>シ</t>
    </rPh>
    <rPh sb="7" eb="8">
      <t>イ</t>
    </rPh>
    <phoneticPr fontId="1"/>
  </si>
  <si>
    <r>
      <rPr>
        <sz val="11"/>
        <rFont val="游ゴシック Medium"/>
        <family val="3"/>
        <charset val="128"/>
      </rPr>
      <t>窪田般彌</t>
    </r>
    <rPh sb="0" eb="2">
      <t>クボタ</t>
    </rPh>
    <rPh sb="2" eb="4">
      <t>ハンヤ</t>
    </rPh>
    <phoneticPr fontId="1"/>
  </si>
  <si>
    <r>
      <rPr>
        <sz val="11"/>
        <rFont val="游ゴシック Medium"/>
        <family val="3"/>
        <charset val="128"/>
      </rPr>
      <t>楽しみと日々</t>
    </r>
    <r>
      <rPr>
        <sz val="11"/>
        <rFont val="Consolas"/>
        <family val="3"/>
      </rPr>
      <t>/Les Plaisirs et les Jours</t>
    </r>
    <rPh sb="0" eb="1">
      <t>タノ</t>
    </rPh>
    <rPh sb="4" eb="6">
      <t>ヒビ</t>
    </rPh>
    <phoneticPr fontId="1"/>
  </si>
  <si>
    <r>
      <rPr>
        <sz val="11"/>
        <rFont val="游ゴシック Medium"/>
        <family val="3"/>
        <charset val="128"/>
      </rPr>
      <t>プレヴォー</t>
    </r>
    <r>
      <rPr>
        <sz val="11"/>
        <rFont val="Consolas"/>
        <family val="3"/>
      </rPr>
      <t>,</t>
    </r>
    <r>
      <rPr>
        <sz val="11"/>
        <rFont val="游ゴシック Medium"/>
        <family val="3"/>
        <charset val="128"/>
      </rPr>
      <t>アベ</t>
    </r>
    <phoneticPr fontId="1"/>
  </si>
  <si>
    <r>
      <rPr>
        <sz val="11"/>
        <rFont val="游ゴシック Medium"/>
        <family val="3"/>
        <charset val="128"/>
      </rPr>
      <t>青柳瑞穂</t>
    </r>
    <rPh sb="0" eb="2">
      <t>アオヤギ</t>
    </rPh>
    <rPh sb="2" eb="4">
      <t>ミズホ</t>
    </rPh>
    <phoneticPr fontId="1"/>
  </si>
  <si>
    <r>
      <rPr>
        <sz val="11"/>
        <rFont val="游ゴシック Medium"/>
        <family val="3"/>
        <charset val="128"/>
      </rPr>
      <t>植田裕次</t>
    </r>
    <rPh sb="0" eb="2">
      <t>ウエダ</t>
    </rPh>
    <rPh sb="2" eb="4">
      <t>ユウジ</t>
    </rPh>
    <phoneticPr fontId="1"/>
  </si>
  <si>
    <r>
      <rPr>
        <sz val="11"/>
        <rFont val="游ゴシック Medium"/>
        <family val="3"/>
        <charset val="128"/>
      </rPr>
      <t>編訳</t>
    </r>
    <rPh sb="0" eb="1">
      <t>ヘン</t>
    </rPh>
    <rPh sb="1" eb="2">
      <t>ヤク</t>
    </rPh>
    <phoneticPr fontId="1"/>
  </si>
  <si>
    <r>
      <t>Paris</t>
    </r>
    <r>
      <rPr>
        <sz val="11"/>
        <rFont val="游ゴシック Medium"/>
        <family val="3"/>
        <charset val="128"/>
      </rPr>
      <t>の夜</t>
    </r>
    <r>
      <rPr>
        <sz val="11"/>
        <rFont val="Consolas"/>
        <family val="3"/>
      </rPr>
      <t xml:space="preserve"> </t>
    </r>
    <r>
      <rPr>
        <sz val="11"/>
        <rFont val="游ゴシック Medium"/>
        <family val="3"/>
        <charset val="128"/>
      </rPr>
      <t>革命下の民衆</t>
    </r>
    <r>
      <rPr>
        <sz val="11"/>
        <rFont val="Consolas"/>
        <family val="3"/>
      </rPr>
      <t>/Les Nuits de Paris</t>
    </r>
    <rPh sb="0" eb="5">
      <t>パリ</t>
    </rPh>
    <rPh sb="6" eb="7">
      <t>ヨル</t>
    </rPh>
    <rPh sb="8" eb="10">
      <t>カクメイ</t>
    </rPh>
    <rPh sb="10" eb="11">
      <t>カ</t>
    </rPh>
    <rPh sb="12" eb="14">
      <t>ミンシュウ</t>
    </rPh>
    <rPh sb="28" eb="33">
      <t>パリ</t>
    </rPh>
    <phoneticPr fontId="1"/>
  </si>
  <si>
    <r>
      <t>Jane Eyre|</t>
    </r>
    <r>
      <rPr>
        <sz val="11"/>
        <rFont val="游ゴシック Medium"/>
        <family val="3"/>
        <charset val="128"/>
      </rPr>
      <t>ジェイン・エア</t>
    </r>
    <rPh sb="0" eb="9">
      <t>ジェーン・エア</t>
    </rPh>
    <phoneticPr fontId="1"/>
  </si>
  <si>
    <r>
      <rPr>
        <sz val="11"/>
        <rFont val="游ゴシック Medium"/>
        <family val="3"/>
        <charset val="128"/>
      </rPr>
      <t>秋山六郎兵衛</t>
    </r>
    <rPh sb="0" eb="2">
      <t>アキヤマ</t>
    </rPh>
    <rPh sb="2" eb="6">
      <t>ロクロベエ</t>
    </rPh>
    <phoneticPr fontId="1"/>
  </si>
  <si>
    <r>
      <rPr>
        <sz val="11"/>
        <rFont val="游ゴシック Medium"/>
        <family val="3"/>
        <charset val="128"/>
      </rPr>
      <t>車輪の下に</t>
    </r>
    <rPh sb="0" eb="2">
      <t>シャリン</t>
    </rPh>
    <rPh sb="3" eb="4">
      <t>シタ</t>
    </rPh>
    <phoneticPr fontId="1"/>
  </si>
  <si>
    <r>
      <rPr>
        <sz val="11"/>
        <rFont val="游ゴシック Medium"/>
        <family val="3"/>
        <charset val="128"/>
      </rPr>
      <t>デミアン</t>
    </r>
    <phoneticPr fontId="1"/>
  </si>
  <si>
    <r>
      <rPr>
        <sz val="11"/>
        <rFont val="游ゴシック Medium"/>
        <family val="3"/>
        <charset val="128"/>
      </rPr>
      <t>石川</t>
    </r>
    <r>
      <rPr>
        <sz val="11"/>
        <rFont val="Consolas"/>
        <family val="3"/>
      </rPr>
      <t xml:space="preserve"> </t>
    </r>
    <r>
      <rPr>
        <sz val="11"/>
        <rFont val="游ゴシック Medium"/>
        <family val="3"/>
        <charset val="128"/>
      </rPr>
      <t>湧</t>
    </r>
    <rPh sb="0" eb="2">
      <t>イシカワ</t>
    </rPh>
    <rPh sb="3" eb="4">
      <t>ユウ</t>
    </rPh>
    <phoneticPr fontId="1"/>
  </si>
  <si>
    <r>
      <rPr>
        <sz val="11"/>
        <rFont val="游ゴシック Medium"/>
        <family val="3"/>
        <charset val="128"/>
      </rPr>
      <t>地底旅行</t>
    </r>
    <rPh sb="0" eb="2">
      <t>チテイ</t>
    </rPh>
    <rPh sb="2" eb="4">
      <t>リョコウ</t>
    </rPh>
    <phoneticPr fontId="1"/>
  </si>
  <si>
    <r>
      <t>subculture/ancient/</t>
    </r>
    <r>
      <rPr>
        <sz val="11"/>
        <rFont val="游ゴシック Medium"/>
        <family val="3"/>
        <charset val="128"/>
      </rPr>
      <t>文学</t>
    </r>
    <rPh sb="19" eb="21">
      <t>ブンガク</t>
    </rPh>
    <phoneticPr fontId="1"/>
  </si>
  <si>
    <r>
      <rPr>
        <sz val="11"/>
        <rFont val="游ゴシック Medium"/>
        <family val="3"/>
        <charset val="128"/>
      </rPr>
      <t>ペトロニウス</t>
    </r>
    <phoneticPr fontId="1"/>
  </si>
  <si>
    <r>
      <rPr>
        <sz val="11"/>
        <rFont val="游ゴシック Medium"/>
        <family val="3"/>
        <charset val="128"/>
      </rPr>
      <t>国原吉之助</t>
    </r>
    <rPh sb="0" eb="2">
      <t>クニハラ</t>
    </rPh>
    <rPh sb="2" eb="5">
      <t>キチノスケ</t>
    </rPh>
    <phoneticPr fontId="1"/>
  </si>
  <si>
    <r>
      <rPr>
        <sz val="11"/>
        <rFont val="游ゴシック Medium"/>
        <family val="3"/>
        <charset val="128"/>
      </rPr>
      <t>サテュリコン</t>
    </r>
    <r>
      <rPr>
        <sz val="11"/>
        <rFont val="Consolas"/>
        <family val="3"/>
      </rPr>
      <t>/</t>
    </r>
    <r>
      <rPr>
        <sz val="11"/>
        <rFont val="游ゴシック Medium"/>
        <family val="3"/>
        <charset val="128"/>
      </rPr>
      <t>アポコロキュントシス</t>
    </r>
    <r>
      <rPr>
        <sz val="11"/>
        <rFont val="Consolas"/>
        <family val="3"/>
      </rPr>
      <t>:</t>
    </r>
    <r>
      <rPr>
        <sz val="11"/>
        <rFont val="游ゴシック Medium"/>
        <family val="3"/>
        <charset val="128"/>
      </rPr>
      <t>付録</t>
    </r>
    <r>
      <rPr>
        <sz val="11"/>
        <rFont val="Consolas"/>
        <family val="3"/>
      </rPr>
      <t>:Seneca:</t>
    </r>
    <r>
      <rPr>
        <sz val="11"/>
        <rFont val="游ゴシック Medium"/>
        <family val="3"/>
        <charset val="128"/>
      </rPr>
      <t>作</t>
    </r>
    <r>
      <rPr>
        <sz val="11"/>
        <rFont val="Consolas"/>
        <family val="3"/>
      </rPr>
      <t>:</t>
    </r>
    <r>
      <rPr>
        <sz val="11"/>
        <rFont val="游ゴシック Medium"/>
        <family val="3"/>
        <charset val="128"/>
      </rPr>
      <t>─神君クラウディウスのひょうたん化─</t>
    </r>
    <rPh sb="18" eb="20">
      <t>フロク</t>
    </rPh>
    <rPh sb="21" eb="27">
      <t>セネカ</t>
    </rPh>
    <rPh sb="28" eb="29">
      <t>サク</t>
    </rPh>
    <rPh sb="31" eb="33">
      <t>シンクン</t>
    </rPh>
    <rPh sb="46" eb="47">
      <t>カ</t>
    </rPh>
    <phoneticPr fontId="1"/>
  </si>
  <si>
    <r>
      <rPr>
        <sz val="11"/>
        <rFont val="游ゴシック Medium"/>
        <family val="3"/>
        <charset val="128"/>
      </rPr>
      <t>古代</t>
    </r>
    <r>
      <rPr>
        <sz val="11"/>
        <rFont val="Consolas"/>
        <family val="3"/>
      </rPr>
      <t>Rome</t>
    </r>
    <r>
      <rPr>
        <sz val="11"/>
        <rFont val="游ゴシック Medium"/>
        <family val="3"/>
        <charset val="128"/>
      </rPr>
      <t>の風刺小説</t>
    </r>
    <rPh sb="0" eb="2">
      <t>コダイ</t>
    </rPh>
    <rPh sb="2" eb="6">
      <t>ローマ</t>
    </rPh>
    <rPh sb="7" eb="9">
      <t>フウシ</t>
    </rPh>
    <rPh sb="9" eb="11">
      <t>ショウセツ</t>
    </rPh>
    <phoneticPr fontId="1"/>
  </si>
  <si>
    <r>
      <rPr>
        <sz val="11"/>
        <rFont val="游ゴシック Medium"/>
        <family val="3"/>
        <charset val="128"/>
      </rPr>
      <t>阿部知二･</t>
    </r>
    <r>
      <rPr>
        <sz val="11"/>
        <rFont val="Consolas"/>
        <family val="3"/>
      </rPr>
      <t>etc.</t>
    </r>
    <rPh sb="0" eb="2">
      <t>アベ</t>
    </rPh>
    <rPh sb="2" eb="4">
      <t>トモジ</t>
    </rPh>
    <phoneticPr fontId="1"/>
  </si>
  <si>
    <r>
      <t>Poe</t>
    </r>
    <r>
      <rPr>
        <sz val="11"/>
        <rFont val="游ゴシック Medium"/>
        <family val="3"/>
        <charset val="128"/>
      </rPr>
      <t>小説全集</t>
    </r>
    <r>
      <rPr>
        <sz val="11"/>
        <rFont val="Consolas"/>
        <family val="3"/>
      </rPr>
      <t>1/The Complete Tales of Edgar Allan…</t>
    </r>
    <rPh sb="0" eb="3">
      <t>ポオ</t>
    </rPh>
    <rPh sb="3" eb="5">
      <t>ショウセツ</t>
    </rPh>
    <rPh sb="5" eb="7">
      <t>ゼンシュウ</t>
    </rPh>
    <rPh sb="9" eb="12">
      <t>ザ</t>
    </rPh>
    <rPh sb="13" eb="21">
      <t>コンプリート</t>
    </rPh>
    <rPh sb="22" eb="27">
      <t>テイルズ</t>
    </rPh>
    <rPh sb="28" eb="30">
      <t>オブ</t>
    </rPh>
    <rPh sb="31" eb="42">
      <t>エドガー　アラン</t>
    </rPh>
    <phoneticPr fontId="1"/>
  </si>
  <si>
    <r>
      <rPr>
        <sz val="11"/>
        <rFont val="游ゴシック Medium"/>
        <family val="3"/>
        <charset val="128"/>
      </rPr>
      <t>池内</t>
    </r>
    <r>
      <rPr>
        <sz val="11"/>
        <rFont val="Consolas"/>
        <family val="3"/>
      </rPr>
      <t xml:space="preserve"> </t>
    </r>
    <r>
      <rPr>
        <sz val="11"/>
        <rFont val="游ゴシック Medium"/>
        <family val="3"/>
        <charset val="128"/>
      </rPr>
      <t>紀</t>
    </r>
    <rPh sb="0" eb="2">
      <t>イケウチ</t>
    </rPh>
    <rPh sb="3" eb="4">
      <t>ノリ</t>
    </rPh>
    <phoneticPr fontId="1"/>
  </si>
  <si>
    <r>
      <t>Hoffmann</t>
    </r>
    <r>
      <rPr>
        <sz val="11"/>
        <rFont val="游ゴシック Medium"/>
        <family val="3"/>
        <charset val="128"/>
      </rPr>
      <t>短編集</t>
    </r>
    <rPh sb="0" eb="8">
      <t>ホフマン</t>
    </rPh>
    <rPh sb="8" eb="10">
      <t>タンペン</t>
    </rPh>
    <rPh sb="10" eb="11">
      <t>シュウ</t>
    </rPh>
    <phoneticPr fontId="1"/>
  </si>
  <si>
    <r>
      <rPr>
        <sz val="11"/>
        <rFont val="游ゴシック Medium"/>
        <family val="3"/>
        <charset val="128"/>
      </rPr>
      <t>神品芳夫</t>
    </r>
    <rPh sb="0" eb="2">
      <t>コウシナ</t>
    </rPh>
    <rPh sb="2" eb="4">
      <t>ヨシオ</t>
    </rPh>
    <phoneticPr fontId="1"/>
  </si>
  <si>
    <r>
      <rPr>
        <sz val="11"/>
        <rFont val="游ゴシック Medium"/>
        <family val="3"/>
        <charset val="128"/>
      </rPr>
      <t>黄金の壷</t>
    </r>
    <r>
      <rPr>
        <sz val="11"/>
        <rFont val="Consolas"/>
        <family val="3"/>
      </rPr>
      <t>/Der Goldne Torf</t>
    </r>
    <rPh sb="0" eb="2">
      <t>オウゴン</t>
    </rPh>
    <rPh sb="3" eb="4">
      <t>ツボ</t>
    </rPh>
    <phoneticPr fontId="1"/>
  </si>
  <si>
    <r>
      <rPr>
        <sz val="11"/>
        <rFont val="游ゴシック Medium"/>
        <family val="3"/>
        <charset val="128"/>
      </rPr>
      <t>秋山六郎兵衛</t>
    </r>
    <rPh sb="0" eb="2">
      <t>アキヤマ</t>
    </rPh>
    <rPh sb="2" eb="6">
      <t>ロクロウベエ</t>
    </rPh>
    <phoneticPr fontId="1"/>
  </si>
  <si>
    <r>
      <rPr>
        <sz val="11"/>
        <rFont val="游ゴシック Medium"/>
        <family val="3"/>
        <charset val="128"/>
      </rPr>
      <t>牡猫ムルの人生観</t>
    </r>
    <rPh sb="0" eb="1">
      <t>オス</t>
    </rPh>
    <rPh sb="1" eb="2">
      <t>ネコ</t>
    </rPh>
    <rPh sb="5" eb="8">
      <t>ジンセイカン</t>
    </rPh>
    <phoneticPr fontId="1"/>
  </si>
  <si>
    <r>
      <rPr>
        <sz val="11"/>
        <rFont val="游ゴシック Medium"/>
        <family val="3"/>
        <charset val="128"/>
      </rPr>
      <t>深田</t>
    </r>
    <r>
      <rPr>
        <sz val="11"/>
        <rFont val="Consolas"/>
        <family val="3"/>
      </rPr>
      <t xml:space="preserve"> </t>
    </r>
    <r>
      <rPr>
        <sz val="11"/>
        <rFont val="游ゴシック Medium"/>
        <family val="3"/>
        <charset val="128"/>
      </rPr>
      <t>甫</t>
    </r>
    <rPh sb="0" eb="2">
      <t>フカダ</t>
    </rPh>
    <rPh sb="3" eb="4">
      <t>ハジメ</t>
    </rPh>
    <phoneticPr fontId="1"/>
  </si>
  <si>
    <r>
      <rPr>
        <sz val="11"/>
        <rFont val="游ゴシック Medium"/>
        <family val="3"/>
        <charset val="128"/>
      </rPr>
      <t>悪魔の霊酒</t>
    </r>
    <r>
      <rPr>
        <sz val="11"/>
        <rFont val="Consolas"/>
        <family val="3"/>
      </rPr>
      <t>/Die Elixiere des Teufels</t>
    </r>
    <rPh sb="0" eb="2">
      <t>アクマ</t>
    </rPh>
    <rPh sb="3" eb="4">
      <t>レイ</t>
    </rPh>
    <rPh sb="4" eb="5">
      <t>シュ</t>
    </rPh>
    <phoneticPr fontId="1"/>
  </si>
  <si>
    <r>
      <rPr>
        <sz val="11"/>
        <rFont val="游ゴシック Medium"/>
        <family val="3"/>
        <charset val="128"/>
      </rPr>
      <t>藤井かよ</t>
    </r>
    <rPh sb="0" eb="2">
      <t>フジイ</t>
    </rPh>
    <phoneticPr fontId="1"/>
  </si>
  <si>
    <r>
      <t>Nine &amp; a Half Weeks</t>
    </r>
    <r>
      <rPr>
        <sz val="11"/>
        <rFont val="游ゴシック Medium"/>
        <family val="3"/>
        <charset val="128"/>
      </rPr>
      <t>─</t>
    </r>
    <r>
      <rPr>
        <sz val="11"/>
        <rFont val="Consolas"/>
        <family val="3"/>
      </rPr>
      <t>A Memoir of a Love Affair</t>
    </r>
    <r>
      <rPr>
        <sz val="11"/>
        <rFont val="游ゴシック Medium"/>
        <family val="3"/>
        <charset val="128"/>
      </rPr>
      <t>─</t>
    </r>
    <rPh sb="0" eb="19">
      <t>ナインハーフ</t>
    </rPh>
    <phoneticPr fontId="1"/>
  </si>
  <si>
    <r>
      <rPr>
        <sz val="11"/>
        <rFont val="游ゴシック Medium"/>
        <family val="3"/>
        <charset val="128"/>
      </rPr>
      <t>盗聴された情事</t>
    </r>
    <r>
      <rPr>
        <sz val="11"/>
        <rFont val="Consolas"/>
        <family val="3"/>
      </rPr>
      <t>/Criminal Conversation</t>
    </r>
    <rPh sb="0" eb="2">
      <t>トウチョウ</t>
    </rPh>
    <rPh sb="5" eb="7">
      <t>ジョウジ</t>
    </rPh>
    <phoneticPr fontId="1"/>
  </si>
  <si>
    <r>
      <rPr>
        <sz val="11"/>
        <rFont val="游ゴシック Medium"/>
        <family val="3"/>
        <charset val="128"/>
      </rPr>
      <t>野中邦子</t>
    </r>
    <rPh sb="0" eb="2">
      <t>ノナカ</t>
    </rPh>
    <rPh sb="2" eb="4">
      <t>クニコ</t>
    </rPh>
    <phoneticPr fontId="1"/>
  </si>
  <si>
    <r>
      <rPr>
        <sz val="11"/>
        <rFont val="游ゴシック Medium"/>
        <family val="3"/>
        <charset val="128"/>
      </rPr>
      <t>性転換</t>
    </r>
    <r>
      <rPr>
        <sz val="8"/>
        <rFont val="Consolas"/>
        <family val="3"/>
      </rPr>
      <t xml:space="preserve"> 53</t>
    </r>
    <r>
      <rPr>
        <sz val="8"/>
        <rFont val="游ゴシック Medium"/>
        <family val="3"/>
        <charset val="128"/>
      </rPr>
      <t>歳で女性になった大学教授</t>
    </r>
    <r>
      <rPr>
        <sz val="11"/>
        <rFont val="Consolas"/>
        <family val="3"/>
      </rPr>
      <t>/crossing : a Memoir</t>
    </r>
    <rPh sb="0" eb="3">
      <t>セイテンカン</t>
    </rPh>
    <rPh sb="6" eb="7">
      <t>サイ</t>
    </rPh>
    <rPh sb="8" eb="10">
      <t>ジョセイ</t>
    </rPh>
    <rPh sb="14" eb="16">
      <t>ダイガク</t>
    </rPh>
    <rPh sb="16" eb="18">
      <t>キョウジュ</t>
    </rPh>
    <phoneticPr fontId="1"/>
  </si>
  <si>
    <r>
      <rPr>
        <sz val="11"/>
        <rFont val="游ゴシック Medium"/>
        <family val="3"/>
        <charset val="128"/>
      </rPr>
      <t>加藤祥造</t>
    </r>
    <rPh sb="0" eb="2">
      <t>カトウ</t>
    </rPh>
    <rPh sb="2" eb="4">
      <t>ショウゾウ</t>
    </rPh>
    <phoneticPr fontId="1"/>
  </si>
  <si>
    <r>
      <t>Malamud</t>
    </r>
    <r>
      <rPr>
        <sz val="11"/>
        <rFont val="游ゴシック Medium"/>
        <family val="3"/>
        <charset val="128"/>
      </rPr>
      <t>短編集</t>
    </r>
    <r>
      <rPr>
        <sz val="11"/>
        <rFont val="Consolas"/>
        <family val="3"/>
      </rPr>
      <t>/The Msgic Barrel</t>
    </r>
    <rPh sb="0" eb="7">
      <t>マララッド</t>
    </rPh>
    <rPh sb="7" eb="9">
      <t>タンペン</t>
    </rPh>
    <rPh sb="9" eb="10">
      <t>シュウ</t>
    </rPh>
    <phoneticPr fontId="1"/>
  </si>
  <si>
    <r>
      <rPr>
        <sz val="11"/>
        <rFont val="游ゴシック Medium"/>
        <family val="3"/>
        <charset val="128"/>
      </rPr>
      <t>桑名一博</t>
    </r>
    <r>
      <rPr>
        <sz val="11"/>
        <rFont val="Consolas"/>
        <family val="3"/>
      </rPr>
      <t>/</t>
    </r>
    <r>
      <rPr>
        <sz val="11"/>
        <rFont val="游ゴシック Medium"/>
        <family val="3"/>
        <charset val="128"/>
      </rPr>
      <t>安藤哲行</t>
    </r>
    <r>
      <rPr>
        <sz val="11"/>
        <rFont val="Consolas"/>
        <family val="3"/>
      </rPr>
      <t>/</t>
    </r>
    <r>
      <rPr>
        <sz val="11"/>
        <rFont val="游ゴシック Medium"/>
        <family val="3"/>
        <charset val="128"/>
      </rPr>
      <t>内田吉彦</t>
    </r>
    <rPh sb="0" eb="2">
      <t>クワナ</t>
    </rPh>
    <rPh sb="2" eb="4">
      <t>カズヒロ</t>
    </rPh>
    <rPh sb="5" eb="7">
      <t>アンドウ</t>
    </rPh>
    <rPh sb="7" eb="9">
      <t>テツユキ</t>
    </rPh>
    <rPh sb="10" eb="12">
      <t>ウチダ</t>
    </rPh>
    <rPh sb="12" eb="14">
      <t>ヨシヒコ</t>
    </rPh>
    <phoneticPr fontId="1"/>
  </si>
  <si>
    <r>
      <t>Mama Grande</t>
    </r>
    <r>
      <rPr>
        <sz val="11"/>
        <rFont val="游ゴシック Medium"/>
        <family val="3"/>
        <charset val="128"/>
      </rPr>
      <t>の葬儀</t>
    </r>
    <r>
      <rPr>
        <sz val="11"/>
        <rFont val="Consolas"/>
        <family val="3"/>
      </rPr>
      <t>/Los Funerales de la Mama Grande</t>
    </r>
    <rPh sb="0" eb="11">
      <t>ママ・グランデ</t>
    </rPh>
    <rPh sb="12" eb="14">
      <t>ソウギ</t>
    </rPh>
    <phoneticPr fontId="1"/>
  </si>
  <si>
    <r>
      <rPr>
        <sz val="11"/>
        <rFont val="游ゴシック Medium"/>
        <family val="3"/>
        <charset val="128"/>
      </rPr>
      <t>鼓直</t>
    </r>
    <r>
      <rPr>
        <sz val="11"/>
        <rFont val="Consolas"/>
        <family val="3"/>
      </rPr>
      <t>/</t>
    </r>
    <r>
      <rPr>
        <sz val="11"/>
        <rFont val="游ゴシック Medium"/>
        <family val="3"/>
        <charset val="128"/>
      </rPr>
      <t>木村榮一</t>
    </r>
    <rPh sb="0" eb="1">
      <t>ツヅミ</t>
    </rPh>
    <rPh sb="1" eb="2">
      <t>ナオ</t>
    </rPh>
    <rPh sb="3" eb="5">
      <t>キムラ</t>
    </rPh>
    <rPh sb="5" eb="7">
      <t>エイイチ</t>
    </rPh>
    <phoneticPr fontId="1"/>
  </si>
  <si>
    <r>
      <rPr>
        <sz val="11"/>
        <rFont val="游ゴシック Medium"/>
        <family val="3"/>
        <charset val="128"/>
      </rPr>
      <t>サンリオ文庫</t>
    </r>
    <r>
      <rPr>
        <sz val="11"/>
        <rFont val="Consolas"/>
        <family val="3"/>
      </rPr>
      <t>/</t>
    </r>
    <r>
      <rPr>
        <sz val="11"/>
        <rFont val="游ゴシック Medium"/>
        <family val="3"/>
        <charset val="128"/>
      </rPr>
      <t>サンリオ</t>
    </r>
    <rPh sb="4" eb="6">
      <t>ブンコ</t>
    </rPh>
    <phoneticPr fontId="1"/>
  </si>
  <si>
    <r>
      <rPr>
        <sz val="11"/>
        <rFont val="游ゴシック Medium"/>
        <family val="3"/>
        <charset val="128"/>
      </rPr>
      <t>ミルトン</t>
    </r>
    <r>
      <rPr>
        <sz val="11"/>
        <rFont val="Consolas"/>
        <family val="3"/>
      </rPr>
      <t>,John</t>
    </r>
    <rPh sb="5" eb="9">
      <t>ジョン</t>
    </rPh>
    <phoneticPr fontId="1"/>
  </si>
  <si>
    <r>
      <rPr>
        <sz val="11"/>
        <rFont val="游ゴシック Medium"/>
        <family val="3"/>
        <charset val="128"/>
      </rPr>
      <t>失楽園</t>
    </r>
    <r>
      <rPr>
        <sz val="11"/>
        <rFont val="Consolas"/>
        <family val="3"/>
      </rPr>
      <t>/Paradise Lost</t>
    </r>
    <rPh sb="0" eb="3">
      <t>シツラクエン</t>
    </rPh>
    <phoneticPr fontId="1"/>
  </si>
  <si>
    <r>
      <rPr>
        <sz val="11"/>
        <rFont val="游ゴシック Medium"/>
        <family val="3"/>
        <charset val="128"/>
      </rPr>
      <t>河盛好蔵</t>
    </r>
    <r>
      <rPr>
        <sz val="11"/>
        <rFont val="Consolas"/>
        <family val="3"/>
      </rPr>
      <t>/</t>
    </r>
    <r>
      <rPr>
        <sz val="11"/>
        <rFont val="游ゴシック Medium"/>
        <family val="3"/>
        <charset val="128"/>
      </rPr>
      <t>脇</t>
    </r>
    <r>
      <rPr>
        <sz val="11"/>
        <rFont val="Consolas"/>
        <family val="3"/>
      </rPr>
      <t xml:space="preserve"> </t>
    </r>
    <r>
      <rPr>
        <sz val="11"/>
        <rFont val="游ゴシック Medium"/>
        <family val="3"/>
        <charset val="128"/>
      </rPr>
      <t>功</t>
    </r>
    <rPh sb="0" eb="2">
      <t>カワモリ</t>
    </rPh>
    <rPh sb="2" eb="4">
      <t>ヨシゾウ</t>
    </rPh>
    <rPh sb="5" eb="6">
      <t>ワキ</t>
    </rPh>
    <rPh sb="7" eb="8">
      <t>イサオ</t>
    </rPh>
    <phoneticPr fontId="1"/>
  </si>
  <si>
    <r>
      <rPr>
        <sz val="11"/>
        <rFont val="游ゴシック Medium"/>
        <family val="3"/>
        <charset val="128"/>
      </rPr>
      <t>倦怠</t>
    </r>
    <r>
      <rPr>
        <sz val="11"/>
        <rFont val="Consolas"/>
        <family val="3"/>
      </rPr>
      <t>/La Noia</t>
    </r>
    <rPh sb="0" eb="2">
      <t>ケンタイ</t>
    </rPh>
    <phoneticPr fontId="1"/>
  </si>
  <si>
    <r>
      <rPr>
        <sz val="11"/>
        <rFont val="游ゴシック Medium"/>
        <family val="3"/>
        <charset val="128"/>
      </rPr>
      <t>田辺貞之助</t>
    </r>
    <rPh sb="0" eb="2">
      <t>タナベ</t>
    </rPh>
    <rPh sb="2" eb="5">
      <t>テイノスケ</t>
    </rPh>
    <phoneticPr fontId="1"/>
  </si>
  <si>
    <r>
      <rPr>
        <sz val="11"/>
        <rFont val="游ゴシック Medium"/>
        <family val="3"/>
        <charset val="128"/>
      </rPr>
      <t>彼方</t>
    </r>
    <r>
      <rPr>
        <sz val="11"/>
        <rFont val="Consolas"/>
        <family val="3"/>
      </rPr>
      <t>/La-bas</t>
    </r>
    <rPh sb="0" eb="2">
      <t>カナタ</t>
    </rPh>
    <phoneticPr fontId="1"/>
  </si>
  <si>
    <r>
      <rPr>
        <sz val="11"/>
        <rFont val="游ゴシック Medium"/>
        <family val="3"/>
        <charset val="128"/>
      </rPr>
      <t>山下諭一</t>
    </r>
    <r>
      <rPr>
        <sz val="11"/>
        <rFont val="Consolas"/>
        <family val="3"/>
      </rPr>
      <t>/</t>
    </r>
    <r>
      <rPr>
        <sz val="11"/>
        <rFont val="游ゴシック Medium"/>
        <family val="3"/>
        <charset val="128"/>
      </rPr>
      <t>深町真理子</t>
    </r>
    <r>
      <rPr>
        <sz val="11"/>
        <rFont val="Consolas"/>
        <family val="3"/>
      </rPr>
      <t>/</t>
    </r>
    <r>
      <rPr>
        <sz val="11"/>
        <rFont val="游ゴシック Medium"/>
        <family val="3"/>
        <charset val="128"/>
      </rPr>
      <t>他</t>
    </r>
    <rPh sb="0" eb="2">
      <t>ヤマシタ</t>
    </rPh>
    <rPh sb="2" eb="4">
      <t>ユイチ</t>
    </rPh>
    <rPh sb="5" eb="7">
      <t>フカマチ</t>
    </rPh>
    <rPh sb="7" eb="10">
      <t>マリコ</t>
    </rPh>
    <rPh sb="11" eb="12">
      <t>ホカ</t>
    </rPh>
    <phoneticPr fontId="1"/>
  </si>
  <si>
    <r>
      <rPr>
        <sz val="11"/>
        <rFont val="游ゴシック Medium"/>
        <family val="3"/>
        <charset val="128"/>
      </rPr>
      <t>バケツ一杯の空気</t>
    </r>
    <r>
      <rPr>
        <sz val="11"/>
        <rFont val="Consolas"/>
        <family val="3"/>
      </rPr>
      <t>/A Pale of Air</t>
    </r>
    <rPh sb="3" eb="5">
      <t>イッパイ</t>
    </rPh>
    <rPh sb="6" eb="8">
      <t>クウキ</t>
    </rPh>
    <phoneticPr fontId="1"/>
  </si>
  <si>
    <r>
      <rPr>
        <sz val="11"/>
        <rFont val="游ゴシック Medium"/>
        <family val="3"/>
        <charset val="128"/>
      </rPr>
      <t>サンリオ</t>
    </r>
    <r>
      <rPr>
        <sz val="11"/>
        <rFont val="Consolas"/>
        <family val="3"/>
      </rPr>
      <t>SF</t>
    </r>
    <r>
      <rPr>
        <sz val="11"/>
        <rFont val="游ゴシック Medium"/>
        <family val="3"/>
        <charset val="128"/>
      </rPr>
      <t>文庫</t>
    </r>
    <r>
      <rPr>
        <sz val="11"/>
        <rFont val="Consolas"/>
        <family val="3"/>
      </rPr>
      <t>/</t>
    </r>
    <r>
      <rPr>
        <sz val="11"/>
        <rFont val="游ゴシック Medium"/>
        <family val="3"/>
        <charset val="128"/>
      </rPr>
      <t>サンリオ</t>
    </r>
    <rPh sb="6" eb="8">
      <t>ブンコ</t>
    </rPh>
    <phoneticPr fontId="1"/>
  </si>
  <si>
    <r>
      <rPr>
        <sz val="11"/>
        <rFont val="游ゴシック Medium"/>
        <family val="3"/>
        <charset val="128"/>
      </rPr>
      <t>斎藤伯好</t>
    </r>
    <rPh sb="0" eb="2">
      <t>サイトウ</t>
    </rPh>
    <rPh sb="2" eb="4">
      <t>ハクコウ</t>
    </rPh>
    <phoneticPr fontId="1"/>
  </si>
  <si>
    <r>
      <rPr>
        <sz val="11"/>
        <rFont val="游ゴシック Medium"/>
        <family val="3"/>
        <charset val="128"/>
      </rPr>
      <t>魔性の森</t>
    </r>
    <r>
      <rPr>
        <sz val="11"/>
        <rFont val="Consolas"/>
        <family val="3"/>
      </rPr>
      <t>/The Eighth Square</t>
    </r>
    <rPh sb="0" eb="2">
      <t>マショウ</t>
    </rPh>
    <rPh sb="3" eb="4">
      <t>モリ</t>
    </rPh>
    <phoneticPr fontId="1"/>
  </si>
  <si>
    <r>
      <rPr>
        <sz val="11"/>
        <rFont val="游ゴシック Medium"/>
        <family val="3"/>
        <charset val="128"/>
      </rPr>
      <t>中桐雅夫</t>
    </r>
    <rPh sb="0" eb="2">
      <t>ナカギリ</t>
    </rPh>
    <rPh sb="2" eb="4">
      <t>マサオ</t>
    </rPh>
    <phoneticPr fontId="1"/>
  </si>
  <si>
    <r>
      <rPr>
        <sz val="11"/>
        <rFont val="游ゴシック Medium"/>
        <family val="3"/>
        <charset val="128"/>
      </rPr>
      <t>水玉模様の夏</t>
    </r>
    <r>
      <rPr>
        <sz val="11"/>
        <rFont val="Consolas"/>
        <family val="3"/>
      </rPr>
      <t>/Brilliant Kids</t>
    </r>
    <rPh sb="0" eb="4">
      <t>ミズタマモヨウ</t>
    </rPh>
    <rPh sb="5" eb="6">
      <t>ナツ</t>
    </rPh>
    <phoneticPr fontId="1"/>
  </si>
  <si>
    <r>
      <rPr>
        <sz val="11"/>
        <rFont val="游ゴシック Medium"/>
        <family val="3"/>
        <charset val="128"/>
      </rPr>
      <t>宇野利泰</t>
    </r>
    <rPh sb="0" eb="2">
      <t>ウノ</t>
    </rPh>
    <rPh sb="2" eb="4">
      <t>トシヤス</t>
    </rPh>
    <phoneticPr fontId="1"/>
  </si>
  <si>
    <r>
      <rPr>
        <sz val="11"/>
        <rFont val="游ゴシック Medium"/>
        <family val="3"/>
        <charset val="128"/>
      </rPr>
      <t>華氏四五一度</t>
    </r>
    <r>
      <rPr>
        <sz val="11"/>
        <rFont val="Consolas"/>
        <family val="3"/>
      </rPr>
      <t>/Fahrenheit 451</t>
    </r>
    <rPh sb="0" eb="2">
      <t>カシ</t>
    </rPh>
    <rPh sb="2" eb="6">
      <t>ヨンヒャクゴジュウイチド</t>
    </rPh>
    <phoneticPr fontId="1"/>
  </si>
  <si>
    <r>
      <rPr>
        <sz val="11"/>
        <rFont val="游ゴシック Medium"/>
        <family val="3"/>
        <charset val="128"/>
      </rPr>
      <t>伊藤典夫</t>
    </r>
    <rPh sb="0" eb="2">
      <t>イトウ</t>
    </rPh>
    <rPh sb="2" eb="4">
      <t>ノリオ</t>
    </rPh>
    <phoneticPr fontId="1"/>
  </si>
  <si>
    <r>
      <rPr>
        <sz val="11"/>
        <rFont val="游ゴシック Medium"/>
        <family val="3"/>
        <charset val="128"/>
      </rPr>
      <t>黒い</t>
    </r>
    <r>
      <rPr>
        <sz val="11"/>
        <rFont val="Consolas"/>
        <family val="3"/>
      </rPr>
      <t>Carnival</t>
    </r>
    <rPh sb="0" eb="1">
      <t>クロ</t>
    </rPh>
    <rPh sb="2" eb="10">
      <t>カーニヴァル</t>
    </rPh>
    <phoneticPr fontId="1"/>
  </si>
  <si>
    <r>
      <rPr>
        <sz val="11"/>
        <rFont val="游ゴシック Medium"/>
        <family val="3"/>
        <charset val="128"/>
      </rPr>
      <t>何かが道をやってくる</t>
    </r>
    <r>
      <rPr>
        <sz val="11"/>
        <rFont val="Consolas"/>
        <family val="3"/>
      </rPr>
      <t>/Something Wicked This Way Comes</t>
    </r>
    <rPh sb="0" eb="1">
      <t>ナニ</t>
    </rPh>
    <rPh sb="3" eb="4">
      <t>ミチ</t>
    </rPh>
    <phoneticPr fontId="1"/>
  </si>
  <si>
    <r>
      <rPr>
        <sz val="11"/>
        <rFont val="游ゴシック Medium"/>
        <family val="3"/>
        <charset val="128"/>
      </rPr>
      <t>大西尹明</t>
    </r>
    <rPh sb="0" eb="2">
      <t>オオニシ</t>
    </rPh>
    <rPh sb="2" eb="4">
      <t>タダアキ</t>
    </rPh>
    <phoneticPr fontId="1"/>
  </si>
  <si>
    <r>
      <rPr>
        <sz val="11"/>
        <rFont val="游ゴシック Medium"/>
        <family val="3"/>
        <charset val="128"/>
      </rPr>
      <t>インスマウスの影</t>
    </r>
    <r>
      <rPr>
        <sz val="11"/>
        <rFont val="Consolas"/>
        <family val="3"/>
      </rPr>
      <t>/The Shadow Over Innsmouth</t>
    </r>
    <rPh sb="7" eb="8">
      <t>カゲ</t>
    </rPh>
    <rPh sb="9" eb="12">
      <t>ザ</t>
    </rPh>
    <rPh sb="13" eb="19">
      <t>シャドウ</t>
    </rPh>
    <rPh sb="20" eb="24">
      <t>オーヴァー</t>
    </rPh>
    <rPh sb="25" eb="34">
      <t>インスマウス</t>
    </rPh>
    <phoneticPr fontId="1"/>
  </si>
  <si>
    <r>
      <rPr>
        <sz val="11"/>
        <rFont val="游ゴシック Medium"/>
        <family val="3"/>
        <charset val="128"/>
      </rPr>
      <t>壁のなかの鼠</t>
    </r>
    <r>
      <rPr>
        <sz val="11"/>
        <rFont val="Consolas"/>
        <family val="3"/>
      </rPr>
      <t>/The Rate in the Walls</t>
    </r>
    <rPh sb="0" eb="1">
      <t>カベ</t>
    </rPh>
    <rPh sb="5" eb="6">
      <t>ネズミ</t>
    </rPh>
    <rPh sb="7" eb="10">
      <t>ザ</t>
    </rPh>
    <rPh sb="16" eb="18">
      <t>イン</t>
    </rPh>
    <rPh sb="19" eb="22">
      <t>ジ</t>
    </rPh>
    <rPh sb="23" eb="28">
      <t>ウォールズ</t>
    </rPh>
    <phoneticPr fontId="1"/>
  </si>
  <si>
    <r>
      <rPr>
        <sz val="11"/>
        <rFont val="游ゴシック Medium"/>
        <family val="3"/>
        <charset val="128"/>
      </rPr>
      <t>死体安置所にて</t>
    </r>
    <r>
      <rPr>
        <sz val="11"/>
        <rFont val="Consolas"/>
        <family val="3"/>
      </rPr>
      <t>/In the Vault</t>
    </r>
    <rPh sb="0" eb="2">
      <t>シタイ</t>
    </rPh>
    <rPh sb="2" eb="4">
      <t>アンチ</t>
    </rPh>
    <rPh sb="4" eb="5">
      <t>ショ</t>
    </rPh>
    <rPh sb="8" eb="10">
      <t>イン</t>
    </rPh>
    <rPh sb="11" eb="14">
      <t>ザ</t>
    </rPh>
    <phoneticPr fontId="1"/>
  </si>
  <si>
    <r>
      <rPr>
        <sz val="11"/>
        <rFont val="游ゴシック Medium"/>
        <family val="3"/>
        <charset val="128"/>
      </rPr>
      <t>闇に囁くもの</t>
    </r>
    <r>
      <rPr>
        <sz val="11"/>
        <rFont val="Consolas"/>
        <family val="3"/>
      </rPr>
      <t>/The Whisperer in Darkness</t>
    </r>
    <rPh sb="0" eb="1">
      <t>ヤミ</t>
    </rPh>
    <rPh sb="2" eb="3">
      <t>ササヤ</t>
    </rPh>
    <rPh sb="7" eb="10">
      <t>ザ</t>
    </rPh>
    <rPh sb="21" eb="23">
      <t>イン</t>
    </rPh>
    <rPh sb="24" eb="28">
      <t>ダーク</t>
    </rPh>
    <rPh sb="28" eb="32">
      <t>ネス</t>
    </rPh>
    <phoneticPr fontId="1"/>
  </si>
  <si>
    <r>
      <rPr>
        <sz val="11"/>
        <rFont val="游ゴシック Medium"/>
        <family val="3"/>
        <charset val="128"/>
      </rPr>
      <t>クトゥルフの呼び声</t>
    </r>
    <r>
      <rPr>
        <sz val="11"/>
        <rFont val="Consolas"/>
        <family val="3"/>
      </rPr>
      <t>/The Call of Cthulhu</t>
    </r>
    <rPh sb="6" eb="7">
      <t>ヨ</t>
    </rPh>
    <rPh sb="8" eb="9">
      <t>ゴエ</t>
    </rPh>
    <rPh sb="10" eb="13">
      <t>ザ</t>
    </rPh>
    <rPh sb="14" eb="18">
      <t>コール</t>
    </rPh>
    <rPh sb="19" eb="21">
      <t>オブ</t>
    </rPh>
    <rPh sb="22" eb="29">
      <t>クトゥルフ</t>
    </rPh>
    <phoneticPr fontId="1"/>
  </si>
  <si>
    <r>
      <rPr>
        <b/>
        <sz val="11"/>
        <color indexed="33"/>
        <rFont val="游ゴシック Medium"/>
        <family val="3"/>
        <charset val="128"/>
      </rPr>
      <t>エーリッヒ･ツァンの音楽</t>
    </r>
    <r>
      <rPr>
        <sz val="11"/>
        <rFont val="Consolas"/>
        <family val="3"/>
      </rPr>
      <t>/The Music of Erich Zann</t>
    </r>
    <rPh sb="10" eb="12">
      <t>オンガク</t>
    </rPh>
    <rPh sb="13" eb="16">
      <t>ザ</t>
    </rPh>
    <rPh sb="17" eb="22">
      <t>ミュージック</t>
    </rPh>
    <rPh sb="23" eb="25">
      <t>オブ</t>
    </rPh>
    <rPh sb="26" eb="31">
      <t>エーリッヒ</t>
    </rPh>
    <rPh sb="32" eb="36">
      <t>ツァン</t>
    </rPh>
    <phoneticPr fontId="1"/>
  </si>
  <si>
    <r>
      <rPr>
        <sz val="11"/>
        <rFont val="游ゴシック Medium"/>
        <family val="3"/>
        <charset val="128"/>
      </rPr>
      <t>チャールズ･ウォードの奇怪な事件</t>
    </r>
    <r>
      <rPr>
        <sz val="11"/>
        <rFont val="Consolas"/>
        <family val="3"/>
      </rPr>
      <t>/The Case of Charles Dexter Ward</t>
    </r>
    <rPh sb="11" eb="13">
      <t>キカイ</t>
    </rPh>
    <rPh sb="14" eb="16">
      <t>ジケン</t>
    </rPh>
    <rPh sb="17" eb="20">
      <t>ザ</t>
    </rPh>
    <rPh sb="21" eb="25">
      <t>ケース</t>
    </rPh>
    <rPh sb="26" eb="28">
      <t>オブ</t>
    </rPh>
    <rPh sb="29" eb="36">
      <t>チャールズ</t>
    </rPh>
    <rPh sb="44" eb="48">
      <t>ウォード</t>
    </rPh>
    <phoneticPr fontId="1"/>
  </si>
  <si>
    <r>
      <rPr>
        <sz val="11"/>
        <rFont val="游ゴシック Medium"/>
        <family val="3"/>
        <charset val="128"/>
      </rPr>
      <t>大瀧啓裕</t>
    </r>
    <rPh sb="0" eb="2">
      <t>オオタキ</t>
    </rPh>
    <rPh sb="2" eb="4">
      <t>ケイスケ</t>
    </rPh>
    <phoneticPr fontId="1"/>
  </si>
  <si>
    <r>
      <rPr>
        <sz val="11"/>
        <rFont val="游ゴシック Medium"/>
        <family val="3"/>
        <charset val="128"/>
      </rPr>
      <t>家のなかの絵</t>
    </r>
    <r>
      <rPr>
        <sz val="11"/>
        <rFont val="Consolas"/>
        <family val="3"/>
      </rPr>
      <t>/The Picture in the House</t>
    </r>
    <rPh sb="0" eb="1">
      <t>イエ</t>
    </rPh>
    <rPh sb="5" eb="6">
      <t>エ</t>
    </rPh>
    <rPh sb="7" eb="10">
      <t>ザ</t>
    </rPh>
    <rPh sb="11" eb="18">
      <t>ピクチャー</t>
    </rPh>
    <rPh sb="19" eb="21">
      <t>イン</t>
    </rPh>
    <rPh sb="22" eb="25">
      <t>ザ</t>
    </rPh>
    <rPh sb="26" eb="31">
      <t>ハウス</t>
    </rPh>
    <phoneticPr fontId="1"/>
  </si>
  <si>
    <r>
      <rPr>
        <sz val="11"/>
        <rFont val="游ゴシック Medium"/>
        <family val="3"/>
        <charset val="128"/>
      </rPr>
      <t>無名都市</t>
    </r>
    <r>
      <rPr>
        <sz val="11"/>
        <rFont val="Consolas"/>
        <family val="3"/>
      </rPr>
      <t>/The Nameless City</t>
    </r>
    <rPh sb="0" eb="2">
      <t>ムメイ</t>
    </rPh>
    <rPh sb="2" eb="4">
      <t>トシ</t>
    </rPh>
    <rPh sb="5" eb="8">
      <t>ザ</t>
    </rPh>
    <rPh sb="9" eb="13">
      <t>ネーム</t>
    </rPh>
    <rPh sb="13" eb="17">
      <t>レス</t>
    </rPh>
    <rPh sb="18" eb="22">
      <t>シティ</t>
    </rPh>
    <phoneticPr fontId="1"/>
  </si>
  <si>
    <r>
      <rPr>
        <sz val="11"/>
        <rFont val="游ゴシック Medium"/>
        <family val="3"/>
        <charset val="128"/>
      </rPr>
      <t>潜み住む恐怖</t>
    </r>
    <r>
      <rPr>
        <sz val="11"/>
        <rFont val="Consolas"/>
        <family val="3"/>
      </rPr>
      <t>/The Lurking Fear</t>
    </r>
    <rPh sb="0" eb="1">
      <t>ヒソ</t>
    </rPh>
    <rPh sb="2" eb="3">
      <t>ス</t>
    </rPh>
    <rPh sb="4" eb="6">
      <t>キョウフ</t>
    </rPh>
    <rPh sb="7" eb="10">
      <t>ザ</t>
    </rPh>
    <phoneticPr fontId="1"/>
  </si>
  <si>
    <r>
      <rPr>
        <sz val="11"/>
        <rFont val="游ゴシック Medium"/>
        <family val="3"/>
        <charset val="128"/>
      </rPr>
      <t>アウトサイダー</t>
    </r>
    <r>
      <rPr>
        <sz val="11"/>
        <rFont val="Consolas"/>
        <family val="3"/>
      </rPr>
      <t>/The Outsider</t>
    </r>
    <rPh sb="8" eb="11">
      <t>ジ</t>
    </rPh>
    <rPh sb="12" eb="20">
      <t>アウトサイダー</t>
    </rPh>
    <phoneticPr fontId="1"/>
  </si>
  <si>
    <r>
      <rPr>
        <sz val="11"/>
        <rFont val="游ゴシック Medium"/>
        <family val="3"/>
        <charset val="128"/>
      </rPr>
      <t>戸口にあらわれたもの</t>
    </r>
    <r>
      <rPr>
        <sz val="11"/>
        <rFont val="Consolas"/>
        <family val="3"/>
      </rPr>
      <t>/The Thing on the Doorstep</t>
    </r>
    <rPh sb="0" eb="2">
      <t>トグチ</t>
    </rPh>
    <rPh sb="11" eb="14">
      <t>ザ</t>
    </rPh>
    <rPh sb="21" eb="23">
      <t>オン</t>
    </rPh>
    <rPh sb="24" eb="27">
      <t>ザ</t>
    </rPh>
    <rPh sb="28" eb="32">
      <t>ドア</t>
    </rPh>
    <rPh sb="32" eb="36">
      <t>ステップ</t>
    </rPh>
    <phoneticPr fontId="1"/>
  </si>
  <si>
    <r>
      <rPr>
        <sz val="11"/>
        <rFont val="游ゴシック Medium"/>
        <family val="3"/>
        <charset val="128"/>
      </rPr>
      <t>闇をさまようもの</t>
    </r>
    <r>
      <rPr>
        <sz val="11"/>
        <rFont val="Consolas"/>
        <family val="3"/>
      </rPr>
      <t>/The Haunter of the Dark</t>
    </r>
    <rPh sb="0" eb="1">
      <t>ヤミ</t>
    </rPh>
    <rPh sb="9" eb="12">
      <t>ザ</t>
    </rPh>
    <rPh sb="21" eb="23">
      <t>オブ</t>
    </rPh>
    <rPh sb="24" eb="27">
      <t>ザ</t>
    </rPh>
    <rPh sb="28" eb="32">
      <t>ダーク</t>
    </rPh>
    <phoneticPr fontId="1"/>
  </si>
  <si>
    <r>
      <rPr>
        <sz val="11"/>
        <rFont val="游ゴシック Medium"/>
        <family val="3"/>
        <charset val="128"/>
      </rPr>
      <t>時間からの影</t>
    </r>
    <r>
      <rPr>
        <sz val="11"/>
        <rFont val="Consolas"/>
        <family val="3"/>
      </rPr>
      <t>/The Shadow out of Time</t>
    </r>
    <rPh sb="0" eb="2">
      <t>ジカン</t>
    </rPh>
    <rPh sb="5" eb="6">
      <t>カゲ</t>
    </rPh>
    <rPh sb="7" eb="10">
      <t>ザ</t>
    </rPh>
    <rPh sb="11" eb="17">
      <t>シャドウ</t>
    </rPh>
    <rPh sb="18" eb="24">
      <t>アウト　オブ</t>
    </rPh>
    <rPh sb="25" eb="29">
      <t>タイム</t>
    </rPh>
    <phoneticPr fontId="1"/>
  </si>
  <si>
    <r>
      <rPr>
        <sz val="11"/>
        <rFont val="游ゴシック Medium"/>
        <family val="3"/>
        <charset val="128"/>
      </rPr>
      <t>資料</t>
    </r>
    <r>
      <rPr>
        <sz val="11"/>
        <rFont val="Consolas"/>
        <family val="3"/>
      </rPr>
      <t>:</t>
    </r>
    <r>
      <rPr>
        <sz val="11"/>
        <rFont val="游ゴシック Medium"/>
        <family val="3"/>
        <charset val="128"/>
      </rPr>
      <t>履歴書</t>
    </r>
    <rPh sb="0" eb="2">
      <t>シリョウ</t>
    </rPh>
    <rPh sb="3" eb="6">
      <t>リレキショ</t>
    </rPh>
    <phoneticPr fontId="1"/>
  </si>
  <si>
    <r>
      <rPr>
        <b/>
        <sz val="11"/>
        <color indexed="33"/>
        <rFont val="游ゴシック Medium"/>
        <family val="3"/>
        <charset val="128"/>
      </rPr>
      <t>宇宙からの色</t>
    </r>
    <r>
      <rPr>
        <sz val="11"/>
        <rFont val="Consolas"/>
        <family val="3"/>
      </rPr>
      <t>/The Colour out of Space</t>
    </r>
    <rPh sb="0" eb="2">
      <t>ウチュウ</t>
    </rPh>
    <rPh sb="5" eb="6">
      <t>イロ</t>
    </rPh>
    <rPh sb="7" eb="10">
      <t>ザ</t>
    </rPh>
    <rPh sb="11" eb="17">
      <t>カラー</t>
    </rPh>
    <rPh sb="18" eb="21">
      <t>アウト</t>
    </rPh>
    <rPh sb="22" eb="24">
      <t>オブ</t>
    </rPh>
    <rPh sb="25" eb="30">
      <t>スペース</t>
    </rPh>
    <phoneticPr fontId="1"/>
  </si>
  <si>
    <r>
      <rPr>
        <sz val="11"/>
        <rFont val="游ゴシック Medium"/>
        <family val="3"/>
        <charset val="128"/>
      </rPr>
      <t>眠りの壁の彼方</t>
    </r>
    <r>
      <rPr>
        <sz val="11"/>
        <rFont val="Consolas"/>
        <family val="3"/>
      </rPr>
      <t>/Beyond the Wall of Sleep</t>
    </r>
    <rPh sb="0" eb="1">
      <t>ネム</t>
    </rPh>
    <rPh sb="3" eb="4">
      <t>カベ</t>
    </rPh>
    <rPh sb="5" eb="7">
      <t>カナタ</t>
    </rPh>
    <rPh sb="8" eb="14">
      <t>ビヨンド</t>
    </rPh>
    <rPh sb="15" eb="18">
      <t>ザ</t>
    </rPh>
    <rPh sb="19" eb="23">
      <t>ウォール</t>
    </rPh>
    <rPh sb="24" eb="26">
      <t>オブ</t>
    </rPh>
    <rPh sb="27" eb="32">
      <t>スリープ</t>
    </rPh>
    <phoneticPr fontId="1"/>
  </si>
  <si>
    <r>
      <rPr>
        <sz val="11"/>
        <rFont val="游ゴシック Medium"/>
        <family val="3"/>
        <charset val="128"/>
      </rPr>
      <t>故アーサー･ジャーミンとその家系に関する事実</t>
    </r>
    <r>
      <rPr>
        <sz val="11"/>
        <rFont val="Consolas"/>
        <family val="3"/>
      </rPr>
      <t>/Facts Concerning the Late Arthur Jermyn and His Family</t>
    </r>
    <rPh sb="0" eb="1">
      <t>コ</t>
    </rPh>
    <rPh sb="14" eb="16">
      <t>カケイ</t>
    </rPh>
    <rPh sb="17" eb="18">
      <t>カン</t>
    </rPh>
    <rPh sb="20" eb="22">
      <t>ジジツ</t>
    </rPh>
    <rPh sb="23" eb="28">
      <t>ファクツ</t>
    </rPh>
    <rPh sb="29" eb="39">
      <t>コンサーニング</t>
    </rPh>
    <rPh sb="40" eb="43">
      <t>ザ</t>
    </rPh>
    <rPh sb="44" eb="48">
      <t>レイト</t>
    </rPh>
    <rPh sb="49" eb="55">
      <t>アーサー</t>
    </rPh>
    <rPh sb="56" eb="62">
      <t>ジャーミン</t>
    </rPh>
    <rPh sb="63" eb="66">
      <t>アンド</t>
    </rPh>
    <rPh sb="67" eb="70">
      <t>ヒズ</t>
    </rPh>
    <rPh sb="71" eb="77">
      <t>ファミリー</t>
    </rPh>
    <phoneticPr fontId="1"/>
  </si>
  <si>
    <r>
      <rPr>
        <b/>
        <sz val="11"/>
        <color indexed="33"/>
        <rFont val="游ゴシック Medium"/>
        <family val="3"/>
        <charset val="128"/>
      </rPr>
      <t>冷気</t>
    </r>
    <r>
      <rPr>
        <sz val="11"/>
        <rFont val="Consolas"/>
        <family val="3"/>
      </rPr>
      <t>/Cool Air</t>
    </r>
    <rPh sb="0" eb="2">
      <t>レイキ</t>
    </rPh>
    <rPh sb="3" eb="7">
      <t>クール</t>
    </rPh>
    <rPh sb="8" eb="11">
      <t>エア</t>
    </rPh>
    <phoneticPr fontId="1"/>
  </si>
  <si>
    <r>
      <rPr>
        <sz val="11"/>
        <rFont val="游ゴシック Medium"/>
        <family val="3"/>
        <charset val="128"/>
      </rPr>
      <t>彼方より</t>
    </r>
    <r>
      <rPr>
        <sz val="11"/>
        <rFont val="Consolas"/>
        <family val="3"/>
      </rPr>
      <t>/From Beyond</t>
    </r>
    <rPh sb="0" eb="2">
      <t>カナタ</t>
    </rPh>
    <rPh sb="5" eb="9">
      <t>フロム</t>
    </rPh>
    <rPh sb="10" eb="16">
      <t>ビヨンド</t>
    </rPh>
    <phoneticPr fontId="1"/>
  </si>
  <si>
    <r>
      <rPr>
        <sz val="11"/>
        <rFont val="游ゴシック Medium"/>
        <family val="3"/>
        <charset val="128"/>
      </rPr>
      <t>ピックマンのモデル</t>
    </r>
    <r>
      <rPr>
        <sz val="11"/>
        <rFont val="Consolas"/>
        <family val="3"/>
      </rPr>
      <t>/Pickman's Model</t>
    </r>
    <rPh sb="10" eb="14">
      <t>ピック</t>
    </rPh>
    <rPh sb="14" eb="17">
      <t>マン</t>
    </rPh>
    <rPh sb="17" eb="19">
      <t>ズ</t>
    </rPh>
    <rPh sb="20" eb="25">
      <t>モデル</t>
    </rPh>
    <phoneticPr fontId="1"/>
  </si>
  <si>
    <r>
      <rPr>
        <sz val="11"/>
        <rFont val="游ゴシック Medium"/>
        <family val="3"/>
        <charset val="128"/>
      </rPr>
      <t>狂気の山脈にて</t>
    </r>
    <r>
      <rPr>
        <sz val="11"/>
        <rFont val="Consolas"/>
        <family val="3"/>
      </rPr>
      <t>/At The Mountains of Madness</t>
    </r>
    <rPh sb="0" eb="2">
      <t>キョウキ</t>
    </rPh>
    <rPh sb="3" eb="5">
      <t>サンミャク</t>
    </rPh>
    <rPh sb="8" eb="10">
      <t>アット</t>
    </rPh>
    <rPh sb="11" eb="14">
      <t>ザ</t>
    </rPh>
    <rPh sb="15" eb="23">
      <t>マウンテン</t>
    </rPh>
    <rPh sb="23" eb="24">
      <t>ズ</t>
    </rPh>
    <rPh sb="25" eb="27">
      <t>オブ</t>
    </rPh>
    <rPh sb="28" eb="31">
      <t>マッド</t>
    </rPh>
    <rPh sb="31" eb="35">
      <t>ネス</t>
    </rPh>
    <phoneticPr fontId="1"/>
  </si>
  <si>
    <r>
      <rPr>
        <sz val="11"/>
        <rFont val="游ゴシック Medium"/>
        <family val="3"/>
        <charset val="128"/>
      </rPr>
      <t>資料</t>
    </r>
    <r>
      <rPr>
        <sz val="11"/>
        <rFont val="Consolas"/>
        <family val="3"/>
      </rPr>
      <t>:</t>
    </r>
    <r>
      <rPr>
        <sz val="11"/>
        <rFont val="游ゴシック Medium"/>
        <family val="3"/>
        <charset val="128"/>
      </rPr>
      <t>怪奇小説の執筆について</t>
    </r>
    <r>
      <rPr>
        <sz val="11"/>
        <rFont val="Consolas"/>
        <family val="3"/>
      </rPr>
      <t>/Notes on Writing Weird Fiction</t>
    </r>
    <rPh sb="0" eb="2">
      <t>シリョウ</t>
    </rPh>
    <rPh sb="3" eb="5">
      <t>カイキ</t>
    </rPh>
    <rPh sb="5" eb="7">
      <t>ショウセツ</t>
    </rPh>
    <rPh sb="8" eb="10">
      <t>シッピツ</t>
    </rPh>
    <rPh sb="15" eb="20">
      <t>ノーツ</t>
    </rPh>
    <rPh sb="21" eb="23">
      <t>オン</t>
    </rPh>
    <rPh sb="24" eb="31">
      <t>ライティング</t>
    </rPh>
    <rPh sb="32" eb="37">
      <t>ウィアード</t>
    </rPh>
    <rPh sb="38" eb="45">
      <t>フィクション</t>
    </rPh>
    <phoneticPr fontId="1"/>
  </si>
  <si>
    <r>
      <rPr>
        <sz val="11"/>
        <rFont val="游ゴシック Medium"/>
        <family val="3"/>
        <charset val="128"/>
      </rPr>
      <t>神殿</t>
    </r>
    <r>
      <rPr>
        <sz val="11"/>
        <rFont val="Consolas"/>
        <family val="3"/>
      </rPr>
      <t>/The Temple</t>
    </r>
    <rPh sb="0" eb="2">
      <t>シンデン</t>
    </rPh>
    <rPh sb="3" eb="6">
      <t>ザ</t>
    </rPh>
    <rPh sb="7" eb="13">
      <t>テンプル</t>
    </rPh>
    <phoneticPr fontId="1"/>
  </si>
  <si>
    <r>
      <rPr>
        <sz val="11"/>
        <rFont val="游ゴシック Medium"/>
        <family val="3"/>
        <charset val="128"/>
      </rPr>
      <t>魔犬</t>
    </r>
    <r>
      <rPr>
        <sz val="11"/>
        <rFont val="Consolas"/>
        <family val="3"/>
      </rPr>
      <t>/The Hound</t>
    </r>
    <rPh sb="0" eb="1">
      <t>マ</t>
    </rPh>
    <rPh sb="1" eb="2">
      <t>ケン</t>
    </rPh>
    <rPh sb="3" eb="6">
      <t>ザ</t>
    </rPh>
    <rPh sb="7" eb="12">
      <t>ハウンド</t>
    </rPh>
    <phoneticPr fontId="1"/>
  </si>
  <si>
    <r>
      <rPr>
        <sz val="11"/>
        <rFont val="游ゴシック Medium"/>
        <family val="3"/>
        <charset val="128"/>
      </rPr>
      <t>魔宴</t>
    </r>
    <r>
      <rPr>
        <sz val="11"/>
        <rFont val="Consolas"/>
        <family val="3"/>
      </rPr>
      <t>/The Festival</t>
    </r>
    <rPh sb="0" eb="1">
      <t>マ</t>
    </rPh>
    <rPh sb="1" eb="2">
      <t>エン</t>
    </rPh>
    <rPh sb="3" eb="6">
      <t>ザ</t>
    </rPh>
    <rPh sb="7" eb="15">
      <t>フェスティヴァル</t>
    </rPh>
    <phoneticPr fontId="1"/>
  </si>
  <si>
    <r>
      <rPr>
        <sz val="11"/>
        <rFont val="游ゴシック Medium"/>
        <family val="3"/>
        <charset val="128"/>
      </rPr>
      <t>死体蘇生者ハーバート･ウェスト</t>
    </r>
    <r>
      <rPr>
        <sz val="11"/>
        <rFont val="Consolas"/>
        <family val="3"/>
      </rPr>
      <t>/Herbert West-Reanimator</t>
    </r>
    <rPh sb="0" eb="2">
      <t>シタイ</t>
    </rPh>
    <rPh sb="2" eb="4">
      <t>ソセイ</t>
    </rPh>
    <rPh sb="4" eb="5">
      <t>シャ</t>
    </rPh>
    <rPh sb="16" eb="23">
      <t>ハーバート</t>
    </rPh>
    <rPh sb="24" eb="28">
      <t>ウェスト</t>
    </rPh>
    <rPh sb="29" eb="31">
      <t>リ</t>
    </rPh>
    <rPh sb="31" eb="39">
      <t>アニメイター</t>
    </rPh>
    <phoneticPr fontId="1"/>
  </si>
  <si>
    <r>
      <rPr>
        <sz val="11"/>
        <rFont val="游ゴシック Medium"/>
        <family val="3"/>
        <charset val="128"/>
      </rPr>
      <t>レッド･フックの恐怖</t>
    </r>
    <r>
      <rPr>
        <sz val="11"/>
        <rFont val="Consolas"/>
        <family val="3"/>
      </rPr>
      <t>/The Horror at Red Hook</t>
    </r>
    <rPh sb="8" eb="10">
      <t>キョウフ</t>
    </rPh>
    <rPh sb="11" eb="14">
      <t>ザ</t>
    </rPh>
    <rPh sb="15" eb="21">
      <t>ホラー</t>
    </rPh>
    <rPh sb="22" eb="24">
      <t>アット</t>
    </rPh>
    <rPh sb="25" eb="28">
      <t>レッド</t>
    </rPh>
    <rPh sb="29" eb="33">
      <t>フック</t>
    </rPh>
    <phoneticPr fontId="1"/>
  </si>
  <si>
    <r>
      <rPr>
        <sz val="11"/>
        <rFont val="游ゴシック Medium"/>
        <family val="3"/>
        <charset val="128"/>
      </rPr>
      <t>魔女の家の夢</t>
    </r>
    <r>
      <rPr>
        <sz val="11"/>
        <rFont val="Consolas"/>
        <family val="3"/>
      </rPr>
      <t>/The Dream in the Witch House</t>
    </r>
    <rPh sb="0" eb="2">
      <t>マジョ</t>
    </rPh>
    <rPh sb="3" eb="4">
      <t>イエ</t>
    </rPh>
    <rPh sb="5" eb="6">
      <t>ユメ</t>
    </rPh>
    <rPh sb="7" eb="10">
      <t>ザ</t>
    </rPh>
    <rPh sb="11" eb="16">
      <t>ドリーム</t>
    </rPh>
    <rPh sb="17" eb="19">
      <t>イン</t>
    </rPh>
    <rPh sb="20" eb="23">
      <t>ジ</t>
    </rPh>
    <rPh sb="24" eb="29">
      <t>ウィッチ</t>
    </rPh>
    <rPh sb="30" eb="35">
      <t>ハウス</t>
    </rPh>
    <phoneticPr fontId="1"/>
  </si>
  <si>
    <r>
      <rPr>
        <sz val="11"/>
        <rFont val="游ゴシック Medium"/>
        <family val="3"/>
        <charset val="128"/>
      </rPr>
      <t>ダニッチの怪</t>
    </r>
    <r>
      <rPr>
        <sz val="11"/>
        <rFont val="Consolas"/>
        <family val="3"/>
      </rPr>
      <t>/The Danwich Horror</t>
    </r>
    <rPh sb="7" eb="10">
      <t>ザ</t>
    </rPh>
    <rPh sb="11" eb="18">
      <t>ダニッチ</t>
    </rPh>
    <rPh sb="19" eb="25">
      <t>ホラー</t>
    </rPh>
    <phoneticPr fontId="1"/>
  </si>
  <si>
    <r>
      <rPr>
        <sz val="11"/>
        <rFont val="游ゴシック Medium"/>
        <family val="3"/>
        <charset val="128"/>
      </rPr>
      <t>資料</t>
    </r>
    <r>
      <rPr>
        <sz val="11"/>
        <rFont val="Consolas"/>
        <family val="3"/>
      </rPr>
      <t>:</t>
    </r>
    <r>
      <rPr>
        <sz val="11"/>
        <rFont val="游ゴシック Medium"/>
        <family val="3"/>
        <charset val="128"/>
      </rPr>
      <t>『ネクロノミコン』の歴史</t>
    </r>
    <r>
      <rPr>
        <sz val="11"/>
        <rFont val="Consolas"/>
        <family val="3"/>
      </rPr>
      <t>/History of Necronomicon</t>
    </r>
    <rPh sb="0" eb="2">
      <t>シリョウ</t>
    </rPh>
    <rPh sb="13" eb="15">
      <t>レキシ</t>
    </rPh>
    <rPh sb="16" eb="23">
      <t>ヒストリー</t>
    </rPh>
    <rPh sb="24" eb="26">
      <t>オブ</t>
    </rPh>
    <rPh sb="27" eb="39">
      <t>ネクロノミコン</t>
    </rPh>
    <phoneticPr fontId="1"/>
  </si>
  <si>
    <r>
      <rPr>
        <sz val="11"/>
        <rFont val="游ゴシック Medium"/>
        <family val="3"/>
        <charset val="128"/>
      </rPr>
      <t>白い帆船</t>
    </r>
    <r>
      <rPr>
        <sz val="11"/>
        <rFont val="Consolas"/>
        <family val="3"/>
      </rPr>
      <t>/The White Ship</t>
    </r>
    <rPh sb="0" eb="1">
      <t>シロ</t>
    </rPh>
    <rPh sb="2" eb="4">
      <t>ハンセン</t>
    </rPh>
    <rPh sb="5" eb="8">
      <t>ザ</t>
    </rPh>
    <rPh sb="9" eb="14">
      <t>ホワイト</t>
    </rPh>
    <rPh sb="15" eb="19">
      <t>シップ</t>
    </rPh>
    <phoneticPr fontId="1"/>
  </si>
  <si>
    <r>
      <rPr>
        <sz val="11"/>
        <rFont val="游ゴシック Medium"/>
        <family val="3"/>
        <charset val="128"/>
      </rPr>
      <t>ウルタールの猫</t>
    </r>
    <r>
      <rPr>
        <sz val="11"/>
        <rFont val="Consolas"/>
        <family val="3"/>
      </rPr>
      <t>/The Cats of Ulthar</t>
    </r>
    <rPh sb="6" eb="7">
      <t>ネコ</t>
    </rPh>
    <rPh sb="8" eb="11">
      <t>ザ</t>
    </rPh>
    <rPh sb="12" eb="16">
      <t>キャッツ</t>
    </rPh>
    <rPh sb="17" eb="19">
      <t>オブ</t>
    </rPh>
    <rPh sb="20" eb="26">
      <t>ウルタール</t>
    </rPh>
    <phoneticPr fontId="1"/>
  </si>
  <si>
    <r>
      <rPr>
        <sz val="11"/>
        <rFont val="游ゴシック Medium"/>
        <family val="3"/>
        <charset val="128"/>
      </rPr>
      <t>蕃神</t>
    </r>
    <r>
      <rPr>
        <sz val="11"/>
        <rFont val="Consolas"/>
        <family val="3"/>
      </rPr>
      <t>/The Other Gods</t>
    </r>
    <rPh sb="0" eb="1">
      <t>バン</t>
    </rPh>
    <rPh sb="1" eb="2">
      <t>シン</t>
    </rPh>
    <rPh sb="3" eb="6">
      <t>ジ</t>
    </rPh>
    <rPh sb="7" eb="12">
      <t>アザー</t>
    </rPh>
    <rPh sb="13" eb="17">
      <t>ゴッズ</t>
    </rPh>
    <phoneticPr fontId="1"/>
  </si>
  <si>
    <r>
      <rPr>
        <sz val="11"/>
        <rFont val="游ゴシック Medium"/>
        <family val="3"/>
        <charset val="128"/>
      </rPr>
      <t>ランドルフ･カーターの陳述</t>
    </r>
    <r>
      <rPr>
        <sz val="11"/>
        <rFont val="Consolas"/>
        <family val="3"/>
      </rPr>
      <t>/The Statement of Randolph Carter</t>
    </r>
    <rPh sb="11" eb="13">
      <t>チンジュツ</t>
    </rPh>
    <rPh sb="14" eb="17">
      <t>ザ</t>
    </rPh>
    <rPh sb="18" eb="27">
      <t>ステートメント</t>
    </rPh>
    <rPh sb="28" eb="30">
      <t>オブ</t>
    </rPh>
    <rPh sb="31" eb="39">
      <t>ランドルフ</t>
    </rPh>
    <rPh sb="40" eb="46">
      <t>カーター</t>
    </rPh>
    <phoneticPr fontId="1"/>
  </si>
  <si>
    <r>
      <rPr>
        <sz val="11"/>
        <rFont val="游ゴシック Medium"/>
        <family val="3"/>
        <charset val="128"/>
      </rPr>
      <t>名状しがたいもの</t>
    </r>
    <r>
      <rPr>
        <sz val="11"/>
        <rFont val="Consolas"/>
        <family val="3"/>
      </rPr>
      <t>/The Unnamable</t>
    </r>
    <rPh sb="0" eb="2">
      <t>メイジョウ</t>
    </rPh>
    <rPh sb="9" eb="12">
      <t>ジ</t>
    </rPh>
    <rPh sb="13" eb="22">
      <t>アンネイマブル</t>
    </rPh>
    <phoneticPr fontId="1"/>
  </si>
  <si>
    <r>
      <rPr>
        <sz val="11"/>
        <rFont val="游ゴシック Medium"/>
        <family val="3"/>
        <charset val="128"/>
      </rPr>
      <t>銀の鍵</t>
    </r>
    <r>
      <rPr>
        <sz val="11"/>
        <rFont val="Consolas"/>
        <family val="3"/>
      </rPr>
      <t>/The Silver Key</t>
    </r>
    <rPh sb="0" eb="1">
      <t>ギン</t>
    </rPh>
    <rPh sb="2" eb="3">
      <t>カギ</t>
    </rPh>
    <rPh sb="4" eb="7">
      <t>ザ</t>
    </rPh>
    <rPh sb="8" eb="14">
      <t>シルヴァー</t>
    </rPh>
    <rPh sb="15" eb="18">
      <t>キー</t>
    </rPh>
    <phoneticPr fontId="1"/>
  </si>
  <si>
    <r>
      <rPr>
        <sz val="11"/>
        <rFont val="游ゴシック Medium"/>
        <family val="3"/>
        <charset val="128"/>
      </rPr>
      <t>銀の鍵の門を越えて</t>
    </r>
    <r>
      <rPr>
        <sz val="11"/>
        <rFont val="Consolas"/>
        <family val="3"/>
      </rPr>
      <t>/Through the Gates of the Silver Key</t>
    </r>
    <rPh sb="0" eb="1">
      <t>ギン</t>
    </rPh>
    <rPh sb="2" eb="3">
      <t>カギ</t>
    </rPh>
    <rPh sb="4" eb="5">
      <t>モン</t>
    </rPh>
    <rPh sb="6" eb="7">
      <t>コ</t>
    </rPh>
    <rPh sb="10" eb="17">
      <t>スルー</t>
    </rPh>
    <rPh sb="18" eb="21">
      <t>ザ</t>
    </rPh>
    <rPh sb="22" eb="27">
      <t>ゲイツ</t>
    </rPh>
    <rPh sb="28" eb="30">
      <t>オブ</t>
    </rPh>
    <rPh sb="31" eb="34">
      <t>ザ</t>
    </rPh>
    <rPh sb="35" eb="41">
      <t>シルヴァー</t>
    </rPh>
    <rPh sb="42" eb="45">
      <t>キー</t>
    </rPh>
    <phoneticPr fontId="1"/>
  </si>
  <si>
    <r>
      <rPr>
        <sz val="11"/>
        <rFont val="游ゴシック Medium"/>
        <family val="3"/>
        <charset val="128"/>
      </rPr>
      <t>未知なるカダスを夢に求めて</t>
    </r>
    <r>
      <rPr>
        <sz val="11"/>
        <rFont val="Consolas"/>
        <family val="3"/>
      </rPr>
      <t>/The Dream Quest of Unknown Kadath</t>
    </r>
    <rPh sb="0" eb="2">
      <t>ミチ</t>
    </rPh>
    <rPh sb="8" eb="9">
      <t>ユメ</t>
    </rPh>
    <rPh sb="10" eb="11">
      <t>モト</t>
    </rPh>
    <rPh sb="14" eb="17">
      <t>ザ</t>
    </rPh>
    <rPh sb="18" eb="23">
      <t>ドリーム</t>
    </rPh>
    <rPh sb="24" eb="29">
      <t>クエスト</t>
    </rPh>
    <rPh sb="30" eb="32">
      <t>オブ</t>
    </rPh>
    <rPh sb="33" eb="40">
      <t>アンノウン</t>
    </rPh>
    <rPh sb="41" eb="47">
      <t>カダス</t>
    </rPh>
    <phoneticPr fontId="1"/>
  </si>
  <si>
    <r>
      <rPr>
        <sz val="11"/>
        <rFont val="游ゴシック Medium"/>
        <family val="3"/>
        <charset val="128"/>
      </rPr>
      <t>竹村</t>
    </r>
    <r>
      <rPr>
        <sz val="11"/>
        <rFont val="Consolas"/>
        <family val="3"/>
      </rPr>
      <t xml:space="preserve"> </t>
    </r>
    <r>
      <rPr>
        <sz val="11"/>
        <rFont val="游ゴシック Medium"/>
        <family val="3"/>
        <charset val="128"/>
      </rPr>
      <t>猛</t>
    </r>
    <rPh sb="0" eb="2">
      <t>タケムラ</t>
    </rPh>
    <rPh sb="3" eb="4">
      <t>タケシ</t>
    </rPh>
    <phoneticPr fontId="1"/>
  </si>
  <si>
    <r>
      <rPr>
        <sz val="11"/>
        <rFont val="游ゴシック Medium"/>
        <family val="3"/>
        <charset val="128"/>
      </rPr>
      <t>危険な関係</t>
    </r>
    <r>
      <rPr>
        <sz val="11"/>
        <rFont val="Consolas"/>
        <family val="3"/>
      </rPr>
      <t>/Les Liaisons dangereuses</t>
    </r>
    <rPh sb="0" eb="2">
      <t>キケン</t>
    </rPh>
    <rPh sb="3" eb="5">
      <t>カンケイ</t>
    </rPh>
    <phoneticPr fontId="1"/>
  </si>
  <si>
    <r>
      <rPr>
        <sz val="11"/>
        <rFont val="游ゴシック Medium"/>
        <family val="3"/>
        <charset val="128"/>
      </rPr>
      <t>池上忠弘</t>
    </r>
    <rPh sb="0" eb="2">
      <t>イケガミ</t>
    </rPh>
    <rPh sb="2" eb="4">
      <t>タダヒロ</t>
    </rPh>
    <phoneticPr fontId="1"/>
  </si>
  <si>
    <r>
      <rPr>
        <sz val="11"/>
        <rFont val="游ゴシック Medium"/>
        <family val="3"/>
        <charset val="128"/>
      </rPr>
      <t>農夫ピアズの幻想</t>
    </r>
    <r>
      <rPr>
        <sz val="11"/>
        <rFont val="Consolas"/>
        <family val="3"/>
      </rPr>
      <t>/Piers Plowman</t>
    </r>
    <rPh sb="0" eb="2">
      <t>ノウフ</t>
    </rPh>
    <rPh sb="6" eb="8">
      <t>ゲンソウ</t>
    </rPh>
    <phoneticPr fontId="1"/>
  </si>
  <si>
    <r>
      <rPr>
        <sz val="11"/>
        <rFont val="游ゴシック Medium"/>
        <family val="3"/>
        <charset val="128"/>
      </rPr>
      <t>高橋泰邦</t>
    </r>
    <rPh sb="0" eb="2">
      <t>タカハシ</t>
    </rPh>
    <rPh sb="2" eb="4">
      <t>ヤスクニ</t>
    </rPh>
    <phoneticPr fontId="1"/>
  </si>
  <si>
    <r>
      <t>Rosemary's Baby/</t>
    </r>
    <r>
      <rPr>
        <sz val="11"/>
        <rFont val="游ゴシック Medium"/>
        <family val="3"/>
        <charset val="128"/>
      </rPr>
      <t>ローズマリーの赤ちゃん</t>
    </r>
    <rPh sb="23" eb="24">
      <t>アカ</t>
    </rPh>
    <phoneticPr fontId="1"/>
  </si>
  <si>
    <r>
      <t>1967,1972</t>
    </r>
    <r>
      <rPr>
        <sz val="11"/>
        <rFont val="游ゴシック Medium"/>
        <family val="3"/>
        <charset val="128"/>
      </rPr>
      <t>文庫化</t>
    </r>
    <rPh sb="9" eb="12">
      <t>ブンコカ</t>
    </rPh>
    <phoneticPr fontId="1"/>
  </si>
  <si>
    <r>
      <rPr>
        <sz val="11"/>
        <rFont val="游ゴシック Medium"/>
        <family val="3"/>
        <charset val="128"/>
      </rPr>
      <t>宮本正清</t>
    </r>
    <rPh sb="0" eb="2">
      <t>ミヤモト</t>
    </rPh>
    <rPh sb="2" eb="4">
      <t>マサキヨ</t>
    </rPh>
    <phoneticPr fontId="1"/>
  </si>
  <si>
    <r>
      <rPr>
        <sz val="11"/>
        <rFont val="游ゴシック Medium"/>
        <family val="3"/>
        <charset val="128"/>
      </rPr>
      <t>魅せられたる魂</t>
    </r>
    <r>
      <rPr>
        <sz val="11"/>
        <rFont val="Consolas"/>
        <family val="3"/>
      </rPr>
      <t>:</t>
    </r>
    <r>
      <rPr>
        <sz val="11"/>
        <rFont val="游ゴシック Medium"/>
        <family val="3"/>
        <charset val="128"/>
      </rPr>
      <t>改訳</t>
    </r>
    <rPh sb="0" eb="1">
      <t>ミ</t>
    </rPh>
    <rPh sb="6" eb="7">
      <t>タマシイ</t>
    </rPh>
    <rPh sb="8" eb="10">
      <t>カイヤク</t>
    </rPh>
    <phoneticPr fontId="1"/>
  </si>
  <si>
    <r>
      <t>200/300:01,04,08</t>
    </r>
    <r>
      <rPr>
        <sz val="11"/>
        <rFont val="游ゴシック Medium"/>
        <family val="3"/>
        <charset val="128"/>
      </rPr>
      <t>巻</t>
    </r>
    <rPh sb="16" eb="17">
      <t>カン</t>
    </rPh>
    <phoneticPr fontId="1"/>
  </si>
  <si>
    <r>
      <t>3000</t>
    </r>
    <r>
      <rPr>
        <sz val="11"/>
        <rFont val="游ゴシック Medium"/>
        <family val="3"/>
        <charset val="128"/>
      </rPr>
      <t>位</t>
    </r>
    <rPh sb="4" eb="5">
      <t>クライ</t>
    </rPh>
    <phoneticPr fontId="1"/>
  </si>
  <si>
    <r>
      <rPr>
        <sz val="11"/>
        <rFont val="游ゴシック Medium"/>
        <family val="3"/>
        <charset val="128"/>
      </rPr>
      <t>伊藤</t>
    </r>
    <r>
      <rPr>
        <sz val="11"/>
        <rFont val="Consolas"/>
        <family val="3"/>
      </rPr>
      <t xml:space="preserve"> </t>
    </r>
    <r>
      <rPr>
        <sz val="11"/>
        <rFont val="游ゴシック Medium"/>
        <family val="3"/>
        <charset val="128"/>
      </rPr>
      <t>整</t>
    </r>
    <r>
      <rPr>
        <sz val="11"/>
        <rFont val="Consolas"/>
        <family val="3"/>
      </rPr>
      <t>/</t>
    </r>
    <r>
      <rPr>
        <sz val="11"/>
        <rFont val="游ゴシック Medium"/>
        <family val="3"/>
        <charset val="128"/>
      </rPr>
      <t>伊藤</t>
    </r>
    <r>
      <rPr>
        <sz val="11"/>
        <rFont val="Consolas"/>
        <family val="3"/>
      </rPr>
      <t xml:space="preserve"> </t>
    </r>
    <r>
      <rPr>
        <sz val="11"/>
        <rFont val="游ゴシック Medium"/>
        <family val="3"/>
        <charset val="128"/>
      </rPr>
      <t>礼</t>
    </r>
    <rPh sb="0" eb="2">
      <t>イトウ</t>
    </rPh>
    <rPh sb="3" eb="4">
      <t>セイ</t>
    </rPh>
    <rPh sb="5" eb="7">
      <t>イトウ</t>
    </rPh>
    <rPh sb="8" eb="9">
      <t>レイ</t>
    </rPh>
    <phoneticPr fontId="1"/>
  </si>
  <si>
    <r>
      <rPr>
        <sz val="11"/>
        <rFont val="游ゴシック Medium"/>
        <family val="3"/>
        <charset val="128"/>
      </rPr>
      <t>訳</t>
    </r>
    <r>
      <rPr>
        <sz val="11"/>
        <rFont val="Consolas"/>
        <family val="3"/>
      </rPr>
      <t>/</t>
    </r>
    <r>
      <rPr>
        <sz val="11"/>
        <rFont val="游ゴシック Medium"/>
        <family val="3"/>
        <charset val="128"/>
      </rPr>
      <t>補訳</t>
    </r>
    <rPh sb="0" eb="1">
      <t>ヤク</t>
    </rPh>
    <rPh sb="2" eb="3">
      <t>ホ</t>
    </rPh>
    <rPh sb="3" eb="4">
      <t>ヤク</t>
    </rPh>
    <phoneticPr fontId="1"/>
  </si>
  <si>
    <r>
      <t>Chatterley</t>
    </r>
    <r>
      <rPr>
        <sz val="11"/>
        <rFont val="游ゴシック Medium"/>
        <family val="3"/>
        <charset val="128"/>
      </rPr>
      <t>夫人の恋人</t>
    </r>
    <r>
      <rPr>
        <sz val="11"/>
        <rFont val="Consolas"/>
        <family val="3"/>
      </rPr>
      <t>/</t>
    </r>
    <r>
      <rPr>
        <sz val="11"/>
        <rFont val="游ゴシック Medium"/>
        <family val="3"/>
        <charset val="128"/>
      </rPr>
      <t>完訳</t>
    </r>
    <r>
      <rPr>
        <sz val="11"/>
        <rFont val="Consolas"/>
        <family val="3"/>
      </rPr>
      <t>/Lady Chatterley's Lover</t>
    </r>
    <rPh sb="0" eb="10">
      <t>チャタレイ</t>
    </rPh>
    <rPh sb="10" eb="12">
      <t>フジン</t>
    </rPh>
    <rPh sb="13" eb="15">
      <t>コイビト</t>
    </rPh>
    <rPh sb="16" eb="18">
      <t>カンヤク</t>
    </rPh>
    <phoneticPr fontId="1"/>
  </si>
  <si>
    <r>
      <rPr>
        <sz val="11"/>
        <rFont val="游ゴシック Medium"/>
        <family val="3"/>
        <charset val="128"/>
      </rPr>
      <t>伊藤</t>
    </r>
    <r>
      <rPr>
        <sz val="11"/>
        <rFont val="Consolas"/>
        <family val="3"/>
      </rPr>
      <t xml:space="preserve"> </t>
    </r>
    <r>
      <rPr>
        <sz val="11"/>
        <rFont val="游ゴシック Medium"/>
        <family val="3"/>
        <charset val="128"/>
      </rPr>
      <t>整</t>
    </r>
    <rPh sb="0" eb="2">
      <t>イトウ</t>
    </rPh>
    <rPh sb="3" eb="4">
      <t>セイ</t>
    </rPh>
    <phoneticPr fontId="1"/>
  </si>
  <si>
    <r>
      <t>Chatterley</t>
    </r>
    <r>
      <rPr>
        <sz val="11"/>
        <rFont val="游ゴシック Medium"/>
        <family val="3"/>
        <charset val="128"/>
      </rPr>
      <t>夫人の恋人</t>
    </r>
    <r>
      <rPr>
        <sz val="11"/>
        <rFont val="Consolas"/>
        <family val="3"/>
      </rPr>
      <t>/Lady Chatterley's Lover</t>
    </r>
    <rPh sb="0" eb="10">
      <t>チャタレイ</t>
    </rPh>
    <rPh sb="10" eb="12">
      <t>フジン</t>
    </rPh>
    <rPh sb="13" eb="15">
      <t>コイビト</t>
    </rPh>
    <phoneticPr fontId="1"/>
  </si>
  <si>
    <r>
      <rPr>
        <sz val="11"/>
        <rFont val="游ゴシック Medium"/>
        <family val="3"/>
        <charset val="128"/>
      </rPr>
      <t>獄中記</t>
    </r>
    <rPh sb="0" eb="2">
      <t>ゴクチュウ</t>
    </rPh>
    <rPh sb="2" eb="3">
      <t>キ</t>
    </rPh>
    <phoneticPr fontId="1"/>
  </si>
  <si>
    <r>
      <t>Dorian Gray</t>
    </r>
    <r>
      <rPr>
        <sz val="11"/>
        <rFont val="游ゴシック Medium"/>
        <family val="3"/>
        <charset val="128"/>
      </rPr>
      <t>の肖像</t>
    </r>
    <r>
      <rPr>
        <sz val="11"/>
        <rFont val="Consolas"/>
        <family val="3"/>
      </rPr>
      <t>/The Picture of Dorian Gray</t>
    </r>
    <rPh sb="0" eb="11">
      <t>ドリアン・グレイ</t>
    </rPh>
    <rPh sb="12" eb="14">
      <t>ショウゾウ</t>
    </rPh>
    <phoneticPr fontId="1"/>
  </si>
  <si>
    <r>
      <rPr>
        <sz val="11"/>
        <rFont val="游ゴシック Medium"/>
        <family val="3"/>
        <charset val="128"/>
      </rPr>
      <t>大瀧啓裕</t>
    </r>
    <r>
      <rPr>
        <sz val="11"/>
        <rFont val="Consolas"/>
        <family val="3"/>
      </rPr>
      <t>/Jones,Stephen</t>
    </r>
    <rPh sb="0" eb="2">
      <t>オオタキ</t>
    </rPh>
    <rPh sb="2" eb="4">
      <t>ケイスケ</t>
    </rPh>
    <rPh sb="5" eb="10">
      <t>ジョーンズ</t>
    </rPh>
    <rPh sb="11" eb="18">
      <t>スティーヴァン</t>
    </rPh>
    <phoneticPr fontId="1"/>
  </si>
  <si>
    <r>
      <rPr>
        <sz val="11"/>
        <rFont val="游ゴシック Medium"/>
        <family val="3"/>
        <charset val="128"/>
      </rPr>
      <t>訳</t>
    </r>
    <r>
      <rPr>
        <sz val="11"/>
        <rFont val="Consolas"/>
        <family val="3"/>
      </rPr>
      <t>/</t>
    </r>
    <r>
      <rPr>
        <sz val="11"/>
        <rFont val="游ゴシック Medium"/>
        <family val="3"/>
        <charset val="128"/>
      </rPr>
      <t>編</t>
    </r>
    <rPh sb="0" eb="1">
      <t>ヤク</t>
    </rPh>
    <rPh sb="2" eb="3">
      <t>ヘン</t>
    </rPh>
    <phoneticPr fontId="1"/>
  </si>
  <si>
    <r>
      <rPr>
        <sz val="11"/>
        <rFont val="游ゴシック Medium"/>
        <family val="3"/>
        <charset val="128"/>
      </rPr>
      <t>序文─深きものどもの落とし子</t>
    </r>
    <r>
      <rPr>
        <sz val="11"/>
        <rFont val="Consolas"/>
        <family val="3"/>
      </rPr>
      <t>/Introduction:Spawn of the Deep Ones</t>
    </r>
    <rPh sb="0" eb="2">
      <t>ジョブン</t>
    </rPh>
    <rPh sb="3" eb="4">
      <t>フカ</t>
    </rPh>
    <rPh sb="10" eb="11">
      <t>オ</t>
    </rPh>
    <rPh sb="13" eb="14">
      <t>ゴ</t>
    </rPh>
    <phoneticPr fontId="1"/>
  </si>
  <si>
    <r>
      <rPr>
        <sz val="11"/>
        <rFont val="游ゴシック Medium"/>
        <family val="3"/>
        <charset val="128"/>
      </rPr>
      <t>学研</t>
    </r>
    <r>
      <rPr>
        <sz val="11"/>
        <rFont val="Consolas"/>
        <family val="3"/>
      </rPr>
      <t>M</t>
    </r>
    <r>
      <rPr>
        <sz val="11"/>
        <rFont val="游ゴシック Medium"/>
        <family val="3"/>
        <charset val="128"/>
      </rPr>
      <t>文庫</t>
    </r>
    <rPh sb="0" eb="2">
      <t>ガッケン</t>
    </rPh>
    <rPh sb="3" eb="5">
      <t>ブンコ</t>
    </rPh>
    <phoneticPr fontId="1"/>
  </si>
  <si>
    <r>
      <rPr>
        <sz val="11"/>
        <rFont val="游ゴシック Medium"/>
        <family val="3"/>
        <charset val="128"/>
      </rPr>
      <t>インスマスを覆う影</t>
    </r>
    <r>
      <rPr>
        <sz val="11"/>
        <rFont val="Consolas"/>
        <family val="3"/>
      </rPr>
      <t>/The Shadow Over Innsmouth</t>
    </r>
    <rPh sb="6" eb="7">
      <t>オオ</t>
    </rPh>
    <rPh sb="8" eb="9">
      <t>カゲ</t>
    </rPh>
    <rPh sb="10" eb="13">
      <t>ザ</t>
    </rPh>
    <rPh sb="14" eb="20">
      <t>シャドウ</t>
    </rPh>
    <rPh sb="21" eb="25">
      <t>オーヴァー</t>
    </rPh>
    <rPh sb="26" eb="35">
      <t>インスマス</t>
    </rPh>
    <phoneticPr fontId="1"/>
  </si>
  <si>
    <r>
      <rPr>
        <sz val="11"/>
        <rFont val="游ゴシック Medium"/>
        <family val="3"/>
        <charset val="128"/>
      </rPr>
      <t>暗礁の彼方に</t>
    </r>
    <r>
      <rPr>
        <sz val="11"/>
        <rFont val="Consolas"/>
        <family val="3"/>
      </rPr>
      <t>/Beyond the Reef</t>
    </r>
    <rPh sb="0" eb="2">
      <t>アンショウ</t>
    </rPh>
    <rPh sb="3" eb="5">
      <t>カナタ</t>
    </rPh>
    <phoneticPr fontId="1"/>
  </si>
  <si>
    <r>
      <rPr>
        <sz val="11"/>
        <rFont val="游ゴシック Medium"/>
        <family val="3"/>
        <charset val="128"/>
      </rPr>
      <t>大物</t>
    </r>
    <r>
      <rPr>
        <sz val="11"/>
        <rFont val="Consolas"/>
        <family val="3"/>
      </rPr>
      <t>/The Big Fish/as by Newman,Kim</t>
    </r>
    <rPh sb="0" eb="2">
      <t>オオモノ</t>
    </rPh>
    <rPh sb="22" eb="28">
      <t>ニューマン</t>
    </rPh>
    <rPh sb="29" eb="32">
      <t>キム</t>
    </rPh>
    <phoneticPr fontId="1"/>
  </si>
  <si>
    <r>
      <rPr>
        <sz val="11"/>
        <rFont val="游ゴシック Medium"/>
        <family val="3"/>
        <charset val="128"/>
      </rPr>
      <t>インスマスに帰る</t>
    </r>
    <r>
      <rPr>
        <sz val="11"/>
        <rFont val="Consolas"/>
        <family val="3"/>
      </rPr>
      <t>/Return to Innsmouth</t>
    </r>
    <rPh sb="6" eb="7">
      <t>カエ</t>
    </rPh>
    <phoneticPr fontId="1"/>
  </si>
  <si>
    <r>
      <rPr>
        <sz val="11"/>
        <rFont val="游ゴシック Medium"/>
        <family val="3"/>
        <charset val="128"/>
      </rPr>
      <t>横断</t>
    </r>
    <r>
      <rPr>
        <sz val="11"/>
        <rFont val="Consolas"/>
        <family val="3"/>
      </rPr>
      <t>/The Crossing</t>
    </r>
    <rPh sb="0" eb="2">
      <t>オウダン</t>
    </rPh>
    <phoneticPr fontId="1"/>
  </si>
  <si>
    <r>
      <rPr>
        <sz val="11"/>
        <rFont val="游ゴシック Medium"/>
        <family val="3"/>
        <charset val="128"/>
      </rPr>
      <t>長靴</t>
    </r>
    <r>
      <rPr>
        <sz val="11"/>
        <rFont val="Consolas"/>
        <family val="3"/>
      </rPr>
      <t>/Down to the Boots</t>
    </r>
    <rPh sb="0" eb="2">
      <t>ナガグツ</t>
    </rPh>
    <phoneticPr fontId="1"/>
  </si>
  <si>
    <r>
      <rPr>
        <sz val="11"/>
        <rFont val="游ゴシック Medium"/>
        <family val="3"/>
        <charset val="128"/>
      </rPr>
      <t>ハイ･ストリートの教会</t>
    </r>
    <r>
      <rPr>
        <sz val="11"/>
        <rFont val="Consolas"/>
        <family val="3"/>
      </rPr>
      <t>/The House in High Street/as by J.</t>
    </r>
    <rPh sb="9" eb="11">
      <t>キョウカイ</t>
    </rPh>
    <phoneticPr fontId="1"/>
  </si>
  <si>
    <r>
      <rPr>
        <sz val="11"/>
        <rFont val="游ゴシック Medium"/>
        <family val="3"/>
        <charset val="128"/>
      </rPr>
      <t>インスマスの黄金</t>
    </r>
    <r>
      <rPr>
        <sz val="11"/>
        <rFont val="Consolas"/>
        <family val="3"/>
      </rPr>
      <t>/Innsmouth Gold</t>
    </r>
    <rPh sb="6" eb="8">
      <t>オウゴン</t>
    </rPh>
    <phoneticPr fontId="1"/>
  </si>
  <si>
    <r>
      <rPr>
        <sz val="11"/>
        <rFont val="游ゴシック Medium"/>
        <family val="3"/>
        <charset val="128"/>
      </rPr>
      <t>ダオイネ･ドムハイン</t>
    </r>
    <r>
      <rPr>
        <sz val="11"/>
        <rFont val="Consolas"/>
        <family val="3"/>
      </rPr>
      <t>/Daoine Domhain</t>
    </r>
    <phoneticPr fontId="1"/>
  </si>
  <si>
    <r>
      <rPr>
        <sz val="11"/>
        <rFont val="游ゴシック Medium"/>
        <family val="3"/>
        <charset val="128"/>
      </rPr>
      <t>三時十五分前</t>
    </r>
    <r>
      <rPr>
        <sz val="11"/>
        <rFont val="Consolas"/>
        <family val="3"/>
      </rPr>
      <t>/A Guarter to Three</t>
    </r>
    <rPh sb="0" eb="2">
      <t>サンジ</t>
    </rPh>
    <rPh sb="2" eb="6">
      <t>ジュウゴフンマエ</t>
    </rPh>
    <phoneticPr fontId="1"/>
  </si>
  <si>
    <r>
      <rPr>
        <sz val="11"/>
        <rFont val="游ゴシック Medium"/>
        <family val="3"/>
        <charset val="128"/>
      </rPr>
      <t>プリスクスの墓</t>
    </r>
    <r>
      <rPr>
        <sz val="11"/>
        <rFont val="Consolas"/>
        <family val="3"/>
      </rPr>
      <t>/The Tomb of Priscus</t>
    </r>
    <rPh sb="6" eb="7">
      <t>ハカ</t>
    </rPh>
    <phoneticPr fontId="1"/>
  </si>
  <si>
    <r>
      <rPr>
        <sz val="11"/>
        <rFont val="游ゴシック Medium"/>
        <family val="3"/>
        <charset val="128"/>
      </rPr>
      <t>インスマスの遺産</t>
    </r>
    <r>
      <rPr>
        <sz val="11"/>
        <rFont val="Consolas"/>
        <family val="3"/>
      </rPr>
      <t>/The Innsmouth Heritage</t>
    </r>
    <rPh sb="6" eb="8">
      <t>イサン</t>
    </rPh>
    <phoneticPr fontId="1"/>
  </si>
  <si>
    <r>
      <rPr>
        <sz val="11"/>
        <rFont val="游ゴシック Medium"/>
        <family val="3"/>
        <charset val="128"/>
      </rPr>
      <t>帰郷</t>
    </r>
    <r>
      <rPr>
        <sz val="11"/>
        <rFont val="Consolas"/>
        <family val="3"/>
      </rPr>
      <t>/The Homecoming</t>
    </r>
    <rPh sb="0" eb="2">
      <t>キキョウ</t>
    </rPh>
    <phoneticPr fontId="1"/>
  </si>
  <si>
    <r>
      <rPr>
        <sz val="11"/>
        <rFont val="游ゴシック Medium"/>
        <family val="3"/>
        <charset val="128"/>
      </rPr>
      <t>海を見る</t>
    </r>
    <r>
      <rPr>
        <sz val="11"/>
        <rFont val="Consolas"/>
        <family val="3"/>
      </rPr>
      <t>/To See the Sea</t>
    </r>
    <rPh sb="0" eb="1">
      <t>ウミ</t>
    </rPh>
    <rPh sb="2" eb="3">
      <t>ミ</t>
    </rPh>
    <phoneticPr fontId="1"/>
  </si>
  <si>
    <r>
      <rPr>
        <sz val="11"/>
        <rFont val="游ゴシック Medium"/>
        <family val="3"/>
        <charset val="128"/>
      </rPr>
      <t>ダゴンの鐘</t>
    </r>
    <r>
      <rPr>
        <sz val="11"/>
        <rFont val="Consolas"/>
        <family val="3"/>
      </rPr>
      <t>/Dagon's Bell</t>
    </r>
    <rPh sb="4" eb="5">
      <t>カネ</t>
    </rPh>
    <phoneticPr fontId="1"/>
  </si>
  <si>
    <r>
      <rPr>
        <sz val="11"/>
        <rFont val="游ゴシック Medium"/>
        <family val="3"/>
        <charset val="128"/>
      </rPr>
      <t>世界の終わり</t>
    </r>
    <r>
      <rPr>
        <sz val="11"/>
        <rFont val="Consolas"/>
        <family val="3"/>
      </rPr>
      <t>/Only the End of the World Again</t>
    </r>
    <rPh sb="0" eb="2">
      <t>セカイ</t>
    </rPh>
    <rPh sb="3" eb="4">
      <t>オ</t>
    </rPh>
    <phoneticPr fontId="1"/>
  </si>
  <si>
    <r>
      <rPr>
        <sz val="11"/>
        <rFont val="游ゴシック Medium"/>
        <family val="3"/>
        <charset val="128"/>
      </rPr>
      <t>作者紹介</t>
    </r>
    <r>
      <rPr>
        <sz val="11"/>
        <rFont val="Consolas"/>
        <family val="3"/>
      </rPr>
      <t>/Afterwords:Contributors' Notes</t>
    </r>
    <rPh sb="0" eb="2">
      <t>サクシャ</t>
    </rPh>
    <rPh sb="2" eb="4">
      <t>ショウカイ</t>
    </rPh>
    <phoneticPr fontId="1"/>
  </si>
  <si>
    <r>
      <rPr>
        <sz val="11"/>
        <rFont val="游ゴシック Medium"/>
        <family val="3"/>
        <charset val="128"/>
      </rPr>
      <t>幽霊屋敷</t>
    </r>
    <r>
      <rPr>
        <sz val="11"/>
        <rFont val="Consolas"/>
        <family val="3"/>
      </rPr>
      <t>/The Haunters and the Haunted</t>
    </r>
    <rPh sb="0" eb="2">
      <t>ユウレイ</t>
    </rPh>
    <rPh sb="2" eb="4">
      <t>ヤシキ</t>
    </rPh>
    <phoneticPr fontId="1"/>
  </si>
  <si>
    <r>
      <rPr>
        <sz val="11"/>
        <rFont val="游ゴシック Medium"/>
        <family val="3"/>
        <charset val="128"/>
      </rPr>
      <t>エドマンド･オーム卿</t>
    </r>
    <r>
      <rPr>
        <sz val="11"/>
        <rFont val="Consolas"/>
        <family val="3"/>
      </rPr>
      <t>/Sir Edmund Orme</t>
    </r>
    <rPh sb="9" eb="10">
      <t>キョウ</t>
    </rPh>
    <phoneticPr fontId="1"/>
  </si>
  <si>
    <r>
      <rPr>
        <sz val="11"/>
        <rFont val="游ゴシック Medium"/>
        <family val="3"/>
        <charset val="128"/>
      </rPr>
      <t>ポインター氏の日録</t>
    </r>
    <r>
      <rPr>
        <sz val="11"/>
        <rFont val="Consolas"/>
        <family val="3"/>
      </rPr>
      <t>/The Diary of Mr. Poynter</t>
    </r>
    <rPh sb="5" eb="6">
      <t>シ</t>
    </rPh>
    <rPh sb="7" eb="9">
      <t>ニチロク</t>
    </rPh>
    <phoneticPr fontId="1"/>
  </si>
  <si>
    <r>
      <rPr>
        <sz val="11"/>
        <rFont val="游ゴシック Medium"/>
        <family val="3"/>
        <charset val="128"/>
      </rPr>
      <t>猿の手</t>
    </r>
    <r>
      <rPr>
        <sz val="11"/>
        <rFont val="Consolas"/>
        <family val="3"/>
      </rPr>
      <t>/The Monkey's Paw</t>
    </r>
    <rPh sb="0" eb="1">
      <t>サル</t>
    </rPh>
    <rPh sb="2" eb="3">
      <t>テ</t>
    </rPh>
    <phoneticPr fontId="1"/>
  </si>
  <si>
    <r>
      <rPr>
        <sz val="11"/>
        <rFont val="游ゴシック Medium"/>
        <family val="3"/>
        <charset val="128"/>
      </rPr>
      <t>パンの大神</t>
    </r>
    <r>
      <rPr>
        <sz val="11"/>
        <rFont val="Consolas"/>
        <family val="3"/>
      </rPr>
      <t>/The Great God Pan</t>
    </r>
    <rPh sb="3" eb="5">
      <t>オオガミ</t>
    </rPh>
    <phoneticPr fontId="1"/>
  </si>
  <si>
    <r>
      <rPr>
        <sz val="11"/>
        <rFont val="游ゴシック Medium"/>
        <family val="3"/>
        <charset val="128"/>
      </rPr>
      <t>いも虫</t>
    </r>
    <r>
      <rPr>
        <sz val="11"/>
        <rFont val="Consolas"/>
        <family val="3"/>
      </rPr>
      <t>/Caterpillars</t>
    </r>
    <rPh sb="2" eb="3">
      <t>ムシ</t>
    </rPh>
    <phoneticPr fontId="1"/>
  </si>
  <si>
    <r>
      <rPr>
        <sz val="11"/>
        <rFont val="游ゴシック Medium"/>
        <family val="3"/>
        <charset val="128"/>
      </rPr>
      <t>秘書奇譚</t>
    </r>
    <r>
      <rPr>
        <sz val="11"/>
        <rFont val="Consolas"/>
        <family val="3"/>
      </rPr>
      <t>/Strange Adventure of a Private Secretary</t>
    </r>
    <rPh sb="0" eb="2">
      <t>ヒショ</t>
    </rPh>
    <rPh sb="2" eb="4">
      <t>キタン</t>
    </rPh>
    <phoneticPr fontId="1"/>
  </si>
  <si>
    <r>
      <rPr>
        <sz val="11"/>
        <rFont val="游ゴシック Medium"/>
        <family val="3"/>
        <charset val="128"/>
      </rPr>
      <t>炎天</t>
    </r>
    <r>
      <rPr>
        <sz val="11"/>
        <rFont val="Consolas"/>
        <family val="3"/>
      </rPr>
      <t>/August Heat</t>
    </r>
    <rPh sb="0" eb="2">
      <t>エンテン</t>
    </rPh>
    <phoneticPr fontId="1"/>
  </si>
  <si>
    <r>
      <rPr>
        <sz val="11"/>
        <rFont val="游ゴシック Medium"/>
        <family val="3"/>
        <charset val="128"/>
      </rPr>
      <t>緑茶</t>
    </r>
    <r>
      <rPr>
        <sz val="11"/>
        <rFont val="Consolas"/>
        <family val="3"/>
      </rPr>
      <t>/Green Tea</t>
    </r>
    <rPh sb="0" eb="2">
      <t>リョクチャ</t>
    </rPh>
    <phoneticPr fontId="1"/>
  </si>
  <si>
    <r>
      <t>Sade,</t>
    </r>
    <r>
      <rPr>
        <sz val="11"/>
        <rFont val="游ゴシック Medium"/>
        <family val="3"/>
        <charset val="128"/>
      </rPr>
      <t>マルキ</t>
    </r>
    <r>
      <rPr>
        <sz val="11"/>
        <rFont val="Consolas"/>
        <family val="3"/>
      </rPr>
      <t xml:space="preserve"> de/Donatien-Alphonse-Francois de</t>
    </r>
    <rPh sb="0" eb="4">
      <t>サド</t>
    </rPh>
    <rPh sb="9" eb="11">
      <t>ド</t>
    </rPh>
    <rPh sb="21" eb="29">
      <t>アルフォンス</t>
    </rPh>
    <rPh sb="30" eb="38">
      <t>フランソワ</t>
    </rPh>
    <rPh sb="39" eb="41">
      <t>ドゥ</t>
    </rPh>
    <phoneticPr fontId="1"/>
  </si>
  <si>
    <r>
      <rPr>
        <sz val="11"/>
        <rFont val="游ゴシック Medium"/>
        <family val="3"/>
        <charset val="128"/>
      </rPr>
      <t>青柳瑞穂･澁澤龍彦</t>
    </r>
    <rPh sb="0" eb="2">
      <t>アオヤギ</t>
    </rPh>
    <rPh sb="2" eb="4">
      <t>ミズホ</t>
    </rPh>
    <rPh sb="5" eb="7">
      <t>シブサワ</t>
    </rPh>
    <rPh sb="7" eb="9">
      <t>タツヒコ</t>
    </rPh>
    <phoneticPr fontId="1"/>
  </si>
  <si>
    <r>
      <rPr>
        <sz val="11"/>
        <rFont val="游ゴシック Medium"/>
        <family val="3"/>
        <charset val="128"/>
      </rPr>
      <t>ロドリグあるいは呪縛の塔</t>
    </r>
    <r>
      <rPr>
        <sz val="11"/>
        <rFont val="Consolas"/>
        <family val="3"/>
      </rPr>
      <t>/Rodrigue ou La Tour Enchante'e</t>
    </r>
    <rPh sb="8" eb="10">
      <t>ジュバク</t>
    </rPh>
    <rPh sb="11" eb="12">
      <t>トウ</t>
    </rPh>
    <phoneticPr fontId="1"/>
  </si>
  <si>
    <r>
      <rPr>
        <sz val="11"/>
        <rFont val="游ゴシック Medium"/>
        <family val="3"/>
        <charset val="128"/>
      </rPr>
      <t>ギズモンド城の幽霊</t>
    </r>
    <r>
      <rPr>
        <sz val="11"/>
        <rFont val="Consolas"/>
        <family val="3"/>
      </rPr>
      <t>/Ine`s de Las Sierras</t>
    </r>
    <rPh sb="5" eb="6">
      <t>ジョウ</t>
    </rPh>
    <rPh sb="7" eb="9">
      <t>ユウレイ</t>
    </rPh>
    <phoneticPr fontId="1"/>
  </si>
  <si>
    <r>
      <rPr>
        <sz val="11"/>
        <rFont val="游ゴシック Medium"/>
        <family val="3"/>
        <charset val="128"/>
      </rPr>
      <t>シャルル十一世の幻覚</t>
    </r>
    <r>
      <rPr>
        <sz val="11"/>
        <rFont val="Consolas"/>
        <family val="3"/>
      </rPr>
      <t xml:space="preserve">/Vision de Charles </t>
    </r>
    <r>
      <rPr>
        <sz val="11"/>
        <rFont val="游ゴシック Medium"/>
        <family val="3"/>
        <charset val="128"/>
      </rPr>
      <t>Ⅸ</t>
    </r>
    <rPh sb="4" eb="7">
      <t>ジュウイッセイ</t>
    </rPh>
    <rPh sb="8" eb="10">
      <t>ゲンカク</t>
    </rPh>
    <phoneticPr fontId="1"/>
  </si>
  <si>
    <r>
      <rPr>
        <sz val="11"/>
        <rFont val="游ゴシック Medium"/>
        <family val="3"/>
        <charset val="128"/>
      </rPr>
      <t>緑色の怪物</t>
    </r>
    <r>
      <rPr>
        <sz val="11"/>
        <rFont val="Consolas"/>
        <family val="3"/>
      </rPr>
      <t>/Le Monstre Vert</t>
    </r>
    <rPh sb="0" eb="2">
      <t>ミドリイロ</t>
    </rPh>
    <rPh sb="3" eb="5">
      <t>カイブツ</t>
    </rPh>
    <phoneticPr fontId="1"/>
  </si>
  <si>
    <r>
      <rPr>
        <sz val="11"/>
        <rFont val="游ゴシック Medium"/>
        <family val="3"/>
        <charset val="128"/>
      </rPr>
      <t>解剖学者ドン･ベサリウス</t>
    </r>
    <r>
      <rPr>
        <sz val="11"/>
        <rFont val="Consolas"/>
        <family val="3"/>
      </rPr>
      <t>/Don Andre'a Vesalius,L'Anatomiste</t>
    </r>
    <rPh sb="0" eb="2">
      <t>カイボウ</t>
    </rPh>
    <rPh sb="2" eb="4">
      <t>ガクシャ</t>
    </rPh>
    <phoneticPr fontId="1"/>
  </si>
  <si>
    <r>
      <rPr>
        <sz val="11"/>
        <rFont val="游ゴシック Medium"/>
        <family val="3"/>
        <charset val="128"/>
      </rPr>
      <t>草叢のダイヤモンド</t>
    </r>
    <r>
      <rPr>
        <sz val="11"/>
        <rFont val="Consolas"/>
        <family val="3"/>
      </rPr>
      <t>/Le Diamant de L'Herbe</t>
    </r>
    <rPh sb="0" eb="2">
      <t>クサムラ</t>
    </rPh>
    <phoneticPr fontId="1"/>
  </si>
  <si>
    <r>
      <rPr>
        <sz val="11"/>
        <rFont val="游ゴシック Medium"/>
        <family val="3"/>
        <charset val="128"/>
      </rPr>
      <t>死女の恋</t>
    </r>
    <r>
      <rPr>
        <sz val="11"/>
        <rFont val="Consolas"/>
        <family val="3"/>
      </rPr>
      <t>/La Morte Amoureuse</t>
    </r>
    <rPh sb="0" eb="1">
      <t>シ</t>
    </rPh>
    <rPh sb="1" eb="2">
      <t>ジョ</t>
    </rPh>
    <rPh sb="3" eb="4">
      <t>コイ</t>
    </rPh>
    <phoneticPr fontId="1"/>
  </si>
  <si>
    <r>
      <rPr>
        <sz val="11"/>
        <rFont val="游ゴシック Medium"/>
        <family val="3"/>
        <charset val="128"/>
      </rPr>
      <t>罪のなかの幸福</t>
    </r>
    <r>
      <rPr>
        <sz val="11"/>
        <rFont val="Consolas"/>
        <family val="3"/>
      </rPr>
      <t>/Le Bonheur dans Le Crime</t>
    </r>
    <rPh sb="0" eb="1">
      <t>ツミ</t>
    </rPh>
    <rPh sb="5" eb="7">
      <t>コウフク</t>
    </rPh>
    <phoneticPr fontId="1"/>
  </si>
  <si>
    <r>
      <rPr>
        <sz val="11"/>
        <rFont val="游ゴシック Medium"/>
        <family val="3"/>
        <charset val="128"/>
      </rPr>
      <t>フルートとハープ</t>
    </r>
    <r>
      <rPr>
        <sz val="11"/>
        <rFont val="Consolas"/>
        <family val="3"/>
      </rPr>
      <t>/Berthe et Rodolphe</t>
    </r>
    <phoneticPr fontId="1"/>
  </si>
  <si>
    <r>
      <rPr>
        <sz val="11"/>
        <rFont val="游ゴシック Medium"/>
        <family val="3"/>
        <charset val="128"/>
      </rPr>
      <t>勇み肌の男</t>
    </r>
    <r>
      <rPr>
        <sz val="11"/>
        <rFont val="Consolas"/>
        <family val="3"/>
      </rPr>
      <t>/Un Hommes Courageux</t>
    </r>
    <rPh sb="0" eb="1">
      <t>イサ</t>
    </rPh>
    <rPh sb="2" eb="3">
      <t>ハダ</t>
    </rPh>
    <rPh sb="4" eb="5">
      <t>オトコ</t>
    </rPh>
    <phoneticPr fontId="1"/>
  </si>
  <si>
    <r>
      <rPr>
        <sz val="11"/>
        <rFont val="游ゴシック Medium"/>
        <family val="3"/>
        <charset val="128"/>
      </rPr>
      <t>恋愛の科学</t>
    </r>
    <r>
      <rPr>
        <sz val="11"/>
        <rFont val="Consolas"/>
        <family val="3"/>
      </rPr>
      <t>/La Science de L'Amour</t>
    </r>
    <rPh sb="0" eb="2">
      <t>レンアイ</t>
    </rPh>
    <rPh sb="3" eb="5">
      <t>カガク</t>
    </rPh>
    <phoneticPr fontId="1"/>
  </si>
  <si>
    <r>
      <rPr>
        <sz val="11"/>
        <rFont val="游ゴシック Medium"/>
        <family val="3"/>
        <charset val="128"/>
      </rPr>
      <t>手</t>
    </r>
    <r>
      <rPr>
        <sz val="11"/>
        <rFont val="Consolas"/>
        <family val="3"/>
      </rPr>
      <t>/La Main</t>
    </r>
    <rPh sb="0" eb="1">
      <t>テ</t>
    </rPh>
    <phoneticPr fontId="1"/>
  </si>
  <si>
    <r>
      <rPr>
        <sz val="11"/>
        <rFont val="游ゴシック Medium"/>
        <family val="3"/>
        <charset val="128"/>
      </rPr>
      <t>奇妙な死</t>
    </r>
    <r>
      <rPr>
        <sz val="11"/>
        <rFont val="Consolas"/>
        <family val="3"/>
      </rPr>
      <t>/Une Morte Bizzarre</t>
    </r>
    <rPh sb="0" eb="2">
      <t>キミョウ</t>
    </rPh>
    <rPh sb="3" eb="4">
      <t>シ</t>
    </rPh>
    <phoneticPr fontId="1"/>
  </si>
  <si>
    <r>
      <rPr>
        <sz val="11"/>
        <rFont val="游ゴシック Medium"/>
        <family val="3"/>
        <charset val="128"/>
      </rPr>
      <t>仮面の孔</t>
    </r>
    <r>
      <rPr>
        <sz val="11"/>
        <rFont val="Consolas"/>
        <family val="3"/>
      </rPr>
      <t>/Les Trous du Masque</t>
    </r>
    <rPh sb="0" eb="2">
      <t>カメン</t>
    </rPh>
    <rPh sb="3" eb="4">
      <t>アナ</t>
    </rPh>
    <phoneticPr fontId="1"/>
  </si>
  <si>
    <r>
      <rPr>
        <sz val="11"/>
        <rFont val="游ゴシック Medium"/>
        <family val="3"/>
        <charset val="128"/>
      </rPr>
      <t>フォントフレード館の秘密</t>
    </r>
    <r>
      <rPr>
        <sz val="11"/>
        <rFont val="Consolas"/>
        <family val="3"/>
      </rPr>
      <t>/Le Myste`re de Fontefre'de</t>
    </r>
    <rPh sb="8" eb="9">
      <t>カン</t>
    </rPh>
    <rPh sb="10" eb="12">
      <t>ヒミツ</t>
    </rPh>
    <phoneticPr fontId="1"/>
  </si>
  <si>
    <r>
      <rPr>
        <sz val="11"/>
        <rFont val="游ゴシック Medium"/>
        <family val="3"/>
        <charset val="128"/>
      </rPr>
      <t>列車〇八一</t>
    </r>
    <r>
      <rPr>
        <sz val="11"/>
        <rFont val="Consolas"/>
        <family val="3"/>
      </rPr>
      <t>/Train 081</t>
    </r>
    <rPh sb="0" eb="2">
      <t>レッシャ</t>
    </rPh>
    <rPh sb="2" eb="3">
      <t>ゼロ</t>
    </rPh>
    <rPh sb="3" eb="5">
      <t>ハチイチ</t>
    </rPh>
    <phoneticPr fontId="1"/>
  </si>
  <si>
    <r>
      <rPr>
        <sz val="11"/>
        <rFont val="游ゴシック Medium"/>
        <family val="3"/>
        <charset val="128"/>
      </rPr>
      <t>幽霊船</t>
    </r>
    <r>
      <rPr>
        <sz val="11"/>
        <rFont val="Consolas"/>
        <family val="3"/>
      </rPr>
      <t>/Le Vaisseau Fanto^me</t>
    </r>
    <rPh sb="0" eb="3">
      <t>ユウレイセン</t>
    </rPh>
    <phoneticPr fontId="1"/>
  </si>
  <si>
    <r>
      <rPr>
        <sz val="11"/>
        <rFont val="游ゴシック Medium"/>
        <family val="3"/>
        <charset val="128"/>
      </rPr>
      <t>オノレ･シュブラックの消滅</t>
    </r>
    <r>
      <rPr>
        <sz val="11"/>
        <rFont val="Consolas"/>
        <family val="3"/>
      </rPr>
      <t>/La Disparition d'Honore' Subrac</t>
    </r>
    <rPh sb="11" eb="13">
      <t>ショウメツ</t>
    </rPh>
    <phoneticPr fontId="1"/>
  </si>
  <si>
    <r>
      <rPr>
        <sz val="11"/>
        <rFont val="游ゴシック Medium"/>
        <family val="3"/>
        <charset val="128"/>
      </rPr>
      <t>ミスタア虞</t>
    </r>
    <r>
      <rPr>
        <sz val="11"/>
        <rFont val="Consolas"/>
        <family val="3"/>
      </rPr>
      <t>/Mr. U.</t>
    </r>
    <rPh sb="4" eb="5">
      <t>オソレ</t>
    </rPh>
    <phoneticPr fontId="1"/>
  </si>
  <si>
    <r>
      <rPr>
        <sz val="11"/>
        <rFont val="游ゴシック Medium"/>
        <family val="3"/>
        <charset val="128"/>
      </rPr>
      <t>自転車の怪</t>
    </r>
    <r>
      <rPr>
        <sz val="11"/>
        <rFont val="Consolas"/>
        <family val="3"/>
      </rPr>
      <t>/Le Tandem</t>
    </r>
    <rPh sb="0" eb="3">
      <t>ジテンシャ</t>
    </rPh>
    <rPh sb="4" eb="5">
      <t>カイ</t>
    </rPh>
    <phoneticPr fontId="1"/>
  </si>
  <si>
    <r>
      <rPr>
        <sz val="11"/>
        <rFont val="游ゴシック Medium"/>
        <family val="3"/>
        <charset val="128"/>
      </rPr>
      <t>最初の舞踏会</t>
    </r>
    <r>
      <rPr>
        <sz val="11"/>
        <rFont val="Consolas"/>
        <family val="3"/>
      </rPr>
      <t>/La De'butante</t>
    </r>
    <rPh sb="0" eb="2">
      <t>サイショ</t>
    </rPh>
    <rPh sb="3" eb="6">
      <t>ブトウカイ</t>
    </rPh>
    <phoneticPr fontId="1"/>
  </si>
  <si>
    <r>
      <rPr>
        <sz val="11"/>
        <rFont val="游ゴシック Medium"/>
        <family val="3"/>
        <charset val="128"/>
      </rPr>
      <t>クライスト</t>
    </r>
    <phoneticPr fontId="1"/>
  </si>
  <si>
    <r>
      <rPr>
        <sz val="11"/>
        <rFont val="游ゴシック Medium"/>
        <family val="3"/>
        <charset val="128"/>
      </rPr>
      <t>ロカルノの女乞食</t>
    </r>
    <r>
      <rPr>
        <sz val="11"/>
        <rFont val="Consolas"/>
        <family val="3"/>
      </rPr>
      <t>/</t>
    </r>
    <rPh sb="5" eb="6">
      <t>オンナ</t>
    </rPh>
    <rPh sb="6" eb="8">
      <t>コジキ</t>
    </rPh>
    <phoneticPr fontId="1"/>
  </si>
  <si>
    <r>
      <rPr>
        <sz val="11"/>
        <rFont val="游ゴシック Medium"/>
        <family val="3"/>
        <charset val="128"/>
      </rPr>
      <t>ケルナー</t>
    </r>
    <phoneticPr fontId="1"/>
  </si>
  <si>
    <r>
      <rPr>
        <sz val="11"/>
        <rFont val="游ゴシック Medium"/>
        <family val="3"/>
        <charset val="128"/>
      </rPr>
      <t>たてごと</t>
    </r>
    <r>
      <rPr>
        <sz val="11"/>
        <rFont val="Consolas"/>
        <family val="3"/>
      </rPr>
      <t>/</t>
    </r>
    <phoneticPr fontId="1"/>
  </si>
  <si>
    <r>
      <rPr>
        <sz val="11"/>
        <rFont val="游ゴシック Medium"/>
        <family val="3"/>
        <charset val="128"/>
      </rPr>
      <t>エーベルス</t>
    </r>
    <phoneticPr fontId="1"/>
  </si>
  <si>
    <r>
      <rPr>
        <sz val="11"/>
        <rFont val="游ゴシック Medium"/>
        <family val="3"/>
        <charset val="128"/>
      </rPr>
      <t>蜘蛛</t>
    </r>
    <r>
      <rPr>
        <sz val="11"/>
        <rFont val="Consolas"/>
        <family val="3"/>
      </rPr>
      <t>/</t>
    </r>
    <rPh sb="0" eb="2">
      <t>クモ</t>
    </rPh>
    <phoneticPr fontId="1"/>
  </si>
  <si>
    <r>
      <rPr>
        <sz val="11"/>
        <rFont val="游ゴシック Medium"/>
        <family val="3"/>
        <charset val="128"/>
      </rPr>
      <t>イグナーツ･デンナー</t>
    </r>
    <r>
      <rPr>
        <sz val="11"/>
        <rFont val="Consolas"/>
        <family val="3"/>
      </rPr>
      <t>/</t>
    </r>
    <phoneticPr fontId="1"/>
  </si>
  <si>
    <r>
      <rPr>
        <sz val="11"/>
        <rFont val="游ゴシック Medium"/>
        <family val="3"/>
        <charset val="128"/>
      </rPr>
      <t>怪奇小説傑作集</t>
    </r>
    <r>
      <rPr>
        <sz val="11"/>
        <rFont val="Consolas"/>
        <family val="3"/>
      </rPr>
      <t>5</t>
    </r>
    <r>
      <rPr>
        <sz val="11"/>
        <rFont val="游ゴシック Medium"/>
        <family val="3"/>
        <charset val="128"/>
      </rPr>
      <t>独露編</t>
    </r>
    <r>
      <rPr>
        <sz val="11"/>
        <rFont val="Consolas"/>
        <family val="3"/>
      </rPr>
      <t>/</t>
    </r>
    <r>
      <rPr>
        <sz val="11"/>
        <rFont val="游ゴシック Medium"/>
        <family val="3"/>
        <charset val="128"/>
      </rPr>
      <t>ロシア編</t>
    </r>
    <r>
      <rPr>
        <sz val="11"/>
        <rFont val="Consolas"/>
        <family val="3"/>
      </rPr>
      <t>/</t>
    </r>
    <r>
      <rPr>
        <sz val="11"/>
        <rFont val="游ゴシック Medium"/>
        <family val="3"/>
        <charset val="128"/>
      </rPr>
      <t>エーベルス他</t>
    </r>
    <r>
      <rPr>
        <sz val="11"/>
        <rFont val="Consolas"/>
        <family val="3"/>
      </rPr>
      <t>/</t>
    </r>
    <r>
      <rPr>
        <sz val="11"/>
        <rFont val="游ゴシック Medium"/>
        <family val="3"/>
        <charset val="128"/>
      </rPr>
      <t>植田敏郎･原</t>
    </r>
    <r>
      <rPr>
        <sz val="11"/>
        <rFont val="Consolas"/>
        <family val="3"/>
      </rPr>
      <t xml:space="preserve"> </t>
    </r>
    <r>
      <rPr>
        <sz val="11"/>
        <rFont val="游ゴシック Medium"/>
        <family val="3"/>
        <charset val="128"/>
      </rPr>
      <t>卓也</t>
    </r>
    <r>
      <rPr>
        <sz val="11"/>
        <rFont val="Consolas"/>
        <family val="3"/>
      </rPr>
      <t>:</t>
    </r>
    <r>
      <rPr>
        <sz val="11"/>
        <rFont val="游ゴシック Medium"/>
        <family val="3"/>
        <charset val="128"/>
      </rPr>
      <t>訳</t>
    </r>
    <r>
      <rPr>
        <sz val="11"/>
        <rFont val="Consolas"/>
        <family val="3"/>
      </rPr>
      <t>/Great Stories of Horror and the Supernatural</t>
    </r>
    <rPh sb="0" eb="2">
      <t>カイキ</t>
    </rPh>
    <rPh sb="2" eb="4">
      <t>ショウセツ</t>
    </rPh>
    <rPh sb="4" eb="6">
      <t>ケッサク</t>
    </rPh>
    <rPh sb="6" eb="7">
      <t>シュウ</t>
    </rPh>
    <rPh sb="8" eb="9">
      <t>ドク</t>
    </rPh>
    <rPh sb="9" eb="10">
      <t>ロ</t>
    </rPh>
    <rPh sb="10" eb="11">
      <t>ヘン</t>
    </rPh>
    <rPh sb="15" eb="16">
      <t>ヘン</t>
    </rPh>
    <rPh sb="22" eb="23">
      <t>ホカ</t>
    </rPh>
    <rPh sb="24" eb="26">
      <t>ウエダ</t>
    </rPh>
    <rPh sb="26" eb="28">
      <t>トシロウ</t>
    </rPh>
    <rPh sb="29" eb="30">
      <t>ハラ</t>
    </rPh>
    <rPh sb="31" eb="33">
      <t>タクヤ</t>
    </rPh>
    <rPh sb="34" eb="35">
      <t>ヤク</t>
    </rPh>
    <phoneticPr fontId="1"/>
  </si>
  <si>
    <r>
      <rPr>
        <sz val="11"/>
        <rFont val="游ゴシック Medium"/>
        <family val="3"/>
        <charset val="128"/>
      </rPr>
      <t>アルツイバーシェフ</t>
    </r>
    <phoneticPr fontId="1"/>
  </si>
  <si>
    <r>
      <rPr>
        <sz val="11"/>
        <rFont val="游ゴシック Medium"/>
        <family val="3"/>
        <charset val="128"/>
      </rPr>
      <t>深夜の幻影</t>
    </r>
    <r>
      <rPr>
        <sz val="11"/>
        <rFont val="Consolas"/>
        <family val="3"/>
      </rPr>
      <t>/</t>
    </r>
    <rPh sb="0" eb="2">
      <t>シンヤ</t>
    </rPh>
    <rPh sb="3" eb="5">
      <t>ゲンエイ</t>
    </rPh>
    <phoneticPr fontId="1"/>
  </si>
  <si>
    <r>
      <rPr>
        <sz val="11"/>
        <rFont val="游ゴシック Medium"/>
        <family val="3"/>
        <charset val="128"/>
      </rPr>
      <t>レミゾフ</t>
    </r>
    <phoneticPr fontId="1"/>
  </si>
  <si>
    <r>
      <rPr>
        <sz val="11"/>
        <rFont val="游ゴシック Medium"/>
        <family val="3"/>
        <charset val="128"/>
      </rPr>
      <t>犠牲</t>
    </r>
    <r>
      <rPr>
        <sz val="11"/>
        <rFont val="Consolas"/>
        <family val="3"/>
      </rPr>
      <t>/</t>
    </r>
    <rPh sb="0" eb="2">
      <t>ギセイ</t>
    </rPh>
    <phoneticPr fontId="1"/>
  </si>
  <si>
    <r>
      <rPr>
        <sz val="11"/>
        <rFont val="游ゴシック Medium"/>
        <family val="3"/>
        <charset val="128"/>
      </rPr>
      <t>妖女</t>
    </r>
    <r>
      <rPr>
        <sz val="11"/>
        <rFont val="Consolas"/>
        <family val="3"/>
      </rPr>
      <t>/</t>
    </r>
    <rPh sb="0" eb="2">
      <t>ヴィイ</t>
    </rPh>
    <phoneticPr fontId="1"/>
  </si>
  <si>
    <r>
      <rPr>
        <sz val="11"/>
        <rFont val="游ゴシック Medium"/>
        <family val="3"/>
        <charset val="128"/>
      </rPr>
      <t>黒衣の僧</t>
    </r>
    <r>
      <rPr>
        <sz val="11"/>
        <rFont val="Consolas"/>
        <family val="3"/>
      </rPr>
      <t>/</t>
    </r>
    <rPh sb="0" eb="2">
      <t>コクイ</t>
    </rPh>
    <rPh sb="3" eb="4">
      <t>ソウ</t>
    </rPh>
    <phoneticPr fontId="1"/>
  </si>
  <si>
    <r>
      <rPr>
        <sz val="11"/>
        <rFont val="游ゴシック Medium"/>
        <family val="3"/>
        <charset val="128"/>
      </rPr>
      <t>カリオストロ</t>
    </r>
    <r>
      <rPr>
        <sz val="11"/>
        <rFont val="Consolas"/>
        <family val="3"/>
      </rPr>
      <t>/</t>
    </r>
    <phoneticPr fontId="1"/>
  </si>
  <si>
    <r>
      <rPr>
        <sz val="11"/>
        <rFont val="游ゴシック Medium"/>
        <family val="3"/>
        <charset val="128"/>
      </rPr>
      <t>解説</t>
    </r>
    <r>
      <rPr>
        <sz val="11"/>
        <rFont val="Consolas"/>
        <family val="3"/>
      </rPr>
      <t>(</t>
    </r>
    <r>
      <rPr>
        <sz val="11"/>
        <rFont val="游ゴシック Medium"/>
        <family val="3"/>
        <charset val="128"/>
      </rPr>
      <t>ドイツ編</t>
    </r>
    <r>
      <rPr>
        <sz val="11"/>
        <rFont val="Consolas"/>
        <family val="3"/>
      </rPr>
      <t>)</t>
    </r>
    <rPh sb="0" eb="2">
      <t>カイセツ</t>
    </rPh>
    <rPh sb="6" eb="7">
      <t>ヘン</t>
    </rPh>
    <phoneticPr fontId="1"/>
  </si>
  <si>
    <r>
      <rPr>
        <sz val="11"/>
        <rFont val="游ゴシック Medium"/>
        <family val="3"/>
        <charset val="128"/>
      </rPr>
      <t>解説</t>
    </r>
    <r>
      <rPr>
        <sz val="11"/>
        <rFont val="Consolas"/>
        <family val="3"/>
      </rPr>
      <t>(</t>
    </r>
    <r>
      <rPr>
        <sz val="11"/>
        <rFont val="游ゴシック Medium"/>
        <family val="3"/>
        <charset val="128"/>
      </rPr>
      <t>ロシア編</t>
    </r>
    <r>
      <rPr>
        <sz val="11"/>
        <rFont val="Consolas"/>
        <family val="3"/>
      </rPr>
      <t>)</t>
    </r>
    <rPh sb="0" eb="2">
      <t>カイセツ</t>
    </rPh>
    <rPh sb="6" eb="7">
      <t>ヘン</t>
    </rPh>
    <phoneticPr fontId="1"/>
  </si>
  <si>
    <r>
      <rPr>
        <sz val="11"/>
        <rFont val="游ゴシック Medium"/>
        <family val="3"/>
        <charset val="128"/>
      </rPr>
      <t>ミセス･ヴィールの幽霊</t>
    </r>
    <r>
      <rPr>
        <sz val="11"/>
        <rFont val="Consolas"/>
        <family val="3"/>
      </rPr>
      <t>/The True Relation of the Apparition of one Mrs. Veal</t>
    </r>
    <rPh sb="9" eb="11">
      <t>ユウレイ</t>
    </rPh>
    <phoneticPr fontId="1"/>
  </si>
  <si>
    <r>
      <rPr>
        <sz val="11"/>
        <rFont val="游ゴシック Medium"/>
        <family val="3"/>
        <charset val="128"/>
      </rPr>
      <t>昼</t>
    </r>
    <rPh sb="0" eb="1">
      <t>ヒル</t>
    </rPh>
    <phoneticPr fontId="1"/>
  </si>
  <si>
    <r>
      <rPr>
        <sz val="11"/>
        <rFont val="游ゴシック Medium"/>
        <family val="3"/>
        <charset val="128"/>
      </rPr>
      <t>消えちゃった</t>
    </r>
    <r>
      <rPr>
        <sz val="11"/>
        <rFont val="Consolas"/>
        <family val="3"/>
      </rPr>
      <t>/Gone Away</t>
    </r>
    <rPh sb="0" eb="1">
      <t>キ</t>
    </rPh>
    <phoneticPr fontId="1"/>
  </si>
  <si>
    <r>
      <rPr>
        <sz val="11"/>
        <rFont val="游ゴシック Medium"/>
        <family val="3"/>
        <charset val="128"/>
      </rPr>
      <t>希望荘</t>
    </r>
    <r>
      <rPr>
        <sz val="11"/>
        <rFont val="Consolas"/>
        <family val="3"/>
      </rPr>
      <t>/The Villa Desiree</t>
    </r>
    <rPh sb="0" eb="2">
      <t>キボウ</t>
    </rPh>
    <rPh sb="2" eb="3">
      <t>ソウ</t>
    </rPh>
    <phoneticPr fontId="1"/>
  </si>
  <si>
    <r>
      <rPr>
        <sz val="11"/>
        <rFont val="游ゴシック Medium"/>
        <family val="3"/>
        <charset val="128"/>
      </rPr>
      <t>防人</t>
    </r>
    <r>
      <rPr>
        <sz val="11"/>
        <rFont val="Consolas"/>
        <family val="3"/>
      </rPr>
      <t>/The Frontier Guards</t>
    </r>
    <rPh sb="0" eb="2">
      <t>サキモリ</t>
    </rPh>
    <phoneticPr fontId="1"/>
  </si>
  <si>
    <r>
      <rPr>
        <sz val="11"/>
        <rFont val="游ゴシック Medium"/>
        <family val="3"/>
        <charset val="128"/>
      </rPr>
      <t>チャールズ･リンクワースの懺悔</t>
    </r>
    <r>
      <rPr>
        <sz val="11"/>
        <rFont val="Consolas"/>
        <family val="3"/>
      </rPr>
      <t>/Confession of Charles Linkworth</t>
    </r>
    <rPh sb="13" eb="15">
      <t>ザンゲ</t>
    </rPh>
    <phoneticPr fontId="1"/>
  </si>
  <si>
    <r>
      <rPr>
        <sz val="11"/>
        <rFont val="游ゴシック Medium"/>
        <family val="3"/>
        <charset val="128"/>
      </rPr>
      <t>ブライトン街道で</t>
    </r>
    <r>
      <rPr>
        <sz val="11"/>
        <rFont val="Consolas"/>
        <family val="3"/>
      </rPr>
      <t>/On the Brighton Road</t>
    </r>
    <rPh sb="5" eb="7">
      <t>カイドウ</t>
    </rPh>
    <phoneticPr fontId="1"/>
  </si>
  <si>
    <r>
      <rPr>
        <sz val="11"/>
        <rFont val="游ゴシック Medium"/>
        <family val="3"/>
        <charset val="128"/>
      </rPr>
      <t>見えない眼</t>
    </r>
    <r>
      <rPr>
        <sz val="11"/>
        <rFont val="Consolas"/>
        <family val="3"/>
      </rPr>
      <t>/The Invisible Eye</t>
    </r>
    <rPh sb="0" eb="1">
      <t>ミ</t>
    </rPh>
    <rPh sb="4" eb="5">
      <t>メ</t>
    </rPh>
    <phoneticPr fontId="1"/>
  </si>
  <si>
    <r>
      <rPr>
        <sz val="11"/>
        <rFont val="游ゴシック Medium"/>
        <family val="3"/>
        <charset val="128"/>
      </rPr>
      <t>象牙の骨牌</t>
    </r>
    <r>
      <rPr>
        <sz val="11"/>
        <rFont val="Consolas"/>
        <family val="3"/>
      </rPr>
      <t>/The Ivory Cards</t>
    </r>
    <rPh sb="0" eb="2">
      <t>ゾウゲ</t>
    </rPh>
    <rPh sb="3" eb="5">
      <t>カルタ</t>
    </rPh>
    <phoneticPr fontId="1"/>
  </si>
  <si>
    <r>
      <rPr>
        <sz val="11"/>
        <rFont val="游ゴシック Medium"/>
        <family val="3"/>
        <charset val="128"/>
      </rPr>
      <t>クロウル奥方の幽霊</t>
    </r>
    <r>
      <rPr>
        <sz val="11"/>
        <rFont val="Consolas"/>
        <family val="3"/>
      </rPr>
      <t>/Madam Crowl's Ghost</t>
    </r>
    <rPh sb="4" eb="6">
      <t>オクガタ</t>
    </rPh>
    <rPh sb="7" eb="9">
      <t>ユウレイ</t>
    </rPh>
    <phoneticPr fontId="1"/>
  </si>
  <si>
    <r>
      <rPr>
        <sz val="11"/>
        <rFont val="游ゴシック Medium"/>
        <family val="3"/>
        <charset val="128"/>
      </rPr>
      <t>ラント夫人</t>
    </r>
    <r>
      <rPr>
        <sz val="11"/>
        <rFont val="Consolas"/>
        <family val="3"/>
      </rPr>
      <t>/Mrs. Lunt</t>
    </r>
    <rPh sb="3" eb="5">
      <t>フジン</t>
    </rPh>
    <phoneticPr fontId="1"/>
  </si>
  <si>
    <r>
      <rPr>
        <sz val="11"/>
        <rFont val="游ゴシック Medium"/>
        <family val="3"/>
        <charset val="128"/>
      </rPr>
      <t>慎重な夫婦</t>
    </r>
    <r>
      <rPr>
        <sz val="11"/>
        <rFont val="Consolas"/>
        <family val="3"/>
      </rPr>
      <t>/The Considerate Hosts</t>
    </r>
    <rPh sb="0" eb="2">
      <t>シンチョウ</t>
    </rPh>
    <rPh sb="3" eb="5">
      <t>フウフ</t>
    </rPh>
    <phoneticPr fontId="1"/>
  </si>
  <si>
    <r>
      <rPr>
        <sz val="11"/>
        <rFont val="游ゴシック Medium"/>
        <family val="3"/>
        <charset val="128"/>
      </rPr>
      <t>手招く美女</t>
    </r>
    <r>
      <rPr>
        <sz val="11"/>
        <rFont val="Consolas"/>
        <family val="3"/>
      </rPr>
      <t>/The Beckoning Fair One</t>
    </r>
    <rPh sb="0" eb="2">
      <t>テマネ</t>
    </rPh>
    <rPh sb="3" eb="5">
      <t>ビジョ</t>
    </rPh>
    <phoneticPr fontId="1"/>
  </si>
  <si>
    <r>
      <rPr>
        <sz val="11"/>
        <rFont val="游ゴシック Medium"/>
        <family val="3"/>
        <charset val="128"/>
      </rPr>
      <t>失踪</t>
    </r>
    <r>
      <rPr>
        <sz val="11"/>
        <rFont val="Consolas"/>
        <family val="3"/>
      </rPr>
      <t>/Missing</t>
    </r>
    <rPh sb="0" eb="2">
      <t>シッソウ</t>
    </rPh>
    <phoneticPr fontId="1"/>
  </si>
  <si>
    <r>
      <rPr>
        <sz val="11"/>
        <rFont val="游ゴシック Medium"/>
        <family val="3"/>
        <charset val="128"/>
      </rPr>
      <t>色絵の皿</t>
    </r>
    <r>
      <rPr>
        <sz val="11"/>
        <rFont val="Consolas"/>
        <family val="3"/>
      </rPr>
      <t>/The Crown Derby Plate</t>
    </r>
    <rPh sb="0" eb="2">
      <t>イロエ</t>
    </rPh>
    <rPh sb="3" eb="4">
      <t>サラ</t>
    </rPh>
    <phoneticPr fontId="1"/>
  </si>
  <si>
    <r>
      <rPr>
        <sz val="11"/>
        <rFont val="游ゴシック Medium"/>
        <family val="3"/>
        <charset val="128"/>
      </rPr>
      <t>壁画の中の顔</t>
    </r>
    <r>
      <rPr>
        <sz val="11"/>
        <rFont val="Consolas"/>
        <family val="3"/>
      </rPr>
      <t>/The Face in the Fresco</t>
    </r>
    <rPh sb="0" eb="2">
      <t>ヘキガ</t>
    </rPh>
    <rPh sb="3" eb="4">
      <t>ナカ</t>
    </rPh>
    <rPh sb="5" eb="6">
      <t>カオ</t>
    </rPh>
    <phoneticPr fontId="1"/>
  </si>
  <si>
    <r>
      <t>Quiller-Couch,Sir Arthur T./</t>
    </r>
    <r>
      <rPr>
        <sz val="11"/>
        <rFont val="游ゴシック Medium"/>
        <family val="3"/>
        <charset val="128"/>
      </rPr>
      <t>筆名</t>
    </r>
    <r>
      <rPr>
        <sz val="11"/>
        <rFont val="Consolas"/>
        <family val="3"/>
      </rPr>
      <t>"Q"</t>
    </r>
    <rPh sb="0" eb="13">
      <t>キラ=クーチ</t>
    </rPh>
    <rPh sb="14" eb="17">
      <t>サー</t>
    </rPh>
    <rPh sb="18" eb="24">
      <t>アーサー</t>
    </rPh>
    <rPh sb="28" eb="30">
      <t>ヒツメイ</t>
    </rPh>
    <phoneticPr fontId="1"/>
  </si>
  <si>
    <r>
      <rPr>
        <sz val="11"/>
        <rFont val="游ゴシック Medium"/>
        <family val="3"/>
        <charset val="128"/>
      </rPr>
      <t>一対の手─ある老嬢の階段─</t>
    </r>
    <r>
      <rPr>
        <sz val="11"/>
        <rFont val="Consolas"/>
        <family val="3"/>
      </rPr>
      <t>/A Pair of Hands</t>
    </r>
    <rPh sb="0" eb="2">
      <t>イッツイ</t>
    </rPh>
    <rPh sb="3" eb="4">
      <t>テ</t>
    </rPh>
    <rPh sb="7" eb="8">
      <t>ロウ</t>
    </rPh>
    <rPh sb="8" eb="9">
      <t>ジョウ</t>
    </rPh>
    <rPh sb="10" eb="12">
      <t>カイダン</t>
    </rPh>
    <phoneticPr fontId="1"/>
  </si>
  <si>
    <r>
      <rPr>
        <sz val="11"/>
        <rFont val="游ゴシック Medium"/>
        <family val="3"/>
        <charset val="128"/>
      </rPr>
      <t>徴税所</t>
    </r>
    <r>
      <rPr>
        <sz val="11"/>
        <rFont val="Consolas"/>
        <family val="3"/>
      </rPr>
      <t>/The Toll House</t>
    </r>
    <rPh sb="0" eb="2">
      <t>チョウゼイ</t>
    </rPh>
    <rPh sb="2" eb="3">
      <t>ショ</t>
    </rPh>
    <phoneticPr fontId="1"/>
  </si>
  <si>
    <r>
      <rPr>
        <sz val="11"/>
        <rFont val="游ゴシック Medium"/>
        <family val="3"/>
        <charset val="128"/>
      </rPr>
      <t>角店</t>
    </r>
    <r>
      <rPr>
        <sz val="11"/>
        <rFont val="Consolas"/>
        <family val="3"/>
      </rPr>
      <t>/The Corner Shop</t>
    </r>
    <rPh sb="0" eb="1">
      <t>カド</t>
    </rPh>
    <rPh sb="1" eb="2">
      <t>ミセ</t>
    </rPh>
    <phoneticPr fontId="1"/>
  </si>
  <si>
    <r>
      <rPr>
        <sz val="11"/>
        <rFont val="游ゴシック Medium"/>
        <family val="3"/>
        <charset val="128"/>
      </rPr>
      <t>誰が呼んだ？</t>
    </r>
    <r>
      <rPr>
        <sz val="11"/>
        <rFont val="Consolas"/>
        <family val="3"/>
      </rPr>
      <t>/Someone Calls</t>
    </r>
    <rPh sb="0" eb="1">
      <t>ダレ</t>
    </rPh>
    <rPh sb="2" eb="3">
      <t>ヨ</t>
    </rPh>
    <phoneticPr fontId="1"/>
  </si>
  <si>
    <r>
      <rPr>
        <sz val="11"/>
        <rFont val="游ゴシック Medium"/>
        <family val="3"/>
        <charset val="128"/>
      </rPr>
      <t>二人提督</t>
    </r>
    <r>
      <rPr>
        <sz val="11"/>
        <rFont val="Consolas"/>
        <family val="3"/>
      </rPr>
      <t>/The Double Admiral</t>
    </r>
    <rPh sb="0" eb="2">
      <t>フタリ</t>
    </rPh>
    <rPh sb="2" eb="4">
      <t>テイトク</t>
    </rPh>
    <phoneticPr fontId="1"/>
  </si>
  <si>
    <r>
      <rPr>
        <b/>
        <sz val="11"/>
        <color indexed="33"/>
        <rFont val="游ゴシック Medium"/>
        <family val="3"/>
        <charset val="128"/>
      </rPr>
      <t>シャーロットの鏡</t>
    </r>
    <r>
      <rPr>
        <sz val="11"/>
        <rFont val="Consolas"/>
        <family val="3"/>
      </rPr>
      <t xml:space="preserve">/Fron "The Mirror of Shalott" </t>
    </r>
    <r>
      <rPr>
        <sz val="11"/>
        <rFont val="游ゴシック Medium"/>
        <family val="3"/>
        <charset val="128"/>
      </rPr>
      <t>─</t>
    </r>
    <r>
      <rPr>
        <sz val="11"/>
        <rFont val="Consolas"/>
        <family val="3"/>
      </rPr>
      <t>Father Meuron's Tale;Father Maddox's Tale;</t>
    </r>
    <r>
      <rPr>
        <b/>
        <sz val="11"/>
        <color indexed="33"/>
        <rFont val="Consolas"/>
        <family val="3"/>
      </rPr>
      <t>My Own Tale</t>
    </r>
    <rPh sb="7" eb="8">
      <t>カガミ</t>
    </rPh>
    <phoneticPr fontId="1"/>
  </si>
  <si>
    <r>
      <rPr>
        <sz val="11"/>
        <rFont val="游ゴシック Medium"/>
        <family val="3"/>
        <charset val="128"/>
      </rPr>
      <t>ジャーミン街奇譚</t>
    </r>
    <r>
      <rPr>
        <sz val="11"/>
        <rFont val="Consolas"/>
        <family val="3"/>
      </rPr>
      <t>/My Adventure in Jermyn Street</t>
    </r>
    <rPh sb="5" eb="6">
      <t>ガイ</t>
    </rPh>
    <rPh sb="6" eb="8">
      <t>キタン</t>
    </rPh>
    <phoneticPr fontId="1"/>
  </si>
  <si>
    <r>
      <rPr>
        <sz val="11"/>
        <rFont val="游ゴシック Medium"/>
        <family val="3"/>
        <charset val="128"/>
      </rPr>
      <t>幽霊駅馬車</t>
    </r>
    <r>
      <rPr>
        <sz val="11"/>
        <rFont val="Consolas"/>
        <family val="3"/>
      </rPr>
      <t>/The Phantom Coach</t>
    </r>
    <rPh sb="0" eb="2">
      <t>ユウレイ</t>
    </rPh>
    <rPh sb="2" eb="5">
      <t>エキバシャ</t>
    </rPh>
    <phoneticPr fontId="1"/>
  </si>
  <si>
    <r>
      <rPr>
        <sz val="11"/>
        <rFont val="游ゴシック Medium"/>
        <family val="3"/>
        <charset val="128"/>
      </rPr>
      <t>南西の部屋</t>
    </r>
    <r>
      <rPr>
        <sz val="11"/>
        <rFont val="Consolas"/>
        <family val="3"/>
      </rPr>
      <t>/The Southwest Chamber</t>
    </r>
    <rPh sb="0" eb="2">
      <t>ナンセイ</t>
    </rPh>
    <rPh sb="3" eb="5">
      <t>ヘヤ</t>
    </rPh>
    <phoneticPr fontId="1"/>
  </si>
  <si>
    <r>
      <rPr>
        <sz val="11"/>
        <rFont val="游ゴシック Medium"/>
        <family val="3"/>
        <charset val="128"/>
      </rPr>
      <t>長谷川晋一</t>
    </r>
    <rPh sb="0" eb="3">
      <t>ハセガワ</t>
    </rPh>
    <rPh sb="3" eb="5">
      <t>シンイチ</t>
    </rPh>
    <phoneticPr fontId="1"/>
  </si>
  <si>
    <r>
      <t>Gothic</t>
    </r>
    <r>
      <rPr>
        <sz val="11"/>
        <rFont val="游ゴシック Medium"/>
        <family val="3"/>
        <charset val="128"/>
      </rPr>
      <t>から近代へ─イギリス短編怪奇小説の流れ</t>
    </r>
    <rPh sb="0" eb="6">
      <t>ゴシック</t>
    </rPh>
    <rPh sb="8" eb="10">
      <t>キンダイ</t>
    </rPh>
    <rPh sb="16" eb="18">
      <t>タンペン</t>
    </rPh>
    <rPh sb="18" eb="20">
      <t>カイキ</t>
    </rPh>
    <rPh sb="20" eb="22">
      <t>ショウセツ</t>
    </rPh>
    <rPh sb="23" eb="24">
      <t>ナガ</t>
    </rPh>
    <phoneticPr fontId="1"/>
  </si>
  <si>
    <r>
      <rPr>
        <sz val="11"/>
        <rFont val="游ゴシック Medium"/>
        <family val="3"/>
        <charset val="128"/>
      </rPr>
      <t>現代殺人の解剖</t>
    </r>
    <r>
      <rPr>
        <sz val="11"/>
        <rFont val="Consolas"/>
        <family val="3"/>
      </rPr>
      <t>/</t>
    </r>
    <r>
      <rPr>
        <sz val="11"/>
        <rFont val="游ゴシック Medium"/>
        <family val="3"/>
        <charset val="128"/>
      </rPr>
      <t>暗殺者の世界</t>
    </r>
    <r>
      <rPr>
        <sz val="11"/>
        <rFont val="Consolas"/>
        <family val="3"/>
      </rPr>
      <t>/</t>
    </r>
    <r>
      <rPr>
        <sz val="11"/>
        <rFont val="游ゴシック Medium"/>
        <family val="3"/>
        <charset val="128"/>
      </rPr>
      <t>純粋殺人者の世界</t>
    </r>
    <r>
      <rPr>
        <sz val="11"/>
        <rFont val="Consolas"/>
        <family val="3"/>
      </rPr>
      <t>:</t>
    </r>
    <r>
      <rPr>
        <sz val="11"/>
        <rFont val="游ゴシック Medium"/>
        <family val="3"/>
        <charset val="128"/>
      </rPr>
      <t>改題</t>
    </r>
    <r>
      <rPr>
        <sz val="11"/>
        <rFont val="Consolas"/>
        <family val="3"/>
      </rPr>
      <t>/Order of Assassins</t>
    </r>
    <rPh sb="0" eb="2">
      <t>ゲンダイ</t>
    </rPh>
    <rPh sb="2" eb="4">
      <t>サツジン</t>
    </rPh>
    <rPh sb="5" eb="7">
      <t>カイボウ</t>
    </rPh>
    <rPh sb="8" eb="11">
      <t>アサシン</t>
    </rPh>
    <rPh sb="12" eb="14">
      <t>セカイ</t>
    </rPh>
    <rPh sb="15" eb="17">
      <t>ジュンスイ</t>
    </rPh>
    <rPh sb="17" eb="20">
      <t>サツジンシャ</t>
    </rPh>
    <rPh sb="21" eb="23">
      <t>セカイ</t>
    </rPh>
    <rPh sb="24" eb="26">
      <t>カイダイ</t>
    </rPh>
    <phoneticPr fontId="1"/>
  </si>
  <si>
    <r>
      <rPr>
        <sz val="11"/>
        <rFont val="游ゴシック Medium"/>
        <family val="3"/>
        <charset val="128"/>
      </rPr>
      <t>高儀進</t>
    </r>
    <rPh sb="0" eb="2">
      <t>タカギ</t>
    </rPh>
    <rPh sb="2" eb="3">
      <t>ススム</t>
    </rPh>
    <phoneticPr fontId="1"/>
  </si>
  <si>
    <r>
      <rPr>
        <sz val="11"/>
        <rFont val="游ゴシック Medium"/>
        <family val="3"/>
        <charset val="128"/>
      </rPr>
      <t>殺人</t>
    </r>
    <r>
      <rPr>
        <sz val="11"/>
        <rFont val="Consolas"/>
        <family val="3"/>
      </rPr>
      <t>Casebook/</t>
    </r>
    <r>
      <rPr>
        <sz val="11"/>
        <rFont val="游ゴシック Medium"/>
        <family val="3"/>
        <charset val="128"/>
      </rPr>
      <t>殺人の哲学</t>
    </r>
    <r>
      <rPr>
        <sz val="11"/>
        <rFont val="Consolas"/>
        <family val="3"/>
      </rPr>
      <t>:</t>
    </r>
    <r>
      <rPr>
        <sz val="11"/>
        <rFont val="游ゴシック Medium"/>
        <family val="3"/>
        <charset val="128"/>
      </rPr>
      <t>改題</t>
    </r>
    <r>
      <rPr>
        <sz val="11"/>
        <rFont val="Consolas"/>
        <family val="3"/>
      </rPr>
      <t>/A Casebook of Murder</t>
    </r>
    <rPh sb="0" eb="2">
      <t>サツジン</t>
    </rPh>
    <rPh sb="2" eb="10">
      <t>ケースブック</t>
    </rPh>
    <rPh sb="11" eb="13">
      <t>サツジン</t>
    </rPh>
    <rPh sb="14" eb="16">
      <t>テツガク</t>
    </rPh>
    <rPh sb="17" eb="19">
      <t>カイダイ</t>
    </rPh>
    <phoneticPr fontId="1"/>
  </si>
  <si>
    <r>
      <rPr>
        <sz val="11"/>
        <rFont val="游ゴシック Medium"/>
        <family val="3"/>
        <charset val="128"/>
      </rPr>
      <t>堀</t>
    </r>
    <r>
      <rPr>
        <sz val="11"/>
        <rFont val="Consolas"/>
        <family val="3"/>
      </rPr>
      <t xml:space="preserve"> </t>
    </r>
    <r>
      <rPr>
        <sz val="11"/>
        <rFont val="游ゴシック Medium"/>
        <family val="3"/>
        <charset val="128"/>
      </rPr>
      <t>一郎</t>
    </r>
    <rPh sb="0" eb="1">
      <t>ホリ</t>
    </rPh>
    <rPh sb="2" eb="4">
      <t>イチロウ</t>
    </rPh>
    <phoneticPr fontId="1"/>
  </si>
  <si>
    <r>
      <rPr>
        <sz val="11"/>
        <rFont val="游ゴシック Medium"/>
        <family val="3"/>
        <charset val="128"/>
      </rPr>
      <t>シャーマニズム</t>
    </r>
    <r>
      <rPr>
        <sz val="11"/>
        <rFont val="Consolas"/>
        <family val="3"/>
      </rPr>
      <t xml:space="preserve"> </t>
    </r>
    <r>
      <rPr>
        <sz val="11"/>
        <rFont val="游ゴシック Medium"/>
        <family val="3"/>
        <charset val="128"/>
      </rPr>
      <t>古代的エクスタシー技術</t>
    </r>
    <r>
      <rPr>
        <sz val="11"/>
        <rFont val="Consolas"/>
        <family val="3"/>
      </rPr>
      <t>/Le Chamanisme et les techniques archaiiques de l'extase</t>
    </r>
    <rPh sb="8" eb="11">
      <t>コダイテキ</t>
    </rPh>
    <rPh sb="17" eb="19">
      <t>ギジュツ</t>
    </rPh>
    <phoneticPr fontId="1"/>
  </si>
  <si>
    <r>
      <t xml:space="preserve">1974/11/25 </t>
    </r>
    <r>
      <rPr>
        <sz val="11"/>
        <rFont val="游ゴシック Medium"/>
        <family val="3"/>
        <charset val="128"/>
      </rPr>
      <t>冬樹社</t>
    </r>
    <rPh sb="13" eb="14">
      <t>シャ</t>
    </rPh>
    <phoneticPr fontId="1"/>
  </si>
  <si>
    <r>
      <rPr>
        <sz val="11"/>
        <rFont val="游ゴシック Medium"/>
        <family val="3"/>
        <charset val="128"/>
      </rPr>
      <t>斎藤信治</t>
    </r>
    <rPh sb="0" eb="2">
      <t>サイトウ</t>
    </rPh>
    <rPh sb="2" eb="4">
      <t>シンジ</t>
    </rPh>
    <phoneticPr fontId="1"/>
  </si>
  <si>
    <r>
      <rPr>
        <sz val="11"/>
        <rFont val="游ゴシック Medium"/>
        <family val="3"/>
        <charset val="128"/>
      </rPr>
      <t>死に至る病</t>
    </r>
    <r>
      <rPr>
        <sz val="11"/>
        <rFont val="Consolas"/>
        <family val="3"/>
      </rPr>
      <t>/Jenseits von Gut und Fose</t>
    </r>
    <rPh sb="0" eb="1">
      <t>シ</t>
    </rPh>
    <rPh sb="2" eb="3">
      <t>イタ</t>
    </rPh>
    <rPh sb="4" eb="5">
      <t>ヤマイ</t>
    </rPh>
    <phoneticPr fontId="1"/>
  </si>
  <si>
    <r>
      <rPr>
        <sz val="11"/>
        <rFont val="游ゴシック Medium"/>
        <family val="3"/>
        <charset val="128"/>
      </rPr>
      <t>関</t>
    </r>
    <r>
      <rPr>
        <sz val="11"/>
        <rFont val="Consolas"/>
        <family val="3"/>
      </rPr>
      <t xml:space="preserve"> </t>
    </r>
    <r>
      <rPr>
        <sz val="11"/>
        <rFont val="游ゴシック Medium"/>
        <family val="3"/>
        <charset val="128"/>
      </rPr>
      <t>楠生</t>
    </r>
    <rPh sb="0" eb="1">
      <t>セキ</t>
    </rPh>
    <rPh sb="2" eb="4">
      <t>クスオ</t>
    </rPh>
    <phoneticPr fontId="1"/>
  </si>
  <si>
    <r>
      <rPr>
        <sz val="11"/>
        <rFont val="游ゴシック Medium"/>
        <family val="3"/>
        <charset val="128"/>
      </rPr>
      <t>古代への情熱─</t>
    </r>
    <r>
      <rPr>
        <sz val="11"/>
        <rFont val="Consolas"/>
        <family val="3"/>
      </rPr>
      <t>Schliemann</t>
    </r>
    <r>
      <rPr>
        <sz val="11"/>
        <rFont val="游ゴシック Medium"/>
        <family val="3"/>
        <charset val="128"/>
      </rPr>
      <t>自伝─</t>
    </r>
    <r>
      <rPr>
        <sz val="11"/>
        <rFont val="Consolas"/>
        <family val="3"/>
      </rPr>
      <t>/Bis zu Seinem Tode Vervollstandigt</t>
    </r>
    <rPh sb="0" eb="2">
      <t>コダイ</t>
    </rPh>
    <rPh sb="4" eb="6">
      <t>ジョウネツ</t>
    </rPh>
    <rPh sb="7" eb="17">
      <t>シュリーマン</t>
    </rPh>
    <rPh sb="17" eb="19">
      <t>ジデン</t>
    </rPh>
    <phoneticPr fontId="1"/>
  </si>
  <si>
    <r>
      <rPr>
        <sz val="11"/>
        <rFont val="游ゴシック Medium"/>
        <family val="3"/>
        <charset val="128"/>
      </rPr>
      <t>赤根</t>
    </r>
    <r>
      <rPr>
        <sz val="11"/>
        <rFont val="Consolas"/>
        <family val="3"/>
      </rPr>
      <t xml:space="preserve"> </t>
    </r>
    <r>
      <rPr>
        <sz val="11"/>
        <rFont val="游ゴシック Medium"/>
        <family val="3"/>
        <charset val="128"/>
      </rPr>
      <t>洋子</t>
    </r>
    <rPh sb="0" eb="2">
      <t>アカネ</t>
    </rPh>
    <rPh sb="3" eb="5">
      <t>ヨウコ</t>
    </rPh>
    <phoneticPr fontId="1"/>
  </si>
  <si>
    <r>
      <rPr>
        <sz val="11"/>
        <rFont val="游ゴシック Medium"/>
        <family val="3"/>
        <charset val="128"/>
      </rPr>
      <t>オルガスムスのウソ</t>
    </r>
    <r>
      <rPr>
        <sz val="11"/>
        <rFont val="Consolas"/>
        <family val="3"/>
      </rPr>
      <t xml:space="preserve">|Wie der Mensch zum Orgasmus kommt|Vom Höchsten der Gefühle </t>
    </r>
    <phoneticPr fontId="1"/>
  </si>
  <si>
    <r>
      <t>Zarathustra</t>
    </r>
    <r>
      <rPr>
        <sz val="11"/>
        <rFont val="游ゴシック Medium"/>
        <family val="3"/>
        <charset val="128"/>
      </rPr>
      <t>はこう言った</t>
    </r>
    <r>
      <rPr>
        <sz val="11"/>
        <rFont val="Consolas"/>
        <family val="3"/>
      </rPr>
      <t>/Also Sprach Zarathustra</t>
    </r>
    <rPh sb="0" eb="11">
      <t>ツァラトストラ</t>
    </rPh>
    <rPh sb="14" eb="15">
      <t>イ</t>
    </rPh>
    <rPh sb="30" eb="41">
      <t>ツァラトストラ</t>
    </rPh>
    <phoneticPr fontId="1"/>
  </si>
  <si>
    <r>
      <rPr>
        <sz val="11"/>
        <rFont val="游ゴシック Medium"/>
        <family val="3"/>
        <charset val="128"/>
      </rPr>
      <t>阿部六郎</t>
    </r>
    <rPh sb="0" eb="2">
      <t>アベ</t>
    </rPh>
    <rPh sb="2" eb="4">
      <t>ロクロウ</t>
    </rPh>
    <phoneticPr fontId="1"/>
  </si>
  <si>
    <r>
      <rPr>
        <sz val="11"/>
        <rFont val="游ゴシック Medium"/>
        <family val="3"/>
        <charset val="128"/>
      </rPr>
      <t>この人を見よ</t>
    </r>
    <r>
      <rPr>
        <sz val="11"/>
        <rFont val="Consolas"/>
        <family val="3"/>
      </rPr>
      <t>/Ecce Homo/</t>
    </r>
    <r>
      <rPr>
        <sz val="11"/>
        <rFont val="游ゴシック Medium"/>
        <family val="3"/>
        <charset val="128"/>
      </rPr>
      <t>自伝</t>
    </r>
    <rPh sb="2" eb="3">
      <t>ヒト</t>
    </rPh>
    <rPh sb="4" eb="5">
      <t>ミ</t>
    </rPh>
    <rPh sb="17" eb="19">
      <t>ジデン</t>
    </rPh>
    <phoneticPr fontId="1"/>
  </si>
  <si>
    <r>
      <rPr>
        <sz val="11"/>
        <rFont val="游ゴシック Medium"/>
        <family val="3"/>
        <charset val="128"/>
      </rPr>
      <t>竹山道雄</t>
    </r>
    <rPh sb="0" eb="2">
      <t>タケヤマ</t>
    </rPh>
    <rPh sb="2" eb="4">
      <t>ミチオ</t>
    </rPh>
    <phoneticPr fontId="1"/>
  </si>
  <si>
    <r>
      <rPr>
        <sz val="11"/>
        <rFont val="游ゴシック Medium"/>
        <family val="3"/>
        <charset val="128"/>
      </rPr>
      <t>善悪の彼岸</t>
    </r>
    <r>
      <rPr>
        <sz val="11"/>
        <rFont val="Consolas"/>
        <family val="3"/>
      </rPr>
      <t>/Jenseits von Gut und Fose</t>
    </r>
    <rPh sb="0" eb="2">
      <t>ゼンアク</t>
    </rPh>
    <rPh sb="3" eb="5">
      <t>ヒガン</t>
    </rPh>
    <phoneticPr fontId="1"/>
  </si>
  <si>
    <r>
      <rPr>
        <sz val="11"/>
        <rFont val="游ゴシック Medium"/>
        <family val="3"/>
        <charset val="128"/>
      </rPr>
      <t>安田徳太郎</t>
    </r>
    <rPh sb="0" eb="2">
      <t>ヤスダ</t>
    </rPh>
    <rPh sb="2" eb="5">
      <t>トクタロウ</t>
    </rPh>
    <phoneticPr fontId="1"/>
  </si>
  <si>
    <r>
      <rPr>
        <sz val="11"/>
        <rFont val="游ゴシック Medium"/>
        <family val="3"/>
        <charset val="128"/>
      </rPr>
      <t>風俗の歴史</t>
    </r>
    <r>
      <rPr>
        <sz val="11"/>
        <rFont val="Consolas"/>
        <family val="3"/>
      </rPr>
      <t>/</t>
    </r>
    <r>
      <rPr>
        <sz val="11"/>
        <rFont val="游ゴシック Medium"/>
        <family val="3"/>
        <charset val="128"/>
      </rPr>
      <t>完訳</t>
    </r>
    <r>
      <rPr>
        <sz val="11"/>
        <rFont val="Consolas"/>
        <family val="3"/>
      </rPr>
      <t>/</t>
    </r>
    <r>
      <rPr>
        <sz val="11"/>
        <rFont val="游ゴシック Medium"/>
        <family val="3"/>
        <charset val="128"/>
      </rPr>
      <t>全</t>
    </r>
    <r>
      <rPr>
        <sz val="11"/>
        <rFont val="Consolas"/>
        <family val="3"/>
      </rPr>
      <t>9</t>
    </r>
    <r>
      <rPr>
        <sz val="11"/>
        <rFont val="游ゴシック Medium"/>
        <family val="3"/>
        <charset val="128"/>
      </rPr>
      <t>巻</t>
    </r>
    <r>
      <rPr>
        <sz val="11"/>
        <rFont val="Consolas"/>
        <family val="3"/>
      </rPr>
      <t>/Illustrierte Sittengeschichte vom Mittelalter bis zur Gegenwart</t>
    </r>
    <rPh sb="0" eb="2">
      <t>フウゾク</t>
    </rPh>
    <rPh sb="3" eb="5">
      <t>レキシ</t>
    </rPh>
    <rPh sb="6" eb="8">
      <t>カンヤク</t>
    </rPh>
    <rPh sb="9" eb="10">
      <t>ゼン</t>
    </rPh>
    <rPh sb="11" eb="12">
      <t>カン</t>
    </rPh>
    <phoneticPr fontId="1"/>
  </si>
  <si>
    <r>
      <rPr>
        <sz val="11"/>
        <rFont val="游ゴシック Medium"/>
        <family val="3"/>
        <charset val="128"/>
      </rPr>
      <t>分売不可</t>
    </r>
    <rPh sb="0" eb="2">
      <t>ブンバイ</t>
    </rPh>
    <rPh sb="2" eb="4">
      <t>フカ</t>
    </rPh>
    <phoneticPr fontId="1"/>
  </si>
  <si>
    <r>
      <rPr>
        <sz val="11"/>
        <rFont val="游ゴシック Medium"/>
        <family val="3"/>
        <charset val="128"/>
      </rPr>
      <t>統一教会</t>
    </r>
    <r>
      <rPr>
        <sz val="11"/>
        <rFont val="Consolas"/>
        <family val="3"/>
      </rPr>
      <t xml:space="preserve"> </t>
    </r>
    <r>
      <rPr>
        <sz val="11"/>
        <rFont val="游ゴシック Medium"/>
        <family val="3"/>
        <charset val="128"/>
      </rPr>
      <t>文鮮明師</t>
    </r>
    <rPh sb="0" eb="2">
      <t>トウイツ</t>
    </rPh>
    <rPh sb="2" eb="4">
      <t>キョウカイ</t>
    </rPh>
    <rPh sb="5" eb="6">
      <t>ブン</t>
    </rPh>
    <rPh sb="6" eb="8">
      <t>センメイ</t>
    </rPh>
    <rPh sb="8" eb="9">
      <t>シ</t>
    </rPh>
    <phoneticPr fontId="1"/>
  </si>
  <si>
    <r>
      <rPr>
        <sz val="11"/>
        <rFont val="游ゴシック Medium"/>
        <family val="3"/>
        <charset val="128"/>
      </rPr>
      <t>平和を愛する世界人として</t>
    </r>
    <r>
      <rPr>
        <sz val="11"/>
        <rFont val="Consolas"/>
        <family val="3"/>
      </rPr>
      <t xml:space="preserve"> </t>
    </r>
    <r>
      <rPr>
        <sz val="11"/>
        <rFont val="游ゴシック Medium"/>
        <family val="3"/>
        <charset val="128"/>
      </rPr>
      <t>文鮮明自叙伝</t>
    </r>
    <rPh sb="0" eb="2">
      <t>ヘイワ</t>
    </rPh>
    <rPh sb="3" eb="4">
      <t>アイ</t>
    </rPh>
    <rPh sb="6" eb="8">
      <t>セカイ</t>
    </rPh>
    <rPh sb="8" eb="9">
      <t>ジン</t>
    </rPh>
    <rPh sb="13" eb="14">
      <t>ブン</t>
    </rPh>
    <rPh sb="14" eb="16">
      <t>センメイ</t>
    </rPh>
    <rPh sb="16" eb="19">
      <t>ジジョデン</t>
    </rPh>
    <phoneticPr fontId="1"/>
  </si>
  <si>
    <r>
      <rPr>
        <sz val="11"/>
        <rFont val="游ゴシック Medium"/>
        <family val="3"/>
        <charset val="128"/>
      </rPr>
      <t>創芸社</t>
    </r>
    <rPh sb="0" eb="2">
      <t>ソウゲイ</t>
    </rPh>
    <rPh sb="2" eb="3">
      <t>シャ</t>
    </rPh>
    <phoneticPr fontId="1"/>
  </si>
  <si>
    <r>
      <rPr>
        <sz val="11"/>
        <rFont val="游ゴシック Medium"/>
        <family val="3"/>
        <charset val="128"/>
      </rPr>
      <t>街角で無料で配布</t>
    </r>
    <rPh sb="0" eb="2">
      <t>マチカド</t>
    </rPh>
    <rPh sb="3" eb="5">
      <t>ムリョウ</t>
    </rPh>
    <rPh sb="6" eb="8">
      <t>ハイフ</t>
    </rPh>
    <phoneticPr fontId="1"/>
  </si>
  <si>
    <r>
      <rPr>
        <sz val="11"/>
        <rFont val="游ゴシック Medium"/>
        <family val="3"/>
        <charset val="128"/>
      </rPr>
      <t>大内兵衛</t>
    </r>
    <r>
      <rPr>
        <sz val="11"/>
        <rFont val="Consolas"/>
        <family val="3"/>
      </rPr>
      <t>/</t>
    </r>
    <r>
      <rPr>
        <sz val="11"/>
        <rFont val="游ゴシック Medium"/>
        <family val="3"/>
        <charset val="128"/>
      </rPr>
      <t>向坂逸郎</t>
    </r>
    <rPh sb="0" eb="2">
      <t>オオウチ</t>
    </rPh>
    <rPh sb="2" eb="4">
      <t>ヒョウエ</t>
    </rPh>
    <rPh sb="5" eb="7">
      <t>サキサカ</t>
    </rPh>
    <rPh sb="7" eb="9">
      <t>イツロウ</t>
    </rPh>
    <phoneticPr fontId="1"/>
  </si>
  <si>
    <r>
      <rPr>
        <sz val="11"/>
        <rFont val="游ゴシック Medium"/>
        <family val="3"/>
        <charset val="128"/>
      </rPr>
      <t>共産党宣言</t>
    </r>
    <r>
      <rPr>
        <sz val="11"/>
        <rFont val="Consolas"/>
        <family val="3"/>
      </rPr>
      <t>/Das Kommunistische Manifest</t>
    </r>
    <rPh sb="0" eb="5">
      <t>キョウサントウセンゲン</t>
    </rPh>
    <phoneticPr fontId="1"/>
  </si>
  <si>
    <r>
      <rPr>
        <sz val="11"/>
        <rFont val="游ゴシック Medium"/>
        <family val="3"/>
        <charset val="128"/>
      </rPr>
      <t>宮本</t>
    </r>
    <r>
      <rPr>
        <sz val="11"/>
        <rFont val="Consolas"/>
        <family val="3"/>
      </rPr>
      <t xml:space="preserve"> </t>
    </r>
    <r>
      <rPr>
        <sz val="11"/>
        <rFont val="游ゴシック Medium"/>
        <family val="3"/>
        <charset val="128"/>
      </rPr>
      <t>淳</t>
    </r>
    <rPh sb="0" eb="2">
      <t>ミヤモト</t>
    </rPh>
    <rPh sb="3" eb="4">
      <t>ジュン</t>
    </rPh>
    <phoneticPr fontId="1"/>
  </si>
  <si>
    <r>
      <rPr>
        <sz val="11"/>
        <rFont val="游ゴシック Medium"/>
        <family val="3"/>
        <charset val="128"/>
      </rPr>
      <t>平行植物</t>
    </r>
    <r>
      <rPr>
        <sz val="11"/>
        <rFont val="Consolas"/>
        <family val="3"/>
      </rPr>
      <t>/La botanica parallela</t>
    </r>
    <rPh sb="0" eb="2">
      <t>ヘイコウ</t>
    </rPh>
    <rPh sb="2" eb="4">
      <t>ショクブツ</t>
    </rPh>
    <phoneticPr fontId="1"/>
  </si>
  <si>
    <r>
      <t>1976,1980</t>
    </r>
    <r>
      <rPr>
        <sz val="11"/>
        <rFont val="游ゴシック Medium"/>
        <family val="3"/>
        <charset val="128"/>
      </rPr>
      <t>工作舎</t>
    </r>
    <r>
      <rPr>
        <sz val="11"/>
        <rFont val="Consolas"/>
        <family val="3"/>
      </rPr>
      <t>,1998</t>
    </r>
    <rPh sb="9" eb="11">
      <t>コウサク</t>
    </rPh>
    <rPh sb="11" eb="12">
      <t>シャ</t>
    </rPh>
    <phoneticPr fontId="1"/>
  </si>
  <si>
    <r>
      <rPr>
        <sz val="11"/>
        <rFont val="游ゴシック Medium"/>
        <family val="3"/>
        <charset val="128"/>
      </rPr>
      <t>木幡和枝</t>
    </r>
    <rPh sb="0" eb="2">
      <t>コバタ</t>
    </rPh>
    <rPh sb="2" eb="4">
      <t>カズエ</t>
    </rPh>
    <phoneticPr fontId="1"/>
  </si>
  <si>
    <r>
      <t>Heaven's Breath/</t>
    </r>
    <r>
      <rPr>
        <sz val="11"/>
        <rFont val="游ゴシック Medium"/>
        <family val="3"/>
        <charset val="128"/>
      </rPr>
      <t>風の博物誌</t>
    </r>
    <rPh sb="16" eb="17">
      <t>カゼ</t>
    </rPh>
    <rPh sb="18" eb="21">
      <t>ハクブツシ</t>
    </rPh>
    <phoneticPr fontId="1"/>
  </si>
  <si>
    <r>
      <rPr>
        <sz val="8"/>
        <rFont val="游ゴシック Medium"/>
        <family val="3"/>
        <charset val="128"/>
      </rPr>
      <t>英文</t>
    </r>
    <r>
      <rPr>
        <sz val="8"/>
        <rFont val="Consolas"/>
        <family val="3"/>
      </rPr>
      <t xml:space="preserve"> </t>
    </r>
    <r>
      <rPr>
        <sz val="11"/>
        <rFont val="游ゴシック Medium"/>
        <family val="3"/>
        <charset val="128"/>
      </rPr>
      <t>日本絵とき事典</t>
    </r>
    <r>
      <rPr>
        <sz val="11"/>
        <rFont val="Consolas"/>
        <family val="3"/>
      </rPr>
      <t xml:space="preserve"> 1 [</t>
    </r>
    <r>
      <rPr>
        <sz val="11"/>
        <rFont val="游ゴシック Medium"/>
        <family val="3"/>
        <charset val="128"/>
      </rPr>
      <t>文化・風俗編</t>
    </r>
    <r>
      <rPr>
        <sz val="11"/>
        <rFont val="Consolas"/>
        <family val="3"/>
      </rPr>
      <t>]/</t>
    </r>
    <r>
      <rPr>
        <sz val="8"/>
        <rFont val="Consolas"/>
        <family val="3"/>
      </rPr>
      <t xml:space="preserve">illustrated </t>
    </r>
    <r>
      <rPr>
        <sz val="11"/>
        <rFont val="Consolas"/>
        <family val="3"/>
      </rPr>
      <t>A LOOK INTO JAPAN</t>
    </r>
    <rPh sb="0" eb="2">
      <t>エイブン</t>
    </rPh>
    <rPh sb="3" eb="5">
      <t>ニホン</t>
    </rPh>
    <rPh sb="5" eb="6">
      <t>エ</t>
    </rPh>
    <rPh sb="8" eb="10">
      <t>ジテン</t>
    </rPh>
    <rPh sb="14" eb="16">
      <t>ブンカ</t>
    </rPh>
    <rPh sb="17" eb="19">
      <t>フウゾク</t>
    </rPh>
    <rPh sb="19" eb="20">
      <t>ヘン</t>
    </rPh>
    <phoneticPr fontId="1"/>
  </si>
  <si>
    <r>
      <rPr>
        <sz val="11"/>
        <rFont val="游ゴシック Medium"/>
        <family val="3"/>
        <charset val="128"/>
      </rPr>
      <t>池田弥三郎</t>
    </r>
    <rPh sb="0" eb="2">
      <t>イケダ</t>
    </rPh>
    <rPh sb="2" eb="5">
      <t>ヤサブロウ</t>
    </rPh>
    <phoneticPr fontId="1"/>
  </si>
  <si>
    <r>
      <rPr>
        <sz val="11"/>
        <rFont val="游ゴシック Medium"/>
        <family val="3"/>
        <charset val="128"/>
      </rPr>
      <t>性の民俗誌</t>
    </r>
    <rPh sb="0" eb="1">
      <t>セイ</t>
    </rPh>
    <rPh sb="2" eb="5">
      <t>ミンゾクシ</t>
    </rPh>
    <phoneticPr fontId="1"/>
  </si>
  <si>
    <r>
      <rPr>
        <sz val="11"/>
        <rFont val="游ゴシック Medium"/>
        <family val="3"/>
        <charset val="128"/>
      </rPr>
      <t>はだか風土記</t>
    </r>
    <r>
      <rPr>
        <sz val="11"/>
        <rFont val="Consolas"/>
        <family val="3"/>
      </rPr>
      <t>/</t>
    </r>
    <r>
      <rPr>
        <sz val="11"/>
        <rFont val="游ゴシック Medium"/>
        <family val="3"/>
        <charset val="128"/>
      </rPr>
      <t>おとこ・おんなの民俗誌</t>
    </r>
    <r>
      <rPr>
        <sz val="11"/>
        <rFont val="Consolas"/>
        <family val="3"/>
      </rPr>
      <t xml:space="preserve"> </t>
    </r>
    <r>
      <rPr>
        <sz val="11"/>
        <rFont val="游ゴシック Medium"/>
        <family val="3"/>
        <charset val="128"/>
      </rPr>
      <t>改題</t>
    </r>
    <rPh sb="3" eb="6">
      <t>フドキ</t>
    </rPh>
    <rPh sb="15" eb="17">
      <t>ミンゾク</t>
    </rPh>
    <rPh sb="17" eb="18">
      <t>シ</t>
    </rPh>
    <rPh sb="19" eb="21">
      <t>カイダイ</t>
    </rPh>
    <phoneticPr fontId="1"/>
  </si>
  <si>
    <r>
      <rPr>
        <sz val="11"/>
        <rFont val="游ゴシック Medium"/>
        <family val="3"/>
        <charset val="128"/>
      </rPr>
      <t>石川純一</t>
    </r>
    <rPh sb="0" eb="2">
      <t>イシカワ</t>
    </rPh>
    <rPh sb="2" eb="4">
      <t>ジュンイチ</t>
    </rPh>
    <phoneticPr fontId="1"/>
  </si>
  <si>
    <r>
      <rPr>
        <sz val="11"/>
        <rFont val="游ゴシック Medium"/>
        <family val="3"/>
        <charset val="128"/>
      </rPr>
      <t>宗教世界地図</t>
    </r>
    <rPh sb="0" eb="2">
      <t>シュウキョウ</t>
    </rPh>
    <rPh sb="2" eb="6">
      <t>セカイチズ</t>
    </rPh>
    <phoneticPr fontId="1"/>
  </si>
  <si>
    <r>
      <rPr>
        <sz val="11"/>
        <rFont val="游ゴシック Medium"/>
        <family val="3"/>
        <charset val="128"/>
      </rPr>
      <t>磯村尚徳</t>
    </r>
    <rPh sb="0" eb="2">
      <t>イソムラ</t>
    </rPh>
    <rPh sb="2" eb="4">
      <t>ヒサノリ</t>
    </rPh>
    <phoneticPr fontId="1"/>
  </si>
  <si>
    <r>
      <rPr>
        <sz val="11"/>
        <rFont val="游ゴシック Medium"/>
        <family val="3"/>
        <charset val="128"/>
      </rPr>
      <t>続ちょっとキザですが</t>
    </r>
    <rPh sb="0" eb="1">
      <t>ゾク</t>
    </rPh>
    <phoneticPr fontId="1"/>
  </si>
  <si>
    <r>
      <rPr>
        <sz val="11"/>
        <rFont val="游ゴシック Medium"/>
        <family val="3"/>
        <charset val="128"/>
      </rPr>
      <t>板坂</t>
    </r>
    <r>
      <rPr>
        <sz val="11"/>
        <rFont val="Consolas"/>
        <family val="3"/>
      </rPr>
      <t xml:space="preserve"> </t>
    </r>
    <r>
      <rPr>
        <sz val="11"/>
        <rFont val="游ゴシック Medium"/>
        <family val="3"/>
        <charset val="128"/>
      </rPr>
      <t>元</t>
    </r>
    <rPh sb="0" eb="2">
      <t>イタサカ</t>
    </rPh>
    <rPh sb="3" eb="4">
      <t>ゲン</t>
    </rPh>
    <phoneticPr fontId="1"/>
  </si>
  <si>
    <r>
      <t>Harvard</t>
    </r>
    <r>
      <rPr>
        <sz val="11"/>
        <rFont val="游ゴシック Medium"/>
        <family val="3"/>
        <charset val="128"/>
      </rPr>
      <t>大学講師</t>
    </r>
    <rPh sb="0" eb="7">
      <t>ハーバード</t>
    </rPh>
    <rPh sb="7" eb="9">
      <t>ダイガク</t>
    </rPh>
    <rPh sb="9" eb="11">
      <t>コウシ</t>
    </rPh>
    <phoneticPr fontId="1"/>
  </si>
  <si>
    <r>
      <rPr>
        <sz val="11"/>
        <rFont val="游ゴシック Medium"/>
        <family val="3"/>
        <charset val="128"/>
      </rPr>
      <t>こんな性の話もある</t>
    </r>
    <r>
      <rPr>
        <sz val="11"/>
        <rFont val="Consolas"/>
        <family val="3"/>
      </rPr>
      <t>/</t>
    </r>
    <r>
      <rPr>
        <sz val="11"/>
        <rFont val="游ゴシック Medium"/>
        <family val="3"/>
        <charset val="128"/>
      </rPr>
      <t>紳士･淑女のための</t>
    </r>
    <rPh sb="3" eb="4">
      <t>セイ</t>
    </rPh>
    <rPh sb="5" eb="6">
      <t>ハナシ</t>
    </rPh>
    <rPh sb="10" eb="12">
      <t>シンシ</t>
    </rPh>
    <rPh sb="13" eb="15">
      <t>シュクジョ</t>
    </rPh>
    <phoneticPr fontId="1"/>
  </si>
  <si>
    <r>
      <rPr>
        <sz val="11"/>
        <rFont val="游ゴシック Medium"/>
        <family val="3"/>
        <charset val="128"/>
      </rPr>
      <t>ワニ文庫</t>
    </r>
    <rPh sb="2" eb="4">
      <t>ブンコ</t>
    </rPh>
    <phoneticPr fontId="1"/>
  </si>
  <si>
    <r>
      <rPr>
        <sz val="11"/>
        <rFont val="游ゴシック Medium"/>
        <family val="3"/>
        <charset val="128"/>
      </rPr>
      <t>伊丹十三</t>
    </r>
    <rPh sb="0" eb="2">
      <t>イタミ</t>
    </rPh>
    <rPh sb="2" eb="4">
      <t>ジュウゾウ</t>
    </rPh>
    <phoneticPr fontId="1"/>
  </si>
  <si>
    <r>
      <rPr>
        <sz val="11"/>
        <rFont val="游ゴシック Medium"/>
        <family val="3"/>
        <charset val="128"/>
      </rPr>
      <t>ヨーロッパ退屈日記</t>
    </r>
    <rPh sb="5" eb="7">
      <t>タイクツ</t>
    </rPh>
    <rPh sb="7" eb="9">
      <t>ニッキ</t>
    </rPh>
    <phoneticPr fontId="1"/>
  </si>
  <si>
    <r>
      <rPr>
        <sz val="11"/>
        <rFont val="游ゴシック Medium"/>
        <family val="3"/>
        <charset val="128"/>
      </rPr>
      <t>文春文庫</t>
    </r>
    <r>
      <rPr>
        <sz val="11"/>
        <rFont val="Consolas"/>
        <family val="3"/>
      </rPr>
      <t>/</t>
    </r>
    <r>
      <rPr>
        <sz val="11"/>
        <rFont val="游ゴシック Medium"/>
        <family val="3"/>
        <charset val="128"/>
      </rPr>
      <t>文藝春秋</t>
    </r>
    <rPh sb="0" eb="2">
      <t>ブンシュン</t>
    </rPh>
    <rPh sb="2" eb="4">
      <t>ブンコ</t>
    </rPh>
    <rPh sb="5" eb="7">
      <t>ブンゲイ</t>
    </rPh>
    <rPh sb="7" eb="9">
      <t>シュンジュウ</t>
    </rPh>
    <phoneticPr fontId="1"/>
  </si>
  <si>
    <r>
      <t>QB</t>
    </r>
    <r>
      <rPr>
        <sz val="11"/>
        <rFont val="游ゴシック Medium"/>
        <family val="3"/>
        <charset val="128"/>
      </rPr>
      <t>アマゾン</t>
    </r>
    <phoneticPr fontId="1"/>
  </si>
  <si>
    <r>
      <rPr>
        <sz val="11"/>
        <rFont val="游ゴシック Medium"/>
        <family val="3"/>
        <charset val="128"/>
      </rPr>
      <t>伊藤俊治</t>
    </r>
    <rPh sb="0" eb="2">
      <t>イトウ</t>
    </rPh>
    <rPh sb="2" eb="4">
      <t>トシハル</t>
    </rPh>
    <phoneticPr fontId="1"/>
  </si>
  <si>
    <r>
      <rPr>
        <sz val="11"/>
        <rFont val="游ゴシック Medium"/>
        <family val="3"/>
        <charset val="128"/>
      </rPr>
      <t>裸体の森へ</t>
    </r>
    <r>
      <rPr>
        <sz val="11"/>
        <rFont val="Consolas"/>
        <family val="3"/>
      </rPr>
      <t>/</t>
    </r>
    <r>
      <rPr>
        <sz val="11"/>
        <rFont val="游ゴシック Medium"/>
        <family val="3"/>
        <charset val="128"/>
      </rPr>
      <t>感情の</t>
    </r>
    <r>
      <rPr>
        <sz val="11"/>
        <rFont val="Consolas"/>
        <family val="3"/>
      </rPr>
      <t>Iconography</t>
    </r>
    <rPh sb="0" eb="2">
      <t>ラタイ</t>
    </rPh>
    <rPh sb="3" eb="4">
      <t>モリ</t>
    </rPh>
    <rPh sb="6" eb="8">
      <t>カンジョウ</t>
    </rPh>
    <rPh sb="9" eb="20">
      <t>イコノグラフィー</t>
    </rPh>
    <phoneticPr fontId="1"/>
  </si>
  <si>
    <r>
      <rPr>
        <sz val="11"/>
        <rFont val="游ゴシック Medium"/>
        <family val="3"/>
        <charset val="128"/>
      </rPr>
      <t>愛の衣装</t>
    </r>
    <r>
      <rPr>
        <sz val="11"/>
        <rFont val="Consolas"/>
        <family val="3"/>
      </rPr>
      <t>/</t>
    </r>
    <r>
      <rPr>
        <sz val="11"/>
        <rFont val="游ゴシック Medium"/>
        <family val="3"/>
        <charset val="128"/>
      </rPr>
      <t>感情の</t>
    </r>
    <r>
      <rPr>
        <sz val="11"/>
        <rFont val="Consolas"/>
        <family val="3"/>
      </rPr>
      <t>Iconography</t>
    </r>
    <r>
      <rPr>
        <sz val="11"/>
        <rFont val="游ゴシック Medium"/>
        <family val="3"/>
        <charset val="128"/>
      </rPr>
      <t>Ⅱ</t>
    </r>
    <rPh sb="0" eb="1">
      <t>アイ</t>
    </rPh>
    <rPh sb="2" eb="4">
      <t>イショウ</t>
    </rPh>
    <rPh sb="5" eb="7">
      <t>カンジョウ</t>
    </rPh>
    <rPh sb="8" eb="19">
      <t>イコノグラフィー</t>
    </rPh>
    <phoneticPr fontId="1"/>
  </si>
  <si>
    <r>
      <rPr>
        <sz val="11"/>
        <rFont val="游ゴシック Medium"/>
        <family val="3"/>
        <charset val="128"/>
      </rPr>
      <t>猪瀬直樹</t>
    </r>
    <rPh sb="0" eb="2">
      <t>イノセ</t>
    </rPh>
    <rPh sb="2" eb="4">
      <t>ナオキ</t>
    </rPh>
    <phoneticPr fontId="1"/>
  </si>
  <si>
    <r>
      <rPr>
        <sz val="11"/>
        <rFont val="游ゴシック Medium"/>
        <family val="3"/>
        <charset val="128"/>
      </rPr>
      <t>天皇の影法師</t>
    </r>
    <rPh sb="0" eb="2">
      <t>テンノウ</t>
    </rPh>
    <rPh sb="3" eb="6">
      <t>カゲボウシ</t>
    </rPh>
    <phoneticPr fontId="1"/>
  </si>
  <si>
    <r>
      <rPr>
        <sz val="11"/>
        <rFont val="游ゴシック Medium"/>
        <family val="3"/>
        <charset val="128"/>
      </rPr>
      <t>上廣</t>
    </r>
    <r>
      <rPr>
        <sz val="11"/>
        <rFont val="Consolas"/>
        <family val="3"/>
      </rPr>
      <t xml:space="preserve"> </t>
    </r>
    <r>
      <rPr>
        <sz val="11"/>
        <rFont val="游ゴシック Medium"/>
        <family val="3"/>
        <charset val="128"/>
      </rPr>
      <t>哲彦</t>
    </r>
    <rPh sb="0" eb="2">
      <t>ウエヒロ</t>
    </rPh>
    <rPh sb="3" eb="5">
      <t>テツヒコ</t>
    </rPh>
    <phoneticPr fontId="1"/>
  </si>
  <si>
    <r>
      <rPr>
        <sz val="11"/>
        <rFont val="游ゴシック Medium"/>
        <family val="3"/>
        <charset val="128"/>
      </rPr>
      <t>生きる力</t>
    </r>
    <rPh sb="0" eb="1">
      <t>イ</t>
    </rPh>
    <rPh sb="3" eb="4">
      <t>チカラ</t>
    </rPh>
    <phoneticPr fontId="1"/>
  </si>
  <si>
    <r>
      <rPr>
        <sz val="11"/>
        <rFont val="游ゴシック Medium"/>
        <family val="3"/>
        <charset val="128"/>
      </rPr>
      <t>社団法人</t>
    </r>
    <r>
      <rPr>
        <sz val="11"/>
        <rFont val="Consolas"/>
        <family val="3"/>
      </rPr>
      <t xml:space="preserve"> </t>
    </r>
    <r>
      <rPr>
        <sz val="11"/>
        <rFont val="游ゴシック Medium"/>
        <family val="3"/>
        <charset val="128"/>
      </rPr>
      <t>実践倫理宏正会</t>
    </r>
    <rPh sb="0" eb="2">
      <t>シャダン</t>
    </rPh>
    <rPh sb="2" eb="4">
      <t>ホウジン</t>
    </rPh>
    <rPh sb="5" eb="7">
      <t>ジッセン</t>
    </rPh>
    <rPh sb="7" eb="9">
      <t>リンリ</t>
    </rPh>
    <rPh sb="9" eb="12">
      <t>コウセイカイ</t>
    </rPh>
    <phoneticPr fontId="1"/>
  </si>
  <si>
    <r>
      <rPr>
        <sz val="11"/>
        <rFont val="游ゴシック Medium"/>
        <family val="3"/>
        <charset val="128"/>
      </rPr>
      <t>宇佐和通</t>
    </r>
    <rPh sb="0" eb="2">
      <t>ウサ</t>
    </rPh>
    <rPh sb="2" eb="3">
      <t>ワ</t>
    </rPh>
    <rPh sb="3" eb="4">
      <t>ツウ</t>
    </rPh>
    <phoneticPr fontId="1"/>
  </si>
  <si>
    <r>
      <rPr>
        <sz val="11"/>
        <rFont val="游ゴシック Medium"/>
        <family val="3"/>
        <charset val="128"/>
      </rPr>
      <t>世界の猟奇殺人事件簿</t>
    </r>
    <rPh sb="0" eb="2">
      <t>セカイ</t>
    </rPh>
    <rPh sb="3" eb="5">
      <t>リョウキ</t>
    </rPh>
    <rPh sb="5" eb="7">
      <t>サツジン</t>
    </rPh>
    <rPh sb="7" eb="10">
      <t>ジケンボ</t>
    </rPh>
    <phoneticPr fontId="1"/>
  </si>
  <si>
    <r>
      <rPr>
        <sz val="11"/>
        <rFont val="游ゴシック Medium"/>
        <family val="3"/>
        <charset val="128"/>
      </rPr>
      <t>にちぶん文庫</t>
    </r>
    <r>
      <rPr>
        <sz val="11"/>
        <rFont val="Consolas"/>
        <family val="3"/>
      </rPr>
      <t>/</t>
    </r>
    <r>
      <rPr>
        <sz val="11"/>
        <rFont val="游ゴシック Medium"/>
        <family val="3"/>
        <charset val="128"/>
      </rPr>
      <t>日本文芸社</t>
    </r>
    <rPh sb="4" eb="6">
      <t>ブンコ</t>
    </rPh>
    <rPh sb="7" eb="9">
      <t>ニホン</t>
    </rPh>
    <rPh sb="9" eb="11">
      <t>ブンゲイ</t>
    </rPh>
    <rPh sb="11" eb="12">
      <t>シャ</t>
    </rPh>
    <phoneticPr fontId="1"/>
  </si>
  <si>
    <r>
      <rPr>
        <sz val="11"/>
        <rFont val="游ゴシック Medium"/>
        <family val="3"/>
        <charset val="128"/>
      </rPr>
      <t>黄泉の王</t>
    </r>
    <r>
      <rPr>
        <sz val="11"/>
        <rFont val="Consolas"/>
        <family val="3"/>
      </rPr>
      <t>/</t>
    </r>
    <r>
      <rPr>
        <sz val="11"/>
        <rFont val="游ゴシック Medium"/>
        <family val="3"/>
        <charset val="128"/>
      </rPr>
      <t>私見･高松塚</t>
    </r>
    <rPh sb="0" eb="2">
      <t>ヨミ</t>
    </rPh>
    <rPh sb="3" eb="4">
      <t>オオキミ</t>
    </rPh>
    <rPh sb="5" eb="7">
      <t>シケン</t>
    </rPh>
    <rPh sb="8" eb="10">
      <t>タカマツ</t>
    </rPh>
    <rPh sb="10" eb="11">
      <t>ヅカ</t>
    </rPh>
    <phoneticPr fontId="1"/>
  </si>
  <si>
    <r>
      <rPr>
        <sz val="11"/>
        <rFont val="游ゴシック Medium"/>
        <family val="3"/>
        <charset val="128"/>
      </rPr>
      <t>神々の流竄</t>
    </r>
    <rPh sb="0" eb="2">
      <t>カミガミ</t>
    </rPh>
    <rPh sb="3" eb="5">
      <t>ルザン</t>
    </rPh>
    <phoneticPr fontId="1"/>
  </si>
  <si>
    <r>
      <rPr>
        <sz val="11"/>
        <rFont val="游ゴシック Medium"/>
        <family val="3"/>
        <charset val="128"/>
      </rPr>
      <t>湖の伝説</t>
    </r>
    <r>
      <rPr>
        <sz val="11"/>
        <rFont val="Consolas"/>
        <family val="3"/>
      </rPr>
      <t>/</t>
    </r>
    <r>
      <rPr>
        <sz val="11"/>
        <rFont val="游ゴシック Medium"/>
        <family val="3"/>
        <charset val="128"/>
      </rPr>
      <t>画家･三橋節子の愛と死</t>
    </r>
    <rPh sb="0" eb="1">
      <t>ミズウミ</t>
    </rPh>
    <rPh sb="2" eb="4">
      <t>デンセツ</t>
    </rPh>
    <rPh sb="5" eb="7">
      <t>ガカ</t>
    </rPh>
    <rPh sb="8" eb="10">
      <t>ミハシ</t>
    </rPh>
    <rPh sb="10" eb="12">
      <t>セツコ</t>
    </rPh>
    <rPh sb="13" eb="14">
      <t>アイ</t>
    </rPh>
    <rPh sb="15" eb="16">
      <t>シ</t>
    </rPh>
    <phoneticPr fontId="1"/>
  </si>
  <si>
    <r>
      <rPr>
        <sz val="11"/>
        <rFont val="游ゴシック Medium"/>
        <family val="3"/>
        <charset val="128"/>
      </rPr>
      <t>永平寺</t>
    </r>
    <rPh sb="0" eb="3">
      <t>エイヘイジ</t>
    </rPh>
    <phoneticPr fontId="1"/>
  </si>
  <si>
    <r>
      <rPr>
        <b/>
        <sz val="11"/>
        <color indexed="33"/>
        <rFont val="游ゴシック Medium"/>
        <family val="3"/>
        <charset val="128"/>
      </rPr>
      <t>修證義</t>
    </r>
    <r>
      <rPr>
        <sz val="11"/>
        <rFont val="Consolas"/>
        <family val="3"/>
      </rPr>
      <t>/</t>
    </r>
    <r>
      <rPr>
        <sz val="11"/>
        <rFont val="游ゴシック Medium"/>
        <family val="3"/>
        <charset val="128"/>
      </rPr>
      <t>般若心経</t>
    </r>
    <r>
      <rPr>
        <sz val="11"/>
        <rFont val="Consolas"/>
        <family val="3"/>
      </rPr>
      <t>:</t>
    </r>
    <r>
      <rPr>
        <sz val="11"/>
        <rFont val="游ゴシック Medium"/>
        <family val="3"/>
        <charset val="128"/>
      </rPr>
      <t>付録</t>
    </r>
    <rPh sb="0" eb="3">
      <t>シュショウギ</t>
    </rPh>
    <rPh sb="4" eb="8">
      <t>ハンニャシンギョウ</t>
    </rPh>
    <rPh sb="9" eb="11">
      <t>フロク</t>
    </rPh>
    <phoneticPr fontId="1"/>
  </si>
  <si>
    <r>
      <rPr>
        <sz val="11"/>
        <rFont val="游ゴシック Medium"/>
        <family val="3"/>
        <charset val="128"/>
      </rPr>
      <t>大本山</t>
    </r>
    <r>
      <rPr>
        <sz val="11"/>
        <rFont val="Consolas"/>
        <family val="3"/>
      </rPr>
      <t xml:space="preserve"> </t>
    </r>
    <r>
      <rPr>
        <sz val="11"/>
        <rFont val="游ゴシック Medium"/>
        <family val="3"/>
        <charset val="128"/>
      </rPr>
      <t>永平寺</t>
    </r>
    <r>
      <rPr>
        <sz val="11"/>
        <rFont val="Consolas"/>
        <family val="3"/>
      </rPr>
      <t>:</t>
    </r>
    <r>
      <rPr>
        <sz val="11"/>
        <rFont val="游ゴシック Medium"/>
        <family val="3"/>
        <charset val="128"/>
      </rPr>
      <t>発行</t>
    </r>
    <rPh sb="0" eb="3">
      <t>ダイホンザン</t>
    </rPh>
    <rPh sb="4" eb="7">
      <t>エイヘイジ</t>
    </rPh>
    <rPh sb="8" eb="10">
      <t>ハッコウ</t>
    </rPh>
    <phoneticPr fontId="1"/>
  </si>
  <si>
    <r>
      <rPr>
        <sz val="11"/>
        <rFont val="游ゴシック Medium"/>
        <family val="3"/>
        <charset val="128"/>
      </rPr>
      <t>もとは現代書館の</t>
    </r>
    <r>
      <rPr>
        <sz val="11"/>
        <rFont val="Consolas"/>
        <family val="3"/>
      </rPr>
      <t>Hard Cover</t>
    </r>
    <rPh sb="3" eb="7">
      <t>ゲンダイショカン</t>
    </rPh>
    <rPh sb="8" eb="18">
      <t>ハード　カヴァー</t>
    </rPh>
    <phoneticPr fontId="1"/>
  </si>
  <si>
    <r>
      <rPr>
        <sz val="11"/>
        <rFont val="游ゴシック Medium"/>
        <family val="3"/>
        <charset val="128"/>
      </rPr>
      <t>岡本</t>
    </r>
    <r>
      <rPr>
        <sz val="11"/>
        <rFont val="Consolas"/>
        <family val="3"/>
      </rPr>
      <t xml:space="preserve"> </t>
    </r>
    <r>
      <rPr>
        <sz val="11"/>
        <rFont val="游ゴシック Medium"/>
        <family val="3"/>
        <charset val="128"/>
      </rPr>
      <t>喜八</t>
    </r>
    <rPh sb="0" eb="2">
      <t>オカモト</t>
    </rPh>
    <rPh sb="3" eb="5">
      <t>キハチ</t>
    </rPh>
    <phoneticPr fontId="1"/>
  </si>
  <si>
    <r>
      <rPr>
        <sz val="11"/>
        <rFont val="游ゴシック Medium"/>
        <family val="3"/>
        <charset val="128"/>
      </rPr>
      <t>マジメとフマジメの間</t>
    </r>
    <rPh sb="9" eb="10">
      <t>アイダ</t>
    </rPh>
    <phoneticPr fontId="1"/>
  </si>
  <si>
    <r>
      <rPr>
        <sz val="11"/>
        <rFont val="游ゴシック Medium"/>
        <family val="3"/>
        <charset val="128"/>
      </rPr>
      <t>文庫オリジナル</t>
    </r>
    <rPh sb="0" eb="2">
      <t>ブンコ</t>
    </rPh>
    <phoneticPr fontId="1"/>
  </si>
  <si>
    <r>
      <t>amazon|</t>
    </r>
    <r>
      <rPr>
        <sz val="11"/>
        <rFont val="游ゴシック Medium"/>
        <family val="3"/>
        <charset val="128"/>
      </rPr>
      <t>古書</t>
    </r>
    <r>
      <rPr>
        <sz val="11"/>
        <rFont val="Consolas"/>
        <family val="3"/>
      </rPr>
      <t xml:space="preserve"> </t>
    </r>
    <r>
      <rPr>
        <sz val="11"/>
        <rFont val="游ゴシック Medium"/>
        <family val="3"/>
        <charset val="128"/>
      </rPr>
      <t>草思堂</t>
    </r>
    <rPh sb="7" eb="9">
      <t>コショ</t>
    </rPh>
    <rPh sb="10" eb="13">
      <t>ソウシドウ</t>
    </rPh>
    <phoneticPr fontId="1"/>
  </si>
  <si>
    <r>
      <rPr>
        <sz val="11"/>
        <rFont val="游ゴシック Medium"/>
        <family val="3"/>
        <charset val="128"/>
      </rPr>
      <t>岡本丈二</t>
    </r>
    <rPh sb="0" eb="2">
      <t>オカモト</t>
    </rPh>
    <rPh sb="2" eb="4">
      <t>ジョウジ</t>
    </rPh>
    <phoneticPr fontId="1"/>
  </si>
  <si>
    <r>
      <t>Bondage Bible/</t>
    </r>
    <r>
      <rPr>
        <sz val="11"/>
        <rFont val="游ゴシック Medium"/>
        <family val="3"/>
        <charset val="128"/>
      </rPr>
      <t>岡本丈二写真集</t>
    </r>
    <r>
      <rPr>
        <sz val="11"/>
        <rFont val="Consolas"/>
        <family val="3"/>
      </rPr>
      <t>/</t>
    </r>
    <r>
      <rPr>
        <sz val="11"/>
        <rFont val="游ゴシック Medium"/>
        <family val="3"/>
        <charset val="128"/>
      </rPr>
      <t>究極の</t>
    </r>
    <r>
      <rPr>
        <sz val="11"/>
        <rFont val="Consolas"/>
        <family val="3"/>
      </rPr>
      <t xml:space="preserve">SM Goods </t>
    </r>
    <r>
      <rPr>
        <sz val="11"/>
        <rFont val="游ゴシック Medium"/>
        <family val="3"/>
        <charset val="128"/>
      </rPr>
      <t>カタログ</t>
    </r>
    <rPh sb="0" eb="7">
      <t>ボンデージ</t>
    </rPh>
    <rPh sb="8" eb="13">
      <t>バイブル</t>
    </rPh>
    <rPh sb="14" eb="18">
      <t>オカモトジョウジ</t>
    </rPh>
    <rPh sb="18" eb="21">
      <t>シャシンシュウ</t>
    </rPh>
    <rPh sb="22" eb="24">
      <t>キュウキョク</t>
    </rPh>
    <phoneticPr fontId="1"/>
  </si>
  <si>
    <r>
      <rPr>
        <sz val="11"/>
        <rFont val="游ゴシック Medium"/>
        <family val="3"/>
        <charset val="128"/>
      </rPr>
      <t>黒田出版興文社</t>
    </r>
    <rPh sb="0" eb="2">
      <t>クロダ</t>
    </rPh>
    <rPh sb="2" eb="4">
      <t>シュッパン</t>
    </rPh>
    <rPh sb="4" eb="7">
      <t>コウブンシャ</t>
    </rPh>
    <phoneticPr fontId="1"/>
  </si>
  <si>
    <r>
      <rPr>
        <sz val="11"/>
        <rFont val="游ゴシック Medium"/>
        <family val="3"/>
        <charset val="128"/>
      </rPr>
      <t>小此木啓吾</t>
    </r>
    <rPh sb="0" eb="3">
      <t>オコノギ</t>
    </rPh>
    <rPh sb="3" eb="5">
      <t>ケイゴ</t>
    </rPh>
    <phoneticPr fontId="1"/>
  </si>
  <si>
    <r>
      <rPr>
        <sz val="11"/>
        <rFont val="游ゴシック Medium"/>
        <family val="3"/>
        <charset val="128"/>
      </rPr>
      <t>自己愛人間</t>
    </r>
    <r>
      <rPr>
        <sz val="11"/>
        <rFont val="Consolas"/>
        <family val="3"/>
      </rPr>
      <t>/</t>
    </r>
    <r>
      <rPr>
        <sz val="11"/>
        <rFont val="游ゴシック Medium"/>
        <family val="3"/>
        <charset val="128"/>
      </rPr>
      <t>現代</t>
    </r>
    <r>
      <rPr>
        <sz val="11"/>
        <rFont val="Consolas"/>
        <family val="3"/>
      </rPr>
      <t>Narcissism</t>
    </r>
    <r>
      <rPr>
        <sz val="11"/>
        <rFont val="游ゴシック Medium"/>
        <family val="3"/>
        <charset val="128"/>
      </rPr>
      <t>論</t>
    </r>
    <rPh sb="0" eb="3">
      <t>ジコアイ</t>
    </rPh>
    <rPh sb="3" eb="5">
      <t>ニンゲン</t>
    </rPh>
    <rPh sb="6" eb="8">
      <t>ゲンダイ</t>
    </rPh>
    <rPh sb="8" eb="18">
      <t>ナルシシズム</t>
    </rPh>
    <rPh sb="18" eb="19">
      <t>ロン</t>
    </rPh>
    <phoneticPr fontId="1"/>
  </si>
  <si>
    <r>
      <rPr>
        <sz val="11"/>
        <rFont val="游ゴシック Medium"/>
        <family val="3"/>
        <charset val="128"/>
      </rPr>
      <t>飯村隆彦</t>
    </r>
    <rPh sb="0" eb="2">
      <t>イイムラ</t>
    </rPh>
    <rPh sb="2" eb="4">
      <t>タカヒコ</t>
    </rPh>
    <phoneticPr fontId="1"/>
  </si>
  <si>
    <r>
      <rPr>
        <sz val="11"/>
        <rFont val="游ゴシック Medium"/>
        <family val="3"/>
        <charset val="128"/>
      </rPr>
      <t>ただの私</t>
    </r>
    <rPh sb="3" eb="4">
      <t>アタシ</t>
    </rPh>
    <phoneticPr fontId="1"/>
  </si>
  <si>
    <r>
      <rPr>
        <sz val="11"/>
        <rFont val="游ゴシック Medium"/>
        <family val="3"/>
        <charset val="128"/>
      </rPr>
      <t>春日武彦</t>
    </r>
    <rPh sb="0" eb="2">
      <t>カスガ</t>
    </rPh>
    <rPh sb="2" eb="4">
      <t>タケヒコ</t>
    </rPh>
    <phoneticPr fontId="1"/>
  </si>
  <si>
    <r>
      <rPr>
        <sz val="11"/>
        <rFont val="游ゴシック Medium"/>
        <family val="3"/>
        <charset val="128"/>
      </rPr>
      <t>オレたちの精神科医</t>
    </r>
    <rPh sb="5" eb="7">
      <t>セイシン</t>
    </rPh>
    <rPh sb="7" eb="8">
      <t>カ</t>
    </rPh>
    <rPh sb="8" eb="9">
      <t>イ</t>
    </rPh>
    <phoneticPr fontId="1"/>
  </si>
  <si>
    <r>
      <t>Romantic</t>
    </r>
    <r>
      <rPr>
        <sz val="11"/>
        <rFont val="游ゴシック Medium"/>
        <family val="3"/>
        <charset val="128"/>
      </rPr>
      <t>な狂気は存在するか</t>
    </r>
    <rPh sb="0" eb="8">
      <t>ロマンティック</t>
    </rPh>
    <rPh sb="9" eb="11">
      <t>キョウキ</t>
    </rPh>
    <rPh sb="12" eb="14">
      <t>ソンザイ</t>
    </rPh>
    <phoneticPr fontId="1"/>
  </si>
  <si>
    <r>
      <rPr>
        <sz val="11"/>
        <rFont val="游ゴシック Medium"/>
        <family val="3"/>
        <charset val="128"/>
      </rPr>
      <t>新潮</t>
    </r>
    <r>
      <rPr>
        <sz val="11"/>
        <rFont val="Consolas"/>
        <family val="3"/>
      </rPr>
      <t>OH!</t>
    </r>
    <r>
      <rPr>
        <sz val="11"/>
        <rFont val="游ゴシック Medium"/>
        <family val="3"/>
        <charset val="128"/>
      </rPr>
      <t>文庫</t>
    </r>
    <r>
      <rPr>
        <sz val="11"/>
        <rFont val="Consolas"/>
        <family val="3"/>
      </rPr>
      <t>/</t>
    </r>
    <r>
      <rPr>
        <sz val="11"/>
        <rFont val="游ゴシック Medium"/>
        <family val="3"/>
        <charset val="128"/>
      </rPr>
      <t>新潮社</t>
    </r>
    <rPh sb="0" eb="2">
      <t>シンチョウ</t>
    </rPh>
    <rPh sb="5" eb="7">
      <t>ブンコ</t>
    </rPh>
    <rPh sb="8" eb="11">
      <t>シンチョウシャ</t>
    </rPh>
    <phoneticPr fontId="1"/>
  </si>
  <si>
    <r>
      <rPr>
        <sz val="11"/>
        <rFont val="游ゴシック Medium"/>
        <family val="3"/>
        <charset val="128"/>
      </rPr>
      <t>有明</t>
    </r>
    <r>
      <rPr>
        <sz val="11"/>
        <rFont val="Consolas"/>
        <family val="3"/>
      </rPr>
      <t>za-Gallery</t>
    </r>
    <r>
      <rPr>
        <sz val="11"/>
        <rFont val="游ゴシック Medium"/>
        <family val="3"/>
        <charset val="128"/>
      </rPr>
      <t>のついで</t>
    </r>
    <rPh sb="0" eb="2">
      <t>アリアケ</t>
    </rPh>
    <rPh sb="5" eb="12">
      <t>ギャラリー</t>
    </rPh>
    <phoneticPr fontId="1"/>
  </si>
  <si>
    <r>
      <rPr>
        <sz val="11"/>
        <rFont val="游ゴシック Medium"/>
        <family val="3"/>
        <charset val="128"/>
      </rPr>
      <t>加納喜光</t>
    </r>
    <rPh sb="0" eb="2">
      <t>カノウ</t>
    </rPh>
    <phoneticPr fontId="1"/>
  </si>
  <si>
    <r>
      <rPr>
        <sz val="11"/>
        <rFont val="游ゴシック Medium"/>
        <family val="3"/>
        <charset val="128"/>
      </rPr>
      <t>読めそうで読めない漢字</t>
    </r>
    <r>
      <rPr>
        <sz val="11"/>
        <rFont val="Consolas"/>
        <family val="3"/>
      </rPr>
      <t xml:space="preserve">2000 </t>
    </r>
    <r>
      <rPr>
        <sz val="11"/>
        <rFont val="游ゴシック Medium"/>
        <family val="3"/>
        <charset val="128"/>
      </rPr>
      <t>あいまい読み・うっかり読み実例集</t>
    </r>
    <rPh sb="0" eb="1">
      <t>ヨ</t>
    </rPh>
    <rPh sb="5" eb="6">
      <t>ヨ</t>
    </rPh>
    <rPh sb="9" eb="11">
      <t>カンジ</t>
    </rPh>
    <rPh sb="20" eb="21">
      <t>ヨ</t>
    </rPh>
    <rPh sb="27" eb="28">
      <t>ヨ</t>
    </rPh>
    <rPh sb="29" eb="32">
      <t>ジツレイシュウ</t>
    </rPh>
    <phoneticPr fontId="1"/>
  </si>
  <si>
    <r>
      <rPr>
        <sz val="11"/>
        <rFont val="游ゴシック Medium"/>
        <family val="3"/>
        <charset val="128"/>
      </rPr>
      <t>講談社＋</t>
    </r>
    <r>
      <rPr>
        <sz val="11"/>
        <rFont val="Consolas"/>
        <family val="3"/>
      </rPr>
      <t>α</t>
    </r>
    <r>
      <rPr>
        <sz val="11"/>
        <rFont val="游ゴシック Medium"/>
        <family val="3"/>
        <charset val="128"/>
      </rPr>
      <t>文庫</t>
    </r>
    <rPh sb="0" eb="3">
      <t>コウダンシャ</t>
    </rPh>
    <rPh sb="5" eb="7">
      <t>ブンコ</t>
    </rPh>
    <phoneticPr fontId="1"/>
  </si>
  <si>
    <r>
      <rPr>
        <sz val="11"/>
        <rFont val="游ゴシック Medium"/>
        <family val="3"/>
        <charset val="128"/>
      </rPr>
      <t>唐沢俊一</t>
    </r>
    <r>
      <rPr>
        <sz val="11"/>
        <rFont val="Consolas"/>
        <family val="3"/>
      </rPr>
      <t>+</t>
    </r>
    <r>
      <rPr>
        <sz val="11"/>
        <rFont val="游ゴシック Medium"/>
        <family val="3"/>
        <charset val="128"/>
      </rPr>
      <t>ソルボンヌ</t>
    </r>
    <r>
      <rPr>
        <sz val="11"/>
        <rFont val="Consolas"/>
        <family val="3"/>
      </rPr>
      <t>K</t>
    </r>
    <r>
      <rPr>
        <sz val="11"/>
        <rFont val="游ゴシック Medium"/>
        <family val="3"/>
        <charset val="128"/>
      </rPr>
      <t>子</t>
    </r>
    <rPh sb="0" eb="2">
      <t>カラサワ</t>
    </rPh>
    <rPh sb="2" eb="4">
      <t>シュンイチ</t>
    </rPh>
    <rPh sb="11" eb="12">
      <t>コ</t>
    </rPh>
    <phoneticPr fontId="1"/>
  </si>
  <si>
    <r>
      <rPr>
        <sz val="11"/>
        <rFont val="游ゴシック Medium"/>
        <family val="3"/>
        <charset val="128"/>
      </rPr>
      <t>大猟奇</t>
    </r>
    <rPh sb="0" eb="3">
      <t>ダイリョウキ</t>
    </rPh>
    <phoneticPr fontId="1"/>
  </si>
  <si>
    <r>
      <rPr>
        <sz val="11"/>
        <rFont val="游ゴシック Medium"/>
        <family val="3"/>
        <charset val="128"/>
      </rPr>
      <t>世界の猟奇</t>
    </r>
    <r>
      <rPr>
        <sz val="11"/>
        <rFont val="Consolas"/>
        <family val="3"/>
      </rPr>
      <t>Show</t>
    </r>
    <rPh sb="0" eb="2">
      <t>セカイ</t>
    </rPh>
    <rPh sb="3" eb="5">
      <t>リョウキ</t>
    </rPh>
    <rPh sb="5" eb="9">
      <t>ショー</t>
    </rPh>
    <phoneticPr fontId="1"/>
  </si>
  <si>
    <r>
      <rPr>
        <sz val="11"/>
        <rFont val="游ゴシック Medium"/>
        <family val="3"/>
        <charset val="128"/>
      </rPr>
      <t>トンデモレディースコミックの逆襲</t>
    </r>
    <rPh sb="14" eb="16">
      <t>ギャクシュウ</t>
    </rPh>
    <phoneticPr fontId="1"/>
  </si>
  <si>
    <r>
      <rPr>
        <sz val="11"/>
        <rFont val="游ゴシック Medium"/>
        <family val="3"/>
        <charset val="128"/>
      </rPr>
      <t>河合香織</t>
    </r>
    <rPh sb="0" eb="2">
      <t>カワイ</t>
    </rPh>
    <rPh sb="2" eb="4">
      <t>カオリ</t>
    </rPh>
    <phoneticPr fontId="1"/>
  </si>
  <si>
    <r>
      <rPr>
        <sz val="11"/>
        <rFont val="游ゴシック Medium"/>
        <family val="3"/>
        <charset val="128"/>
      </rPr>
      <t>セックスボランティア</t>
    </r>
    <phoneticPr fontId="1"/>
  </si>
  <si>
    <r>
      <rPr>
        <sz val="11"/>
        <rFont val="游ゴシック Medium"/>
        <family val="3"/>
        <charset val="128"/>
      </rPr>
      <t>平成</t>
    </r>
    <r>
      <rPr>
        <sz val="11"/>
        <rFont val="Consolas"/>
        <family val="3"/>
      </rPr>
      <t>16</t>
    </r>
    <r>
      <rPr>
        <sz val="11"/>
        <rFont val="游ゴシック Medium"/>
        <family val="3"/>
        <charset val="128"/>
      </rPr>
      <t>年</t>
    </r>
    <r>
      <rPr>
        <sz val="11"/>
        <rFont val="Consolas"/>
        <family val="3"/>
      </rPr>
      <t xml:space="preserve">06 </t>
    </r>
    <r>
      <rPr>
        <sz val="11"/>
        <rFont val="游ゴシック Medium"/>
        <family val="3"/>
        <charset val="128"/>
      </rPr>
      <t>新潮社</t>
    </r>
    <r>
      <rPr>
        <sz val="11"/>
        <rFont val="Consolas"/>
        <family val="3"/>
      </rPr>
      <t xml:space="preserve"> / </t>
    </r>
    <r>
      <rPr>
        <sz val="11"/>
        <rFont val="游ゴシック Medium"/>
        <family val="3"/>
        <charset val="128"/>
      </rPr>
      <t>平成</t>
    </r>
    <r>
      <rPr>
        <sz val="11"/>
        <rFont val="Consolas"/>
        <family val="3"/>
      </rPr>
      <t>18</t>
    </r>
    <r>
      <rPr>
        <sz val="11"/>
        <rFont val="游ゴシック Medium"/>
        <family val="3"/>
        <charset val="128"/>
      </rPr>
      <t>年</t>
    </r>
    <r>
      <rPr>
        <sz val="11"/>
        <rFont val="Consolas"/>
        <family val="3"/>
      </rPr>
      <t>11/01</t>
    </r>
    <rPh sb="0" eb="2">
      <t>ヘイセイ</t>
    </rPh>
    <rPh sb="4" eb="5">
      <t>ネン</t>
    </rPh>
    <rPh sb="8" eb="11">
      <t>シンチョウシャ</t>
    </rPh>
    <rPh sb="14" eb="16">
      <t>ヘイセイ</t>
    </rPh>
    <rPh sb="18" eb="19">
      <t>ネン</t>
    </rPh>
    <phoneticPr fontId="1"/>
  </si>
  <si>
    <r>
      <rPr>
        <sz val="11"/>
        <rFont val="游ゴシック Medium"/>
        <family val="3"/>
        <charset val="128"/>
      </rPr>
      <t>キンマサタカ</t>
    </r>
    <r>
      <rPr>
        <sz val="11"/>
        <rFont val="Consolas"/>
        <family val="3"/>
      </rPr>
      <t xml:space="preserve"> </t>
    </r>
    <r>
      <rPr>
        <sz val="11"/>
        <rFont val="游ゴシック Medium"/>
        <family val="3"/>
        <charset val="128"/>
      </rPr>
      <t>トライアングル</t>
    </r>
    <phoneticPr fontId="1"/>
  </si>
  <si>
    <r>
      <rPr>
        <sz val="11"/>
        <rFont val="游ゴシック Medium"/>
        <family val="3"/>
        <charset val="128"/>
      </rPr>
      <t>本当は怖い昭和</t>
    </r>
    <r>
      <rPr>
        <sz val="11"/>
        <rFont val="Consolas"/>
        <family val="3"/>
      </rPr>
      <t>30</t>
    </r>
    <r>
      <rPr>
        <sz val="11"/>
        <rFont val="游ゴシック Medium"/>
        <family val="3"/>
        <charset val="128"/>
      </rPr>
      <t>年代</t>
    </r>
    <rPh sb="0" eb="2">
      <t>ホントウ</t>
    </rPh>
    <rPh sb="3" eb="4">
      <t>コワ</t>
    </rPh>
    <rPh sb="5" eb="7">
      <t>ショウワ</t>
    </rPh>
    <rPh sb="9" eb="11">
      <t>ネンダイ</t>
    </rPh>
    <phoneticPr fontId="1"/>
  </si>
  <si>
    <r>
      <rPr>
        <sz val="11"/>
        <rFont val="游ゴシック Medium"/>
        <family val="3"/>
        <charset val="128"/>
      </rPr>
      <t>双葉文庫</t>
    </r>
    <r>
      <rPr>
        <sz val="11"/>
        <rFont val="Consolas"/>
        <family val="3"/>
      </rPr>
      <t>|</t>
    </r>
    <r>
      <rPr>
        <sz val="11"/>
        <rFont val="游ゴシック Medium"/>
        <family val="3"/>
        <charset val="128"/>
      </rPr>
      <t>き</t>
    </r>
    <r>
      <rPr>
        <sz val="11"/>
        <rFont val="Consolas"/>
        <family val="3"/>
      </rPr>
      <t>-30-01</t>
    </r>
    <rPh sb="0" eb="4">
      <t>フタバブンコ</t>
    </rPh>
    <phoneticPr fontId="1"/>
  </si>
  <si>
    <r>
      <rPr>
        <sz val="11"/>
        <rFont val="游ゴシック Medium"/>
        <family val="3"/>
        <charset val="128"/>
      </rPr>
      <t>辻</t>
    </r>
    <r>
      <rPr>
        <sz val="11"/>
        <rFont val="Consolas"/>
        <family val="3"/>
      </rPr>
      <t xml:space="preserve"> </t>
    </r>
    <r>
      <rPr>
        <sz val="11"/>
        <rFont val="游ゴシック Medium"/>
        <family val="3"/>
        <charset val="128"/>
      </rPr>
      <t>惟雄</t>
    </r>
    <rPh sb="0" eb="1">
      <t>ツジ</t>
    </rPh>
    <rPh sb="2" eb="4">
      <t>ノブオ</t>
    </rPh>
    <phoneticPr fontId="1"/>
  </si>
  <si>
    <r>
      <rPr>
        <sz val="11"/>
        <rFont val="游ゴシック Medium"/>
        <family val="3"/>
        <charset val="128"/>
      </rPr>
      <t>奇想の系譜</t>
    </r>
    <r>
      <rPr>
        <sz val="11"/>
        <rFont val="Consolas"/>
        <family val="3"/>
      </rPr>
      <t xml:space="preserve"> </t>
    </r>
    <r>
      <rPr>
        <sz val="11"/>
        <rFont val="游ゴシック Medium"/>
        <family val="3"/>
        <charset val="128"/>
      </rPr>
      <t>又兵衛─国芳</t>
    </r>
    <rPh sb="0" eb="2">
      <t>キソウ</t>
    </rPh>
    <rPh sb="3" eb="5">
      <t>ケイフ</t>
    </rPh>
    <rPh sb="6" eb="9">
      <t>マタベエ</t>
    </rPh>
    <rPh sb="10" eb="12">
      <t>クニヨシ</t>
    </rPh>
    <phoneticPr fontId="1"/>
  </si>
  <si>
    <r>
      <t>1988</t>
    </r>
    <r>
      <rPr>
        <sz val="11"/>
        <rFont val="游ゴシック Medium"/>
        <family val="3"/>
        <charset val="128"/>
      </rPr>
      <t>ぺりかん社</t>
    </r>
    <rPh sb="8" eb="9">
      <t>シャ</t>
    </rPh>
    <phoneticPr fontId="1"/>
  </si>
  <si>
    <r>
      <rPr>
        <sz val="11"/>
        <rFont val="游ゴシック Medium"/>
        <family val="3"/>
        <charset val="128"/>
      </rPr>
      <t>性家族の誕生</t>
    </r>
    <r>
      <rPr>
        <sz val="11"/>
        <rFont val="Consolas"/>
        <family val="3"/>
      </rPr>
      <t>/</t>
    </r>
    <r>
      <rPr>
        <sz val="11"/>
        <rFont val="游ゴシック Medium"/>
        <family val="3"/>
        <charset val="128"/>
      </rPr>
      <t>セクシュアリティの近代</t>
    </r>
    <rPh sb="0" eb="1">
      <t>セイ</t>
    </rPh>
    <rPh sb="1" eb="3">
      <t>カゾク</t>
    </rPh>
    <rPh sb="4" eb="6">
      <t>タンジョウ</t>
    </rPh>
    <rPh sb="16" eb="18">
      <t>キンダイ</t>
    </rPh>
    <phoneticPr fontId="1"/>
  </si>
  <si>
    <r>
      <rPr>
        <sz val="11"/>
        <rFont val="游ゴシック Medium"/>
        <family val="3"/>
        <charset val="128"/>
      </rPr>
      <t>紀田順一郎</t>
    </r>
    <rPh sb="0" eb="2">
      <t>キダ</t>
    </rPh>
    <rPh sb="2" eb="5">
      <t>ジュンイチロウ</t>
    </rPh>
    <phoneticPr fontId="1"/>
  </si>
  <si>
    <r>
      <rPr>
        <sz val="11"/>
        <rFont val="游ゴシック Medium"/>
        <family val="3"/>
        <charset val="128"/>
      </rPr>
      <t>東京の下層社会</t>
    </r>
    <rPh sb="0" eb="2">
      <t>トウキョウ</t>
    </rPh>
    <rPh sb="3" eb="5">
      <t>カソウ</t>
    </rPh>
    <rPh sb="5" eb="7">
      <t>シャカイ</t>
    </rPh>
    <phoneticPr fontId="1"/>
  </si>
  <si>
    <r>
      <rPr>
        <sz val="11"/>
        <rFont val="游ゴシック Medium"/>
        <family val="3"/>
        <charset val="128"/>
      </rPr>
      <t>桐生</t>
    </r>
    <r>
      <rPr>
        <sz val="11"/>
        <rFont val="Consolas"/>
        <family val="3"/>
      </rPr>
      <t xml:space="preserve"> </t>
    </r>
    <r>
      <rPr>
        <sz val="11"/>
        <rFont val="游ゴシック Medium"/>
        <family val="3"/>
        <charset val="128"/>
      </rPr>
      <t>操</t>
    </r>
    <rPh sb="0" eb="2">
      <t>キリュウ</t>
    </rPh>
    <rPh sb="3" eb="4">
      <t>ミサオ</t>
    </rPh>
    <phoneticPr fontId="1"/>
  </si>
  <si>
    <r>
      <rPr>
        <sz val="11"/>
        <rFont val="游ゴシック Medium"/>
        <family val="3"/>
        <charset val="128"/>
      </rPr>
      <t>世界史の謎がズバリ！わかる本①創世紀</t>
    </r>
    <r>
      <rPr>
        <sz val="11"/>
        <rFont val="Consolas"/>
        <family val="3"/>
      </rPr>
      <t>~</t>
    </r>
    <r>
      <rPr>
        <sz val="11"/>
        <rFont val="游ゴシック Medium"/>
        <family val="3"/>
        <charset val="128"/>
      </rPr>
      <t>古代ローマ篇</t>
    </r>
    <rPh sb="0" eb="3">
      <t>セカイシ</t>
    </rPh>
    <rPh sb="4" eb="5">
      <t>ナゾ</t>
    </rPh>
    <rPh sb="13" eb="14">
      <t>ホン</t>
    </rPh>
    <rPh sb="15" eb="18">
      <t>ソウセイキ</t>
    </rPh>
    <rPh sb="19" eb="21">
      <t>コダイ</t>
    </rPh>
    <rPh sb="24" eb="25">
      <t>ヘン</t>
    </rPh>
    <phoneticPr fontId="1"/>
  </si>
  <si>
    <r>
      <rPr>
        <sz val="11"/>
        <rFont val="游ゴシック Medium"/>
        <family val="3"/>
        <charset val="128"/>
      </rPr>
      <t>①</t>
    </r>
    <phoneticPr fontId="1"/>
  </si>
  <si>
    <r>
      <rPr>
        <sz val="11"/>
        <rFont val="游ゴシック Medium"/>
        <family val="3"/>
        <charset val="128"/>
      </rPr>
      <t>青春出版社</t>
    </r>
    <rPh sb="0" eb="5">
      <t>セイシュンシュッパンシャ</t>
    </rPh>
    <phoneticPr fontId="1"/>
  </si>
  <si>
    <r>
      <rPr>
        <sz val="11"/>
        <rFont val="游ゴシック Medium"/>
        <family val="3"/>
        <charset val="128"/>
      </rPr>
      <t>世界史・戦慄の残虐魔たち</t>
    </r>
    <rPh sb="0" eb="3">
      <t>セカイシ</t>
    </rPh>
    <rPh sb="4" eb="6">
      <t>センリツ</t>
    </rPh>
    <rPh sb="7" eb="9">
      <t>ザンギャク</t>
    </rPh>
    <rPh sb="9" eb="10">
      <t>マ</t>
    </rPh>
    <phoneticPr fontId="1"/>
  </si>
  <si>
    <r>
      <rPr>
        <sz val="11"/>
        <rFont val="游ゴシック Medium"/>
        <family val="3"/>
        <charset val="128"/>
      </rPr>
      <t>世界史・世紀の悪党たち</t>
    </r>
    <rPh sb="0" eb="3">
      <t>セカイシ</t>
    </rPh>
    <rPh sb="4" eb="6">
      <t>セイキ</t>
    </rPh>
    <rPh sb="7" eb="9">
      <t>アクトウ</t>
    </rPh>
    <phoneticPr fontId="1"/>
  </si>
  <si>
    <r>
      <rPr>
        <sz val="11"/>
        <rFont val="游ゴシック Medium"/>
        <family val="3"/>
        <charset val="128"/>
      </rPr>
      <t>九鬼周造</t>
    </r>
    <rPh sb="0" eb="2">
      <t>クキ</t>
    </rPh>
    <rPh sb="2" eb="4">
      <t>シュウゾウ</t>
    </rPh>
    <phoneticPr fontId="1"/>
  </si>
  <si>
    <r>
      <rPr>
        <sz val="11"/>
        <rFont val="游ゴシック Medium"/>
        <family val="3"/>
        <charset val="128"/>
      </rPr>
      <t>「いき」の構造</t>
    </r>
    <r>
      <rPr>
        <sz val="11"/>
        <rFont val="Consolas"/>
        <family val="3"/>
      </rPr>
      <t>/</t>
    </r>
    <r>
      <rPr>
        <sz val="11"/>
        <rFont val="游ゴシック Medium"/>
        <family val="3"/>
        <charset val="128"/>
      </rPr>
      <t>他二編</t>
    </r>
    <rPh sb="5" eb="7">
      <t>コウゾウ</t>
    </rPh>
    <rPh sb="8" eb="9">
      <t>ホカ</t>
    </rPh>
    <rPh sb="9" eb="10">
      <t>ニ</t>
    </rPh>
    <rPh sb="10" eb="11">
      <t>ヘン</t>
    </rPh>
    <phoneticPr fontId="1"/>
  </si>
  <si>
    <r>
      <rPr>
        <sz val="11"/>
        <rFont val="游ゴシック Medium"/>
        <family val="3"/>
        <charset val="128"/>
      </rPr>
      <t>風俗原典研究会</t>
    </r>
    <rPh sb="0" eb="2">
      <t>フウゾク</t>
    </rPh>
    <rPh sb="2" eb="4">
      <t>ゲンテン</t>
    </rPh>
    <rPh sb="4" eb="7">
      <t>ケンキュウカイ</t>
    </rPh>
    <phoneticPr fontId="1"/>
  </si>
  <si>
    <r>
      <rPr>
        <sz val="11"/>
        <rFont val="游ゴシック Medium"/>
        <family val="3"/>
        <charset val="128"/>
      </rPr>
      <t>性風俗の日本史</t>
    </r>
    <r>
      <rPr>
        <sz val="11"/>
        <rFont val="Consolas"/>
        <family val="3"/>
      </rPr>
      <t>/</t>
    </r>
    <r>
      <rPr>
        <sz val="11"/>
        <rFont val="游ゴシック Medium"/>
        <family val="3"/>
        <charset val="128"/>
      </rPr>
      <t>名著絵題</t>
    </r>
    <rPh sb="0" eb="1">
      <t>セイ</t>
    </rPh>
    <rPh sb="1" eb="3">
      <t>フウゾク</t>
    </rPh>
    <rPh sb="4" eb="7">
      <t>ニホンシ</t>
    </rPh>
    <rPh sb="8" eb="10">
      <t>メイチョ</t>
    </rPh>
    <rPh sb="10" eb="11">
      <t>エ</t>
    </rPh>
    <rPh sb="11" eb="12">
      <t>ダイ</t>
    </rPh>
    <phoneticPr fontId="1"/>
  </si>
  <si>
    <r>
      <rPr>
        <sz val="11"/>
        <rFont val="游ゴシック Medium"/>
        <family val="3"/>
        <charset val="128"/>
      </rPr>
      <t>第</t>
    </r>
    <r>
      <rPr>
        <sz val="11"/>
        <rFont val="Consolas"/>
        <family val="3"/>
      </rPr>
      <t>2</t>
    </r>
    <r>
      <rPr>
        <sz val="11"/>
        <rFont val="游ゴシック Medium"/>
        <family val="3"/>
        <charset val="128"/>
      </rPr>
      <t>版</t>
    </r>
    <rPh sb="0" eb="1">
      <t>ダイ</t>
    </rPh>
    <rPh sb="1" eb="3">
      <t>２ハン</t>
    </rPh>
    <phoneticPr fontId="1"/>
  </si>
  <si>
    <r>
      <rPr>
        <sz val="11"/>
        <rFont val="游ゴシック Medium"/>
        <family val="3"/>
        <charset val="128"/>
      </rPr>
      <t>河出文庫</t>
    </r>
    <r>
      <rPr>
        <sz val="11"/>
        <rFont val="Consolas"/>
        <family val="3"/>
      </rPr>
      <t>/</t>
    </r>
    <r>
      <rPr>
        <sz val="11"/>
        <rFont val="游ゴシック Medium"/>
        <family val="3"/>
        <charset val="128"/>
      </rPr>
      <t>河出書房新社</t>
    </r>
    <rPh sb="5" eb="9">
      <t>カワデショボウ</t>
    </rPh>
    <rPh sb="9" eb="11">
      <t>シンシャ</t>
    </rPh>
    <phoneticPr fontId="1"/>
  </si>
  <si>
    <r>
      <t>Yugoslavia</t>
    </r>
    <r>
      <rPr>
        <sz val="11"/>
        <rFont val="游ゴシック Medium"/>
        <family val="3"/>
        <charset val="128"/>
      </rPr>
      <t>生まれ</t>
    </r>
    <r>
      <rPr>
        <sz val="11"/>
        <rFont val="Consolas"/>
        <family val="3"/>
      </rPr>
      <t>/</t>
    </r>
    <r>
      <rPr>
        <sz val="11"/>
        <rFont val="游ゴシック Medium"/>
        <family val="3"/>
        <charset val="128"/>
      </rPr>
      <t>原題</t>
    </r>
    <r>
      <rPr>
        <sz val="11"/>
        <rFont val="Consolas"/>
        <family val="3"/>
      </rPr>
      <t>:</t>
    </r>
    <r>
      <rPr>
        <sz val="11"/>
        <rFont val="游ゴシック Medium"/>
        <family val="3"/>
        <charset val="128"/>
      </rPr>
      <t>信仰、慣習、風習、および慣習法から見た日本人の性生活</t>
    </r>
    <r>
      <rPr>
        <sz val="11"/>
        <rFont val="Consolas"/>
        <family val="3"/>
      </rPr>
      <t>/Das Geschlechleben in Glauben,Sitte,Brauch und Gewohnheitrecht der Japaner</t>
    </r>
    <rPh sb="0" eb="10">
      <t>ユーゴスラヴィア</t>
    </rPh>
    <rPh sb="10" eb="11">
      <t>ウ</t>
    </rPh>
    <rPh sb="14" eb="16">
      <t>ゲンダイ</t>
    </rPh>
    <rPh sb="17" eb="19">
      <t>シンコウ</t>
    </rPh>
    <rPh sb="20" eb="22">
      <t>カンシュウ</t>
    </rPh>
    <rPh sb="23" eb="25">
      <t>フウシュウ</t>
    </rPh>
    <rPh sb="29" eb="32">
      <t>カンシュウホウ</t>
    </rPh>
    <rPh sb="34" eb="35">
      <t>ミ</t>
    </rPh>
    <rPh sb="36" eb="39">
      <t>ニホンジン</t>
    </rPh>
    <rPh sb="40" eb="41">
      <t>セイ</t>
    </rPh>
    <rPh sb="41" eb="43">
      <t>セイカツ</t>
    </rPh>
    <phoneticPr fontId="1"/>
  </si>
  <si>
    <r>
      <rPr>
        <sz val="11"/>
        <rFont val="游ゴシック Medium"/>
        <family val="3"/>
        <charset val="128"/>
      </rPr>
      <t>黒川伊保子</t>
    </r>
    <rPh sb="0" eb="2">
      <t>クロカワ</t>
    </rPh>
    <rPh sb="2" eb="5">
      <t>イホコ</t>
    </rPh>
    <phoneticPr fontId="1"/>
  </si>
  <si>
    <r>
      <rPr>
        <sz val="11"/>
        <rFont val="游ゴシック Medium"/>
        <family val="3"/>
        <charset val="128"/>
      </rPr>
      <t>恋愛脳</t>
    </r>
    <r>
      <rPr>
        <sz val="11"/>
        <rFont val="Consolas"/>
        <family val="3"/>
      </rPr>
      <t>/LOVE BRAIN</t>
    </r>
    <rPh sb="0" eb="2">
      <t>レンアイ</t>
    </rPh>
    <rPh sb="2" eb="3">
      <t>ノウ</t>
    </rPh>
    <phoneticPr fontId="1"/>
  </si>
  <si>
    <r>
      <rPr>
        <sz val="11"/>
        <rFont val="游ゴシック Medium"/>
        <family val="3"/>
        <charset val="128"/>
      </rPr>
      <t>黒田勝弘</t>
    </r>
    <rPh sb="0" eb="2">
      <t>クロダ</t>
    </rPh>
    <rPh sb="2" eb="4">
      <t>カツヒロ</t>
    </rPh>
    <phoneticPr fontId="1"/>
  </si>
  <si>
    <r>
      <rPr>
        <sz val="11"/>
        <rFont val="游ゴシック Medium"/>
        <family val="3"/>
        <charset val="128"/>
      </rPr>
      <t>韓国人の発想</t>
    </r>
    <rPh sb="0" eb="3">
      <t>カンコクジン</t>
    </rPh>
    <rPh sb="4" eb="6">
      <t>ハッソウ</t>
    </rPh>
    <phoneticPr fontId="1"/>
  </si>
  <si>
    <r>
      <rPr>
        <sz val="11"/>
        <rFont val="游ゴシック Medium"/>
        <family val="3"/>
        <charset val="128"/>
      </rPr>
      <t>徳間文庫</t>
    </r>
    <rPh sb="0" eb="4">
      <t>トクマブンコ</t>
    </rPh>
    <phoneticPr fontId="1"/>
  </si>
  <si>
    <r>
      <rPr>
        <sz val="11"/>
        <rFont val="游ゴシック Medium"/>
        <family val="3"/>
        <charset val="128"/>
      </rPr>
      <t>黒沼</t>
    </r>
    <r>
      <rPr>
        <sz val="11"/>
        <rFont val="Consolas"/>
        <family val="3"/>
      </rPr>
      <t xml:space="preserve"> </t>
    </r>
    <r>
      <rPr>
        <sz val="11"/>
        <rFont val="游ゴシック Medium"/>
        <family val="3"/>
        <charset val="128"/>
      </rPr>
      <t>健</t>
    </r>
    <rPh sb="0" eb="2">
      <t>クロヌマ</t>
    </rPh>
    <rPh sb="3" eb="4">
      <t>ケン</t>
    </rPh>
    <phoneticPr fontId="1"/>
  </si>
  <si>
    <r>
      <rPr>
        <sz val="11"/>
        <rFont val="游ゴシック Medium"/>
        <family val="3"/>
        <charset val="128"/>
      </rPr>
      <t>失われた古代大陸</t>
    </r>
    <rPh sb="0" eb="1">
      <t>ウシナ</t>
    </rPh>
    <rPh sb="4" eb="6">
      <t>コダイ</t>
    </rPh>
    <rPh sb="6" eb="8">
      <t>タイリク</t>
    </rPh>
    <phoneticPr fontId="1"/>
  </si>
  <si>
    <r>
      <rPr>
        <sz val="11"/>
        <rFont val="游ゴシック Medium"/>
        <family val="3"/>
        <charset val="128"/>
      </rPr>
      <t>神坂次郎</t>
    </r>
    <rPh sb="0" eb="2">
      <t>コウサカ</t>
    </rPh>
    <rPh sb="2" eb="4">
      <t>ジロウ</t>
    </rPh>
    <phoneticPr fontId="1"/>
  </si>
  <si>
    <r>
      <rPr>
        <sz val="11"/>
        <rFont val="游ゴシック Medium"/>
        <family val="3"/>
        <charset val="128"/>
      </rPr>
      <t>縛られた巨人</t>
    </r>
    <r>
      <rPr>
        <sz val="11"/>
        <rFont val="Consolas"/>
        <family val="3"/>
      </rPr>
      <t>/</t>
    </r>
    <r>
      <rPr>
        <sz val="11"/>
        <rFont val="游ゴシック Medium"/>
        <family val="3"/>
        <charset val="128"/>
      </rPr>
      <t>南方熊楠の生涯</t>
    </r>
    <rPh sb="0" eb="1">
      <t>シバ</t>
    </rPh>
    <rPh sb="4" eb="6">
      <t>キョジン</t>
    </rPh>
    <rPh sb="7" eb="11">
      <t>ミナミカタクマグス</t>
    </rPh>
    <rPh sb="12" eb="14">
      <t>ショウガイ</t>
    </rPh>
    <phoneticPr fontId="1"/>
  </si>
  <si>
    <r>
      <rPr>
        <sz val="11"/>
        <rFont val="游ゴシック Medium"/>
        <family val="3"/>
        <charset val="128"/>
      </rPr>
      <t>小松和彦</t>
    </r>
    <rPh sb="0" eb="2">
      <t>コマツ</t>
    </rPh>
    <rPh sb="2" eb="4">
      <t>カズヒコ</t>
    </rPh>
    <phoneticPr fontId="1"/>
  </si>
  <si>
    <r>
      <rPr>
        <sz val="11"/>
        <rFont val="游ゴシック Medium"/>
        <family val="3"/>
        <charset val="128"/>
      </rPr>
      <t>憑霊信仰論</t>
    </r>
    <rPh sb="0" eb="2">
      <t>ヒョウレイ</t>
    </rPh>
    <rPh sb="2" eb="4">
      <t>シンコウ</t>
    </rPh>
    <rPh sb="4" eb="5">
      <t>ロン</t>
    </rPh>
    <phoneticPr fontId="1"/>
  </si>
  <si>
    <r>
      <rPr>
        <sz val="11"/>
        <rFont val="游ゴシック Medium"/>
        <family val="3"/>
        <charset val="128"/>
      </rPr>
      <t>大阪大学助教授</t>
    </r>
    <rPh sb="0" eb="4">
      <t>オオサカダイガク</t>
    </rPh>
    <rPh sb="4" eb="7">
      <t>ジョキョウジュ</t>
    </rPh>
    <phoneticPr fontId="1"/>
  </si>
  <si>
    <r>
      <rPr>
        <sz val="11"/>
        <rFont val="游ゴシック Medium"/>
        <family val="3"/>
        <charset val="128"/>
      </rPr>
      <t>内藤正敏</t>
    </r>
    <rPh sb="0" eb="2">
      <t>ナイトウ</t>
    </rPh>
    <rPh sb="2" eb="4">
      <t>マサトシ</t>
    </rPh>
    <phoneticPr fontId="1"/>
  </si>
  <si>
    <r>
      <rPr>
        <sz val="11"/>
        <rFont val="游ゴシック Medium"/>
        <family val="3"/>
        <charset val="128"/>
      </rPr>
      <t>写真家</t>
    </r>
    <rPh sb="0" eb="3">
      <t>シャシンカ</t>
    </rPh>
    <phoneticPr fontId="1"/>
  </si>
  <si>
    <r>
      <rPr>
        <sz val="11"/>
        <rFont val="游ゴシック Medium"/>
        <family val="3"/>
        <charset val="128"/>
      </rPr>
      <t>鬼が作った国・日本</t>
    </r>
    <rPh sb="0" eb="1">
      <t>オニ</t>
    </rPh>
    <rPh sb="2" eb="3">
      <t>ツク</t>
    </rPh>
    <rPh sb="5" eb="6">
      <t>クニ</t>
    </rPh>
    <rPh sb="7" eb="9">
      <t>ニホン</t>
    </rPh>
    <phoneticPr fontId="1"/>
  </si>
  <si>
    <r>
      <rPr>
        <sz val="11"/>
        <rFont val="游ゴシック Medium"/>
        <family val="3"/>
        <charset val="128"/>
      </rPr>
      <t>特別編集</t>
    </r>
    <rPh sb="0" eb="2">
      <t>トクベツ</t>
    </rPh>
    <rPh sb="2" eb="4">
      <t>ヘンシュウ</t>
    </rPh>
    <phoneticPr fontId="1"/>
  </si>
  <si>
    <r>
      <rPr>
        <sz val="11"/>
        <rFont val="游ゴシック Medium"/>
        <family val="3"/>
        <charset val="128"/>
      </rPr>
      <t>好感メイクマスター</t>
    </r>
    <r>
      <rPr>
        <sz val="11"/>
        <rFont val="Consolas"/>
        <family val="3"/>
      </rPr>
      <t>Book/</t>
    </r>
    <r>
      <rPr>
        <sz val="11"/>
        <rFont val="游ゴシック Medium"/>
        <family val="3"/>
        <charset val="128"/>
      </rPr>
      <t>好かれ顔になる基本</t>
    </r>
    <r>
      <rPr>
        <sz val="11"/>
        <rFont val="Consolas"/>
        <family val="3"/>
      </rPr>
      <t>&amp;</t>
    </r>
    <r>
      <rPr>
        <sz val="11"/>
        <rFont val="游ゴシック Medium"/>
        <family val="3"/>
        <charset val="128"/>
      </rPr>
      <t>裏ワザ</t>
    </r>
    <r>
      <rPr>
        <sz val="11"/>
        <rFont val="Consolas"/>
        <family val="3"/>
      </rPr>
      <t>140</t>
    </r>
    <rPh sb="0" eb="2">
      <t>コウカン</t>
    </rPh>
    <rPh sb="9" eb="13">
      <t>ブック</t>
    </rPh>
    <rPh sb="14" eb="15">
      <t>ス</t>
    </rPh>
    <rPh sb="17" eb="18">
      <t>カオ</t>
    </rPh>
    <rPh sb="21" eb="23">
      <t>キホン</t>
    </rPh>
    <rPh sb="24" eb="25">
      <t>ウラ</t>
    </rPh>
    <phoneticPr fontId="1"/>
  </si>
  <si>
    <r>
      <rPr>
        <sz val="11"/>
        <rFont val="游ゴシック Medium"/>
        <family val="3"/>
        <charset val="128"/>
      </rPr>
      <t>佐藤俊明</t>
    </r>
    <rPh sb="0" eb="2">
      <t>サトウ</t>
    </rPh>
    <rPh sb="2" eb="4">
      <t>トシアキ</t>
    </rPh>
    <phoneticPr fontId="1"/>
  </si>
  <si>
    <r>
      <rPr>
        <b/>
        <sz val="11"/>
        <color indexed="33"/>
        <rFont val="游ゴシック Medium"/>
        <family val="3"/>
        <charset val="128"/>
      </rPr>
      <t>修證義に学ぶ　禅に生きる五章</t>
    </r>
    <rPh sb="0" eb="3">
      <t>シュショウギ</t>
    </rPh>
    <rPh sb="4" eb="5">
      <t>マナ</t>
    </rPh>
    <rPh sb="7" eb="8">
      <t>ゼン</t>
    </rPh>
    <rPh sb="9" eb="10">
      <t>イ</t>
    </rPh>
    <rPh sb="12" eb="14">
      <t>ゴショウ</t>
    </rPh>
    <phoneticPr fontId="1"/>
  </si>
  <si>
    <r>
      <rPr>
        <sz val="11"/>
        <rFont val="游ゴシック Medium"/>
        <family val="3"/>
        <charset val="128"/>
      </rPr>
      <t>現代教養文庫</t>
    </r>
    <rPh sb="0" eb="2">
      <t>ゲンダイ</t>
    </rPh>
    <rPh sb="2" eb="4">
      <t>キョウヨウ</t>
    </rPh>
    <rPh sb="4" eb="6">
      <t>ブンコ</t>
    </rPh>
    <phoneticPr fontId="1"/>
  </si>
  <si>
    <r>
      <rPr>
        <sz val="11"/>
        <rFont val="游ゴシック Medium"/>
        <family val="3"/>
        <charset val="128"/>
      </rPr>
      <t>佐野眞一</t>
    </r>
    <rPh sb="0" eb="2">
      <t>サノ</t>
    </rPh>
    <rPh sb="2" eb="4">
      <t>シンイチ</t>
    </rPh>
    <phoneticPr fontId="1"/>
  </si>
  <si>
    <r>
      <rPr>
        <sz val="11"/>
        <rFont val="游ゴシック Medium"/>
        <family val="3"/>
        <charset val="128"/>
      </rPr>
      <t>東電</t>
    </r>
    <r>
      <rPr>
        <sz val="11"/>
        <rFont val="Consolas"/>
        <family val="3"/>
      </rPr>
      <t>OL</t>
    </r>
    <r>
      <rPr>
        <sz val="11"/>
        <rFont val="游ゴシック Medium"/>
        <family val="3"/>
        <charset val="128"/>
      </rPr>
      <t>殺人事件</t>
    </r>
    <rPh sb="0" eb="2">
      <t>トウデン</t>
    </rPh>
    <rPh sb="4" eb="6">
      <t>サツジン</t>
    </rPh>
    <rPh sb="6" eb="8">
      <t>ジケン</t>
    </rPh>
    <phoneticPr fontId="1"/>
  </si>
  <si>
    <r>
      <t xml:space="preserve">2000/05 </t>
    </r>
    <r>
      <rPr>
        <sz val="11"/>
        <rFont val="游ゴシック Medium"/>
        <family val="3"/>
        <charset val="128"/>
      </rPr>
      <t>新潮社</t>
    </r>
    <rPh sb="8" eb="11">
      <t>シンチョウシャ</t>
    </rPh>
    <phoneticPr fontId="1"/>
  </si>
  <si>
    <r>
      <rPr>
        <sz val="11"/>
        <rFont val="游ゴシック Medium"/>
        <family val="3"/>
        <charset val="128"/>
      </rPr>
      <t>作務和一</t>
    </r>
    <rPh sb="0" eb="2">
      <t>サム</t>
    </rPh>
    <rPh sb="2" eb="4">
      <t>カズイチ</t>
    </rPh>
    <phoneticPr fontId="1"/>
  </si>
  <si>
    <r>
      <rPr>
        <sz val="11"/>
        <rFont val="游ゴシック Medium"/>
        <family val="3"/>
        <charset val="128"/>
      </rPr>
      <t>冷酷殺人</t>
    </r>
    <r>
      <rPr>
        <sz val="11"/>
        <rFont val="Consolas"/>
        <family val="3"/>
      </rPr>
      <t>File</t>
    </r>
    <rPh sb="0" eb="2">
      <t>レイコク</t>
    </rPh>
    <rPh sb="2" eb="4">
      <t>サツジン</t>
    </rPh>
    <rPh sb="4" eb="8">
      <t>ファイル</t>
    </rPh>
    <phoneticPr fontId="1"/>
  </si>
  <si>
    <r>
      <rPr>
        <sz val="11"/>
        <rFont val="游ゴシック Medium"/>
        <family val="3"/>
        <charset val="128"/>
      </rPr>
      <t>篠</t>
    </r>
    <r>
      <rPr>
        <sz val="11"/>
        <rFont val="Consolas"/>
        <family val="3"/>
      </rPr>
      <t xml:space="preserve"> </t>
    </r>
    <r>
      <rPr>
        <sz val="11"/>
        <rFont val="游ゴシック Medium"/>
        <family val="3"/>
        <charset val="128"/>
      </rPr>
      <t>利幸</t>
    </r>
    <rPh sb="0" eb="1">
      <t>シノ</t>
    </rPh>
    <rPh sb="2" eb="4">
      <t>トシユキ</t>
    </rPh>
    <phoneticPr fontId="1"/>
  </si>
  <si>
    <r>
      <rPr>
        <sz val="11"/>
        <rFont val="游ゴシック Medium"/>
        <family val="3"/>
        <charset val="128"/>
      </rPr>
      <t>旅</t>
    </r>
    <r>
      <rPr>
        <sz val="11"/>
        <rFont val="Consolas"/>
        <family val="3"/>
      </rPr>
      <t xml:space="preserve"> </t>
    </r>
    <r>
      <rPr>
        <sz val="11"/>
        <rFont val="游ゴシック Medium"/>
        <family val="3"/>
        <charset val="128"/>
      </rPr>
      <t>ベルギーの散歩道</t>
    </r>
    <rPh sb="0" eb="1">
      <t>タビ</t>
    </rPh>
    <rPh sb="7" eb="10">
      <t>サンポミチ</t>
    </rPh>
    <phoneticPr fontId="1"/>
  </si>
  <si>
    <r>
      <t>Arts Collection 143/</t>
    </r>
    <r>
      <rPr>
        <sz val="11"/>
        <rFont val="游ゴシック Medium"/>
        <family val="3"/>
        <charset val="128"/>
      </rPr>
      <t>旅行</t>
    </r>
    <r>
      <rPr>
        <sz val="11"/>
        <rFont val="Consolas"/>
        <family val="3"/>
      </rPr>
      <t xml:space="preserve"> 19</t>
    </r>
    <rPh sb="0" eb="4">
      <t>アーツ</t>
    </rPh>
    <rPh sb="5" eb="15">
      <t>コレクション</t>
    </rPh>
    <rPh sb="20" eb="22">
      <t>リョコウ</t>
    </rPh>
    <phoneticPr fontId="1"/>
  </si>
  <si>
    <r>
      <rPr>
        <sz val="11"/>
        <rFont val="游ゴシック Medium"/>
        <family val="3"/>
        <charset val="128"/>
      </rPr>
      <t>京都書院</t>
    </r>
    <rPh sb="0" eb="4">
      <t>キョウトショイン</t>
    </rPh>
    <phoneticPr fontId="1"/>
  </si>
  <si>
    <r>
      <rPr>
        <sz val="11"/>
        <rFont val="游ゴシック Medium"/>
        <family val="3"/>
        <charset val="128"/>
      </rPr>
      <t>氷川書房</t>
    </r>
    <rPh sb="0" eb="2">
      <t>ヒカワ</t>
    </rPh>
    <rPh sb="2" eb="4">
      <t>ショボウ</t>
    </rPh>
    <phoneticPr fontId="1"/>
  </si>
  <si>
    <r>
      <rPr>
        <sz val="11"/>
        <rFont val="游ゴシック Medium"/>
        <family val="3"/>
        <charset val="128"/>
      </rPr>
      <t>日本の神話</t>
    </r>
    <r>
      <rPr>
        <sz val="11"/>
        <rFont val="Consolas"/>
        <family val="3"/>
      </rPr>
      <t>/</t>
    </r>
    <r>
      <rPr>
        <sz val="11"/>
        <rFont val="游ゴシック Medium"/>
        <family val="3"/>
        <charset val="128"/>
      </rPr>
      <t>性の</t>
    </r>
    <r>
      <rPr>
        <sz val="11"/>
        <rFont val="Consolas"/>
        <family val="3"/>
      </rPr>
      <t>Utopia</t>
    </r>
    <r>
      <rPr>
        <sz val="11"/>
        <rFont val="游ゴシック Medium"/>
        <family val="3"/>
        <charset val="128"/>
      </rPr>
      <t>を求めて</t>
    </r>
    <rPh sb="0" eb="2">
      <t>ニホン</t>
    </rPh>
    <rPh sb="3" eb="5">
      <t>シンワ</t>
    </rPh>
    <rPh sb="6" eb="7">
      <t>セイ</t>
    </rPh>
    <rPh sb="8" eb="14">
      <t>ユートピア</t>
    </rPh>
    <rPh sb="15" eb="16">
      <t>モト</t>
    </rPh>
    <phoneticPr fontId="1"/>
  </si>
  <si>
    <r>
      <rPr>
        <sz val="11"/>
        <rFont val="游ゴシック Medium"/>
        <family val="3"/>
        <charset val="128"/>
      </rPr>
      <t>高橋</t>
    </r>
    <r>
      <rPr>
        <sz val="11"/>
        <rFont val="Consolas"/>
        <family val="3"/>
      </rPr>
      <t xml:space="preserve"> </t>
    </r>
    <r>
      <rPr>
        <sz val="11"/>
        <rFont val="游ゴシック Medium"/>
        <family val="3"/>
        <charset val="128"/>
      </rPr>
      <t>鐵</t>
    </r>
    <r>
      <rPr>
        <sz val="11"/>
        <rFont val="Consolas"/>
        <family val="3"/>
      </rPr>
      <t>Collection</t>
    </r>
    <r>
      <rPr>
        <sz val="11"/>
        <rFont val="游ゴシック Medium"/>
        <family val="3"/>
        <charset val="128"/>
      </rPr>
      <t>Ⅰ</t>
    </r>
    <rPh sb="0" eb="4">
      <t>タカハシテツ</t>
    </rPh>
    <rPh sb="4" eb="14">
      <t>コレクション</t>
    </rPh>
    <phoneticPr fontId="1"/>
  </si>
  <si>
    <r>
      <rPr>
        <sz val="11"/>
        <rFont val="游ゴシック Medium"/>
        <family val="3"/>
        <charset val="128"/>
      </rPr>
      <t>河出文庫</t>
    </r>
    <r>
      <rPr>
        <sz val="11"/>
        <rFont val="Consolas"/>
        <family val="3"/>
      </rPr>
      <t>/</t>
    </r>
    <r>
      <rPr>
        <sz val="11"/>
        <rFont val="游ゴシック Medium"/>
        <family val="3"/>
        <charset val="128"/>
      </rPr>
      <t>河出書房新社</t>
    </r>
    <rPh sb="0" eb="4">
      <t>カワデブンコ</t>
    </rPh>
    <rPh sb="5" eb="9">
      <t>カワデショボウ</t>
    </rPh>
    <rPh sb="9" eb="11">
      <t>シンシャ</t>
    </rPh>
    <phoneticPr fontId="1"/>
  </si>
  <si>
    <r>
      <rPr>
        <sz val="11"/>
        <rFont val="游ゴシック Medium"/>
        <family val="3"/>
        <charset val="128"/>
      </rPr>
      <t>性的人間の分析</t>
    </r>
    <rPh sb="0" eb="2">
      <t>セイテキ</t>
    </rPh>
    <rPh sb="2" eb="4">
      <t>ニンゲン</t>
    </rPh>
    <rPh sb="5" eb="7">
      <t>ブンセキ</t>
    </rPh>
    <phoneticPr fontId="1"/>
  </si>
  <si>
    <r>
      <rPr>
        <sz val="11"/>
        <rFont val="游ゴシック Medium"/>
        <family val="3"/>
        <charset val="128"/>
      </rPr>
      <t>高橋</t>
    </r>
    <r>
      <rPr>
        <sz val="11"/>
        <rFont val="Consolas"/>
        <family val="3"/>
      </rPr>
      <t xml:space="preserve"> </t>
    </r>
    <r>
      <rPr>
        <sz val="11"/>
        <rFont val="游ゴシック Medium"/>
        <family val="3"/>
        <charset val="128"/>
      </rPr>
      <t>鐵</t>
    </r>
    <r>
      <rPr>
        <sz val="11"/>
        <rFont val="Consolas"/>
        <family val="3"/>
      </rPr>
      <t>Collection</t>
    </r>
    <r>
      <rPr>
        <sz val="11"/>
        <rFont val="游ゴシック Medium"/>
        <family val="3"/>
        <charset val="128"/>
      </rPr>
      <t>Ⅲ</t>
    </r>
    <rPh sb="0" eb="4">
      <t>タカハシテツ</t>
    </rPh>
    <rPh sb="4" eb="14">
      <t>コレクション</t>
    </rPh>
    <phoneticPr fontId="1"/>
  </si>
  <si>
    <r>
      <rPr>
        <sz val="11"/>
        <rFont val="游ゴシック Medium"/>
        <family val="3"/>
        <charset val="128"/>
      </rPr>
      <t>おとこごろし</t>
    </r>
    <phoneticPr fontId="1"/>
  </si>
  <si>
    <r>
      <rPr>
        <sz val="11"/>
        <rFont val="游ゴシック Medium"/>
        <family val="3"/>
        <charset val="128"/>
      </rPr>
      <t>高橋</t>
    </r>
    <r>
      <rPr>
        <sz val="11"/>
        <rFont val="Consolas"/>
        <family val="3"/>
      </rPr>
      <t xml:space="preserve"> </t>
    </r>
    <r>
      <rPr>
        <sz val="11"/>
        <rFont val="游ゴシック Medium"/>
        <family val="3"/>
        <charset val="128"/>
      </rPr>
      <t>鐵</t>
    </r>
    <r>
      <rPr>
        <sz val="11"/>
        <rFont val="Consolas"/>
        <family val="3"/>
      </rPr>
      <t>Collection</t>
    </r>
    <r>
      <rPr>
        <sz val="11"/>
        <rFont val="游ゴシック Medium"/>
        <family val="3"/>
        <charset val="128"/>
      </rPr>
      <t>Ⅳ</t>
    </r>
    <rPh sb="0" eb="4">
      <t>タカハシテツ</t>
    </rPh>
    <rPh sb="4" eb="14">
      <t>コレクション</t>
    </rPh>
    <phoneticPr fontId="1"/>
  </si>
  <si>
    <r>
      <rPr>
        <sz val="11"/>
        <rFont val="游ゴシック Medium"/>
        <family val="3"/>
        <charset val="128"/>
      </rPr>
      <t>フロイド眼鏡</t>
    </r>
    <rPh sb="4" eb="6">
      <t>メガネ</t>
    </rPh>
    <phoneticPr fontId="1"/>
  </si>
  <si>
    <r>
      <rPr>
        <sz val="11"/>
        <rFont val="游ゴシック Medium"/>
        <family val="3"/>
        <charset val="128"/>
      </rPr>
      <t>高橋</t>
    </r>
    <r>
      <rPr>
        <sz val="11"/>
        <rFont val="Consolas"/>
        <family val="3"/>
      </rPr>
      <t xml:space="preserve"> </t>
    </r>
    <r>
      <rPr>
        <sz val="11"/>
        <rFont val="游ゴシック Medium"/>
        <family val="3"/>
        <charset val="128"/>
      </rPr>
      <t>鐵</t>
    </r>
    <r>
      <rPr>
        <sz val="11"/>
        <rFont val="Consolas"/>
        <family val="3"/>
      </rPr>
      <t>Collection</t>
    </r>
    <r>
      <rPr>
        <sz val="11"/>
        <rFont val="游ゴシック Medium"/>
        <family val="3"/>
        <charset val="128"/>
      </rPr>
      <t>Ⅴ</t>
    </r>
    <r>
      <rPr>
        <sz val="11"/>
        <rFont val="Consolas"/>
        <family val="3"/>
      </rPr>
      <t>/1992/</t>
    </r>
    <r>
      <rPr>
        <sz val="11"/>
        <rFont val="游ゴシック Medium"/>
        <family val="3"/>
        <charset val="128"/>
      </rPr>
      <t>宝文館</t>
    </r>
    <r>
      <rPr>
        <sz val="11"/>
        <rFont val="Consolas"/>
        <family val="3"/>
      </rPr>
      <t>/1956</t>
    </r>
    <rPh sb="0" eb="4">
      <t>タカハシテツ</t>
    </rPh>
    <rPh sb="4" eb="14">
      <t>コレクション</t>
    </rPh>
    <rPh sb="21" eb="24">
      <t>ホウブンカン</t>
    </rPh>
    <phoneticPr fontId="1"/>
  </si>
  <si>
    <r>
      <rPr>
        <sz val="11"/>
        <rFont val="游ゴシック Medium"/>
        <family val="3"/>
        <charset val="128"/>
      </rPr>
      <t>あぶ･らぶ</t>
    </r>
    <phoneticPr fontId="1"/>
  </si>
  <si>
    <r>
      <rPr>
        <sz val="11"/>
        <rFont val="游ゴシック Medium"/>
        <family val="3"/>
        <charset val="128"/>
      </rPr>
      <t>高橋</t>
    </r>
    <r>
      <rPr>
        <sz val="11"/>
        <rFont val="Consolas"/>
        <family val="3"/>
      </rPr>
      <t xml:space="preserve"> </t>
    </r>
    <r>
      <rPr>
        <sz val="11"/>
        <rFont val="游ゴシック Medium"/>
        <family val="3"/>
        <charset val="128"/>
      </rPr>
      <t>鐵</t>
    </r>
    <r>
      <rPr>
        <sz val="11"/>
        <rFont val="Consolas"/>
        <family val="3"/>
      </rPr>
      <t>Collection</t>
    </r>
    <r>
      <rPr>
        <sz val="11"/>
        <rFont val="游ゴシック Medium"/>
        <family val="3"/>
        <charset val="128"/>
      </rPr>
      <t>Ⅵ</t>
    </r>
    <rPh sb="0" eb="4">
      <t>タカハシテツ</t>
    </rPh>
    <rPh sb="4" eb="14">
      <t>コレクション</t>
    </rPh>
    <phoneticPr fontId="1"/>
  </si>
  <si>
    <r>
      <rPr>
        <sz val="11"/>
        <rFont val="游ゴシック Medium"/>
        <family val="3"/>
        <charset val="128"/>
      </rPr>
      <t>アブノーマル</t>
    </r>
    <r>
      <rPr>
        <sz val="11"/>
        <rFont val="Consolas"/>
        <family val="3"/>
      </rPr>
      <t>/</t>
    </r>
    <r>
      <rPr>
        <sz val="11"/>
        <rFont val="游ゴシック Medium"/>
        <family val="3"/>
        <charset val="128"/>
      </rPr>
      <t>異常性愛の心理と行動の分析</t>
    </r>
    <rPh sb="7" eb="9">
      <t>イジョウ</t>
    </rPh>
    <rPh sb="9" eb="11">
      <t>セイアイ</t>
    </rPh>
    <rPh sb="12" eb="14">
      <t>シンリ</t>
    </rPh>
    <rPh sb="15" eb="17">
      <t>コウドウ</t>
    </rPh>
    <rPh sb="18" eb="20">
      <t>ブンセキ</t>
    </rPh>
    <phoneticPr fontId="1"/>
  </si>
  <si>
    <r>
      <rPr>
        <sz val="11"/>
        <rFont val="游ゴシック Medium"/>
        <family val="3"/>
        <charset val="128"/>
      </rPr>
      <t>高橋</t>
    </r>
    <r>
      <rPr>
        <sz val="11"/>
        <rFont val="Consolas"/>
        <family val="3"/>
      </rPr>
      <t xml:space="preserve"> </t>
    </r>
    <r>
      <rPr>
        <sz val="11"/>
        <rFont val="游ゴシック Medium"/>
        <family val="3"/>
        <charset val="128"/>
      </rPr>
      <t>鐵</t>
    </r>
    <r>
      <rPr>
        <sz val="11"/>
        <rFont val="Consolas"/>
        <family val="3"/>
      </rPr>
      <t>Collection</t>
    </r>
    <r>
      <rPr>
        <sz val="11"/>
        <rFont val="游ゴシック Medium"/>
        <family val="3"/>
        <charset val="128"/>
      </rPr>
      <t>Ⅶ</t>
    </r>
    <r>
      <rPr>
        <sz val="11"/>
        <rFont val="Consolas"/>
        <family val="3"/>
      </rPr>
      <t>/1993/</t>
    </r>
    <r>
      <rPr>
        <sz val="11"/>
        <rFont val="游ゴシック Medium"/>
        <family val="3"/>
        <charset val="128"/>
      </rPr>
      <t>異常愛</t>
    </r>
    <r>
      <rPr>
        <sz val="11"/>
        <rFont val="Consolas"/>
        <family val="3"/>
      </rPr>
      <t>/</t>
    </r>
    <r>
      <rPr>
        <sz val="11"/>
        <rFont val="游ゴシック Medium"/>
        <family val="3"/>
        <charset val="128"/>
      </rPr>
      <t>立風書房</t>
    </r>
    <r>
      <rPr>
        <sz val="11"/>
        <rFont val="Consolas"/>
        <family val="3"/>
      </rPr>
      <t>/1972</t>
    </r>
    <rPh sb="0" eb="4">
      <t>タカハシテツ</t>
    </rPh>
    <rPh sb="4" eb="14">
      <t>コレクション</t>
    </rPh>
    <rPh sb="21" eb="23">
      <t>イジョウ</t>
    </rPh>
    <rPh sb="23" eb="24">
      <t>アイ</t>
    </rPh>
    <rPh sb="25" eb="26">
      <t>リツ</t>
    </rPh>
    <rPh sb="26" eb="27">
      <t>プウ</t>
    </rPh>
    <rPh sb="27" eb="29">
      <t>ショボウ</t>
    </rPh>
    <phoneticPr fontId="1"/>
  </si>
  <si>
    <r>
      <rPr>
        <sz val="11"/>
        <rFont val="游ゴシック Medium"/>
        <family val="3"/>
        <charset val="128"/>
      </rPr>
      <t>あるす･あまとりあ</t>
    </r>
    <r>
      <rPr>
        <sz val="11"/>
        <rFont val="Consolas"/>
        <family val="3"/>
      </rPr>
      <t>/</t>
    </r>
    <r>
      <rPr>
        <sz val="11"/>
        <rFont val="游ゴシック Medium"/>
        <family val="3"/>
        <charset val="128"/>
      </rPr>
      <t>性交態位六十二型の分析</t>
    </r>
    <rPh sb="10" eb="12">
      <t>セイコウ</t>
    </rPh>
    <rPh sb="12" eb="14">
      <t>タイイ</t>
    </rPh>
    <rPh sb="14" eb="17">
      <t>６２</t>
    </rPh>
    <rPh sb="17" eb="18">
      <t>カタ</t>
    </rPh>
    <rPh sb="19" eb="21">
      <t>ブンセキ</t>
    </rPh>
    <phoneticPr fontId="1"/>
  </si>
  <si>
    <r>
      <rPr>
        <sz val="11"/>
        <rFont val="游ゴシック Medium"/>
        <family val="3"/>
        <charset val="128"/>
      </rPr>
      <t>高橋</t>
    </r>
    <r>
      <rPr>
        <sz val="11"/>
        <rFont val="Consolas"/>
        <family val="3"/>
      </rPr>
      <t xml:space="preserve"> </t>
    </r>
    <r>
      <rPr>
        <sz val="11"/>
        <rFont val="游ゴシック Medium"/>
        <family val="3"/>
        <charset val="128"/>
      </rPr>
      <t>鐵</t>
    </r>
    <r>
      <rPr>
        <sz val="11"/>
        <rFont val="Consolas"/>
        <family val="3"/>
      </rPr>
      <t>Collection</t>
    </r>
    <r>
      <rPr>
        <sz val="11"/>
        <rFont val="游ゴシック Medium"/>
        <family val="3"/>
        <charset val="128"/>
      </rPr>
      <t>Ⅷ</t>
    </r>
    <rPh sb="0" eb="4">
      <t>タカハシテツ</t>
    </rPh>
    <rPh sb="4" eb="14">
      <t>コレクション</t>
    </rPh>
    <phoneticPr fontId="1"/>
  </si>
  <si>
    <r>
      <rPr>
        <sz val="11"/>
        <rFont val="游ゴシック Medium"/>
        <family val="3"/>
        <charset val="128"/>
      </rPr>
      <t>えろす福音書</t>
    </r>
    <rPh sb="3" eb="6">
      <t>フクインショ</t>
    </rPh>
    <phoneticPr fontId="1"/>
  </si>
  <si>
    <r>
      <rPr>
        <sz val="11"/>
        <rFont val="游ゴシック Medium"/>
        <family val="3"/>
        <charset val="128"/>
      </rPr>
      <t>高橋</t>
    </r>
    <r>
      <rPr>
        <sz val="11"/>
        <rFont val="Consolas"/>
        <family val="3"/>
      </rPr>
      <t xml:space="preserve"> </t>
    </r>
    <r>
      <rPr>
        <sz val="11"/>
        <rFont val="游ゴシック Medium"/>
        <family val="3"/>
        <charset val="128"/>
      </rPr>
      <t>鐵</t>
    </r>
    <r>
      <rPr>
        <sz val="11"/>
        <rFont val="Consolas"/>
        <family val="3"/>
      </rPr>
      <t>Collection</t>
    </r>
    <r>
      <rPr>
        <sz val="11"/>
        <rFont val="游ゴシック Medium"/>
        <family val="3"/>
        <charset val="128"/>
      </rPr>
      <t>Ⅸ</t>
    </r>
    <rPh sb="0" eb="4">
      <t>タカハシテツ</t>
    </rPh>
    <rPh sb="4" eb="14">
      <t>コレクション</t>
    </rPh>
    <phoneticPr fontId="1"/>
  </si>
  <si>
    <r>
      <rPr>
        <sz val="11"/>
        <rFont val="游ゴシック Medium"/>
        <family val="3"/>
        <charset val="128"/>
      </rPr>
      <t>性感の神秘</t>
    </r>
    <rPh sb="0" eb="2">
      <t>セイカン</t>
    </rPh>
    <rPh sb="3" eb="5">
      <t>シンピ</t>
    </rPh>
    <phoneticPr fontId="1"/>
  </si>
  <si>
    <r>
      <rPr>
        <sz val="11"/>
        <rFont val="游ゴシック Medium"/>
        <family val="3"/>
        <charset val="128"/>
      </rPr>
      <t>高橋</t>
    </r>
    <r>
      <rPr>
        <sz val="11"/>
        <rFont val="Consolas"/>
        <family val="3"/>
      </rPr>
      <t xml:space="preserve"> </t>
    </r>
    <r>
      <rPr>
        <sz val="11"/>
        <rFont val="游ゴシック Medium"/>
        <family val="3"/>
        <charset val="128"/>
      </rPr>
      <t>鐵</t>
    </r>
    <r>
      <rPr>
        <sz val="11"/>
        <rFont val="Consolas"/>
        <family val="3"/>
      </rPr>
      <t>Collection</t>
    </r>
    <r>
      <rPr>
        <sz val="11"/>
        <rFont val="游ゴシック Medium"/>
        <family val="3"/>
        <charset val="128"/>
      </rPr>
      <t>Ⅹ</t>
    </r>
    <rPh sb="0" eb="4">
      <t>タカハシテツ</t>
    </rPh>
    <rPh sb="4" eb="14">
      <t>コレクション</t>
    </rPh>
    <phoneticPr fontId="1"/>
  </si>
  <si>
    <r>
      <rPr>
        <sz val="11"/>
        <rFont val="游ゴシック Medium"/>
        <family val="3"/>
        <charset val="128"/>
      </rPr>
      <t>多田敏捷</t>
    </r>
    <rPh sb="0" eb="2">
      <t>タダ</t>
    </rPh>
    <rPh sb="2" eb="4">
      <t>トシカツ</t>
    </rPh>
    <phoneticPr fontId="1"/>
  </si>
  <si>
    <r>
      <rPr>
        <sz val="11"/>
        <rFont val="游ゴシック Medium"/>
        <family val="3"/>
        <charset val="128"/>
      </rPr>
      <t>日本玩具史研究所</t>
    </r>
    <r>
      <rPr>
        <sz val="11"/>
        <rFont val="Consolas"/>
        <family val="3"/>
      </rPr>
      <t>:</t>
    </r>
    <r>
      <rPr>
        <sz val="11"/>
        <rFont val="游ゴシック Medium"/>
        <family val="3"/>
        <charset val="128"/>
      </rPr>
      <t>編</t>
    </r>
    <rPh sb="0" eb="2">
      <t>ニホン</t>
    </rPh>
    <rPh sb="2" eb="4">
      <t>ガング</t>
    </rPh>
    <rPh sb="4" eb="5">
      <t>シ</t>
    </rPh>
    <rPh sb="5" eb="8">
      <t>ケンキュウショ</t>
    </rPh>
    <rPh sb="9" eb="10">
      <t>ヘン</t>
    </rPh>
    <phoneticPr fontId="1"/>
  </si>
  <si>
    <r>
      <rPr>
        <sz val="11"/>
        <rFont val="游ゴシック Medium"/>
        <family val="3"/>
        <charset val="128"/>
      </rPr>
      <t>人形</t>
    </r>
    <r>
      <rPr>
        <sz val="11"/>
        <rFont val="Consolas"/>
        <family val="3"/>
      </rPr>
      <t>|</t>
    </r>
    <r>
      <rPr>
        <sz val="11"/>
        <rFont val="游ゴシック Medium"/>
        <family val="3"/>
        <charset val="128"/>
      </rPr>
      <t>うつし絵･着せかえ･ぬり絵</t>
    </r>
    <r>
      <rPr>
        <sz val="11"/>
        <rFont val="Consolas"/>
        <family val="3"/>
      </rPr>
      <t>/Dolls|Transfer Seals,Dress-Up Paper Dolls &amp; Coloring Books/</t>
    </r>
    <r>
      <rPr>
        <sz val="11"/>
        <rFont val="游ゴシック Medium"/>
        <family val="3"/>
        <charset val="128"/>
      </rPr>
      <t>おもちゃ博物館</t>
    </r>
    <r>
      <rPr>
        <sz val="11"/>
        <rFont val="Consolas"/>
        <family val="3"/>
      </rPr>
      <t>/The Toy Museum</t>
    </r>
    <rPh sb="0" eb="2">
      <t>ニンギョウ</t>
    </rPh>
    <rPh sb="6" eb="7">
      <t>エ</t>
    </rPh>
    <rPh sb="8" eb="9">
      <t>キ</t>
    </rPh>
    <rPh sb="15" eb="16">
      <t>エ</t>
    </rPh>
    <rPh sb="80" eb="83">
      <t>ハクブツカン</t>
    </rPh>
    <phoneticPr fontId="1"/>
  </si>
  <si>
    <r>
      <t>Arts Collection 021/</t>
    </r>
    <r>
      <rPr>
        <sz val="11"/>
        <rFont val="游ゴシック Medium"/>
        <family val="3"/>
        <charset val="128"/>
      </rPr>
      <t>玩具</t>
    </r>
    <r>
      <rPr>
        <sz val="11"/>
        <rFont val="Consolas"/>
        <family val="3"/>
      </rPr>
      <t>2</t>
    </r>
    <rPh sb="0" eb="4">
      <t>アーツ</t>
    </rPh>
    <rPh sb="5" eb="15">
      <t>コレクション</t>
    </rPh>
    <rPh sb="20" eb="22">
      <t>ガング</t>
    </rPh>
    <phoneticPr fontId="1"/>
  </si>
  <si>
    <r>
      <rPr>
        <sz val="11"/>
        <rFont val="游ゴシック Medium"/>
        <family val="3"/>
        <charset val="128"/>
      </rPr>
      <t>立花</t>
    </r>
    <r>
      <rPr>
        <sz val="11"/>
        <rFont val="Consolas"/>
        <family val="3"/>
      </rPr>
      <t xml:space="preserve"> </t>
    </r>
    <r>
      <rPr>
        <sz val="11"/>
        <rFont val="游ゴシック Medium"/>
        <family val="3"/>
        <charset val="128"/>
      </rPr>
      <t>隆</t>
    </r>
    <rPh sb="0" eb="2">
      <t>タチバナ</t>
    </rPh>
    <rPh sb="3" eb="4">
      <t>タカシ</t>
    </rPh>
    <phoneticPr fontId="1"/>
  </si>
  <si>
    <r>
      <rPr>
        <b/>
        <sz val="11"/>
        <color indexed="33"/>
        <rFont val="游ゴシック Medium"/>
        <family val="3"/>
        <charset val="128"/>
      </rPr>
      <t>日本共産党の研究</t>
    </r>
    <r>
      <rPr>
        <b/>
        <sz val="11"/>
        <color indexed="33"/>
        <rFont val="Consolas"/>
        <family val="3"/>
      </rPr>
      <t>[</t>
    </r>
    <r>
      <rPr>
        <b/>
        <sz val="11"/>
        <color indexed="33"/>
        <rFont val="游ゴシック Medium"/>
        <family val="3"/>
        <charset val="128"/>
      </rPr>
      <t>一</t>
    </r>
    <r>
      <rPr>
        <b/>
        <sz val="11"/>
        <color indexed="33"/>
        <rFont val="Consolas"/>
        <family val="3"/>
      </rPr>
      <t>]</t>
    </r>
    <rPh sb="0" eb="2">
      <t>ニホン</t>
    </rPh>
    <rPh sb="2" eb="5">
      <t>キョウサントウ</t>
    </rPh>
    <rPh sb="6" eb="8">
      <t>ケンキュウ</t>
    </rPh>
    <phoneticPr fontId="1"/>
  </si>
  <si>
    <r>
      <rPr>
        <b/>
        <sz val="11"/>
        <color indexed="33"/>
        <rFont val="游ゴシック Medium"/>
        <family val="3"/>
        <charset val="128"/>
      </rPr>
      <t>日本共産党の研究</t>
    </r>
    <r>
      <rPr>
        <b/>
        <sz val="11"/>
        <color indexed="33"/>
        <rFont val="Consolas"/>
        <family val="3"/>
      </rPr>
      <t>[</t>
    </r>
    <r>
      <rPr>
        <b/>
        <sz val="11"/>
        <color indexed="33"/>
        <rFont val="游ゴシック Medium"/>
        <family val="3"/>
        <charset val="128"/>
      </rPr>
      <t>二</t>
    </r>
    <r>
      <rPr>
        <b/>
        <sz val="11"/>
        <color indexed="33"/>
        <rFont val="Consolas"/>
        <family val="3"/>
      </rPr>
      <t>]</t>
    </r>
    <rPh sb="0" eb="2">
      <t>ニホン</t>
    </rPh>
    <rPh sb="2" eb="5">
      <t>キョウサントウ</t>
    </rPh>
    <rPh sb="6" eb="8">
      <t>ケンキュウ</t>
    </rPh>
    <phoneticPr fontId="1"/>
  </si>
  <si>
    <r>
      <rPr>
        <b/>
        <sz val="11"/>
        <color indexed="33"/>
        <rFont val="游ゴシック Medium"/>
        <family val="3"/>
        <charset val="128"/>
      </rPr>
      <t>日本共産党の研究</t>
    </r>
    <r>
      <rPr>
        <b/>
        <sz val="11"/>
        <color indexed="33"/>
        <rFont val="Consolas"/>
        <family val="3"/>
      </rPr>
      <t>[</t>
    </r>
    <r>
      <rPr>
        <b/>
        <sz val="11"/>
        <color indexed="33"/>
        <rFont val="游ゴシック Medium"/>
        <family val="3"/>
        <charset val="128"/>
      </rPr>
      <t>三</t>
    </r>
    <r>
      <rPr>
        <b/>
        <sz val="11"/>
        <color indexed="33"/>
        <rFont val="Consolas"/>
        <family val="3"/>
      </rPr>
      <t>]</t>
    </r>
    <rPh sb="0" eb="2">
      <t>ニホン</t>
    </rPh>
    <rPh sb="2" eb="5">
      <t>キョウサントウ</t>
    </rPh>
    <rPh sb="6" eb="8">
      <t>ケンキュウ</t>
    </rPh>
    <phoneticPr fontId="1"/>
  </si>
  <si>
    <r>
      <rPr>
        <sz val="11"/>
        <rFont val="游ゴシック Medium"/>
        <family val="3"/>
        <charset val="128"/>
      </rPr>
      <t>田中貴子</t>
    </r>
    <rPh sb="0" eb="2">
      <t>タナカ</t>
    </rPh>
    <rPh sb="2" eb="4">
      <t>タカコ</t>
    </rPh>
    <phoneticPr fontId="1"/>
  </si>
  <si>
    <r>
      <rPr>
        <sz val="11"/>
        <rFont val="游ゴシック Medium"/>
        <family val="3"/>
        <charset val="128"/>
      </rPr>
      <t>性愛の日本中世</t>
    </r>
    <rPh sb="0" eb="2">
      <t>セイアイ</t>
    </rPh>
    <rPh sb="3" eb="5">
      <t>ニホン</t>
    </rPh>
    <rPh sb="5" eb="7">
      <t>チュウセイ</t>
    </rPh>
    <phoneticPr fontId="1"/>
  </si>
  <si>
    <r>
      <rPr>
        <sz val="11"/>
        <rFont val="游ゴシック Medium"/>
        <family val="3"/>
        <charset val="128"/>
      </rPr>
      <t>洋泉社</t>
    </r>
    <phoneticPr fontId="1"/>
  </si>
  <si>
    <r>
      <rPr>
        <sz val="11"/>
        <rFont val="游ゴシック Medium"/>
        <family val="3"/>
        <charset val="128"/>
      </rPr>
      <t>田辺昭三</t>
    </r>
    <rPh sb="0" eb="2">
      <t>タナベ</t>
    </rPh>
    <rPh sb="2" eb="4">
      <t>ショウゾウ</t>
    </rPh>
    <phoneticPr fontId="1"/>
  </si>
  <si>
    <r>
      <rPr>
        <sz val="11"/>
        <rFont val="游ゴシック Medium"/>
        <family val="3"/>
        <charset val="128"/>
      </rPr>
      <t>謎の女王卑弥呼</t>
    </r>
    <rPh sb="0" eb="1">
      <t>ナゾ</t>
    </rPh>
    <rPh sb="2" eb="4">
      <t>ジョオウ</t>
    </rPh>
    <rPh sb="4" eb="7">
      <t>ヒミコ</t>
    </rPh>
    <phoneticPr fontId="1"/>
  </si>
  <si>
    <r>
      <rPr>
        <sz val="11"/>
        <rFont val="游ゴシック Medium"/>
        <family val="3"/>
        <charset val="128"/>
      </rPr>
      <t>出口保夫</t>
    </r>
    <rPh sb="0" eb="2">
      <t>デグチ</t>
    </rPh>
    <rPh sb="2" eb="4">
      <t>ヤスオ</t>
    </rPh>
    <phoneticPr fontId="1"/>
  </si>
  <si>
    <r>
      <rPr>
        <sz val="11"/>
        <rFont val="游ゴシック Medium"/>
        <family val="3"/>
        <charset val="128"/>
      </rPr>
      <t>イギリス怪奇探訪</t>
    </r>
    <r>
      <rPr>
        <sz val="11"/>
        <rFont val="Consolas"/>
        <family val="3"/>
      </rPr>
      <t>/</t>
    </r>
    <r>
      <rPr>
        <sz val="11"/>
        <rFont val="游ゴシック Medium"/>
        <family val="3"/>
        <charset val="128"/>
      </rPr>
      <t>謎とロマンを求めて</t>
    </r>
    <rPh sb="4" eb="6">
      <t>カイキ</t>
    </rPh>
    <rPh sb="6" eb="8">
      <t>タンボウ</t>
    </rPh>
    <rPh sb="9" eb="10">
      <t>ナゾ</t>
    </rPh>
    <rPh sb="15" eb="16">
      <t>モト</t>
    </rPh>
    <phoneticPr fontId="1"/>
  </si>
  <si>
    <r>
      <t>PHP</t>
    </r>
    <r>
      <rPr>
        <sz val="11"/>
        <rFont val="游ゴシック Medium"/>
        <family val="3"/>
        <charset val="128"/>
      </rPr>
      <t>文庫</t>
    </r>
    <rPh sb="3" eb="5">
      <t>ブンコ</t>
    </rPh>
    <phoneticPr fontId="1"/>
  </si>
  <si>
    <r>
      <t xml:space="preserve">Book Off </t>
    </r>
    <r>
      <rPr>
        <sz val="11"/>
        <rFont val="游ゴシック Medium"/>
        <family val="3"/>
        <charset val="128"/>
      </rPr>
      <t>大久保</t>
    </r>
    <rPh sb="9" eb="12">
      <t>オオクボ</t>
    </rPh>
    <phoneticPr fontId="1"/>
  </si>
  <si>
    <r>
      <rPr>
        <sz val="11"/>
        <rFont val="游ゴシック Medium"/>
        <family val="3"/>
        <charset val="128"/>
      </rPr>
      <t>永沢光雄</t>
    </r>
    <rPh sb="0" eb="2">
      <t>ナガサワ</t>
    </rPh>
    <rPh sb="2" eb="4">
      <t>ミツオ</t>
    </rPh>
    <phoneticPr fontId="1"/>
  </si>
  <si>
    <r>
      <rPr>
        <sz val="11"/>
        <rFont val="游ゴシック Medium"/>
        <family val="3"/>
        <charset val="128"/>
      </rPr>
      <t>永江朗</t>
    </r>
    <rPh sb="0" eb="2">
      <t>ナガエ</t>
    </rPh>
    <rPh sb="2" eb="3">
      <t>ロウ</t>
    </rPh>
    <phoneticPr fontId="1"/>
  </si>
  <si>
    <r>
      <rPr>
        <sz val="11"/>
        <rFont val="游ゴシック Medium"/>
        <family val="3"/>
        <charset val="128"/>
      </rPr>
      <t>風俗の人たち</t>
    </r>
    <rPh sb="0" eb="2">
      <t>フウゾク</t>
    </rPh>
    <rPh sb="3" eb="4">
      <t>ヒト</t>
    </rPh>
    <phoneticPr fontId="1"/>
  </si>
  <si>
    <r>
      <t>1990~1996</t>
    </r>
    <r>
      <rPr>
        <sz val="11"/>
        <rFont val="游ゴシック Medium"/>
        <family val="3"/>
        <charset val="128"/>
      </rPr>
      <t>連載</t>
    </r>
    <r>
      <rPr>
        <sz val="11"/>
        <rFont val="Consolas"/>
        <family val="3"/>
      </rPr>
      <t>,1997</t>
    </r>
    <phoneticPr fontId="1"/>
  </si>
  <si>
    <r>
      <rPr>
        <sz val="11"/>
        <rFont val="游ゴシック Medium"/>
        <family val="3"/>
        <charset val="128"/>
      </rPr>
      <t>中島らも</t>
    </r>
    <rPh sb="0" eb="2">
      <t>ナカジマ</t>
    </rPh>
    <phoneticPr fontId="1"/>
  </si>
  <si>
    <r>
      <rPr>
        <sz val="11"/>
        <rFont val="游ゴシック Medium"/>
        <family val="3"/>
        <charset val="128"/>
      </rPr>
      <t>しりとりえっせい</t>
    </r>
    <phoneticPr fontId="1"/>
  </si>
  <si>
    <r>
      <rPr>
        <sz val="11"/>
        <rFont val="游ゴシック Medium"/>
        <family val="3"/>
        <charset val="128"/>
      </rPr>
      <t>永田</t>
    </r>
    <r>
      <rPr>
        <sz val="11"/>
        <rFont val="Consolas"/>
        <family val="3"/>
      </rPr>
      <t xml:space="preserve"> </t>
    </r>
    <r>
      <rPr>
        <sz val="11"/>
        <rFont val="游ゴシック Medium"/>
        <family val="3"/>
        <charset val="128"/>
      </rPr>
      <t>守弘</t>
    </r>
    <rPh sb="0" eb="2">
      <t>ナガタ</t>
    </rPh>
    <rPh sb="3" eb="5">
      <t>モリヒロ</t>
    </rPh>
    <phoneticPr fontId="1"/>
  </si>
  <si>
    <r>
      <rPr>
        <sz val="11"/>
        <rFont val="游ゴシック Medium"/>
        <family val="3"/>
        <charset val="128"/>
      </rPr>
      <t>官能小説用語表現辞典</t>
    </r>
    <rPh sb="0" eb="2">
      <t>カンノウ</t>
    </rPh>
    <rPh sb="2" eb="4">
      <t>ショウセツ</t>
    </rPh>
    <rPh sb="4" eb="6">
      <t>ヨウゴ</t>
    </rPh>
    <rPh sb="6" eb="8">
      <t>ヒョウゲン</t>
    </rPh>
    <rPh sb="8" eb="10">
      <t>ジテン</t>
    </rPh>
    <phoneticPr fontId="1"/>
  </si>
  <si>
    <r>
      <rPr>
        <sz val="11"/>
        <rFont val="游ゴシック Medium"/>
        <family val="3"/>
        <charset val="128"/>
      </rPr>
      <t>官能小説「絶頂」表現用語用例辞典</t>
    </r>
    <rPh sb="0" eb="2">
      <t>カンノウ</t>
    </rPh>
    <rPh sb="2" eb="4">
      <t>ショウセツ</t>
    </rPh>
    <rPh sb="5" eb="7">
      <t>ゼッチョウ</t>
    </rPh>
    <rPh sb="8" eb="10">
      <t>ヒョウゲン</t>
    </rPh>
    <rPh sb="10" eb="12">
      <t>ヨウゴ</t>
    </rPh>
    <rPh sb="12" eb="14">
      <t>ヨウレイ</t>
    </rPh>
    <rPh sb="14" eb="16">
      <t>ジテン</t>
    </rPh>
    <phoneticPr fontId="1"/>
  </si>
  <si>
    <r>
      <rPr>
        <sz val="11"/>
        <rFont val="游ゴシック Medium"/>
        <family val="3"/>
        <charset val="128"/>
      </rPr>
      <t>中野美代子</t>
    </r>
    <rPh sb="0" eb="2">
      <t>ナカノ</t>
    </rPh>
    <rPh sb="2" eb="5">
      <t>ミヨコ</t>
    </rPh>
    <phoneticPr fontId="1"/>
  </si>
  <si>
    <r>
      <t>Cannibalism</t>
    </r>
    <r>
      <rPr>
        <sz val="11"/>
        <rFont val="游ゴシック Medium"/>
        <family val="3"/>
        <charset val="128"/>
      </rPr>
      <t>論</t>
    </r>
    <rPh sb="0" eb="11">
      <t>カニバリズム</t>
    </rPh>
    <rPh sb="11" eb="12">
      <t>ロン</t>
    </rPh>
    <phoneticPr fontId="1"/>
  </si>
  <si>
    <r>
      <rPr>
        <sz val="11"/>
        <rFont val="游ゴシック Medium"/>
        <family val="3"/>
        <charset val="128"/>
      </rPr>
      <t>永山久夫</t>
    </r>
    <rPh sb="0" eb="2">
      <t>ナガヤマ</t>
    </rPh>
    <rPh sb="2" eb="4">
      <t>ヒサオ</t>
    </rPh>
    <phoneticPr fontId="1"/>
  </si>
  <si>
    <r>
      <rPr>
        <sz val="11"/>
        <rFont val="游ゴシック Medium"/>
        <family val="3"/>
        <charset val="128"/>
      </rPr>
      <t>たべもの古代史</t>
    </r>
    <rPh sb="4" eb="7">
      <t>コダイシ</t>
    </rPh>
    <phoneticPr fontId="1"/>
  </si>
  <si>
    <r>
      <rPr>
        <sz val="11"/>
        <rFont val="游ゴシック Medium"/>
        <family val="3"/>
        <charset val="128"/>
      </rPr>
      <t>日本社</t>
    </r>
    <rPh sb="0" eb="2">
      <t>ニホン</t>
    </rPh>
    <rPh sb="2" eb="3">
      <t>シャ</t>
    </rPh>
    <phoneticPr fontId="1"/>
  </si>
  <si>
    <r>
      <rPr>
        <sz val="10"/>
        <rFont val="游ゴシック Medium"/>
        <family val="3"/>
        <charset val="128"/>
      </rPr>
      <t>つい誰かに話したくなる</t>
    </r>
    <r>
      <rPr>
        <sz val="11"/>
        <rFont val="游ゴシック Medium"/>
        <family val="3"/>
        <charset val="128"/>
      </rPr>
      <t>雑学の本</t>
    </r>
    <rPh sb="2" eb="3">
      <t>ダレ</t>
    </rPh>
    <rPh sb="5" eb="6">
      <t>ハナ</t>
    </rPh>
    <rPh sb="11" eb="13">
      <t>ザツガク</t>
    </rPh>
    <rPh sb="14" eb="15">
      <t>ホン</t>
    </rPh>
    <phoneticPr fontId="1"/>
  </si>
  <si>
    <r>
      <rPr>
        <sz val="11"/>
        <rFont val="游ゴシック Medium"/>
        <family val="3"/>
        <charset val="128"/>
      </rPr>
      <t>日本国際ギデオン協会</t>
    </r>
    <rPh sb="0" eb="2">
      <t>ニホン</t>
    </rPh>
    <rPh sb="2" eb="4">
      <t>コクサイ</t>
    </rPh>
    <rPh sb="8" eb="10">
      <t>キョウカイ</t>
    </rPh>
    <phoneticPr fontId="1"/>
  </si>
  <si>
    <r>
      <t>NEW TESTAMENT/</t>
    </r>
    <r>
      <rPr>
        <sz val="11"/>
        <rFont val="游ゴシック Medium"/>
        <family val="3"/>
        <charset val="128"/>
      </rPr>
      <t>ニューバイブル</t>
    </r>
    <r>
      <rPr>
        <sz val="11"/>
        <rFont val="Consolas"/>
        <family val="3"/>
      </rPr>
      <t xml:space="preserve"> </t>
    </r>
    <r>
      <rPr>
        <sz val="11"/>
        <rFont val="游ゴシック Medium"/>
        <family val="3"/>
        <charset val="128"/>
      </rPr>
      <t>新約聖書</t>
    </r>
    <rPh sb="22" eb="26">
      <t>シンヤクセイショ</t>
    </rPh>
    <phoneticPr fontId="1"/>
  </si>
  <si>
    <r>
      <rPr>
        <sz val="11"/>
        <rFont val="游ゴシック Medium"/>
        <family val="3"/>
        <charset val="128"/>
      </rPr>
      <t>国際ギデオン協会より贈呈</t>
    </r>
    <rPh sb="0" eb="2">
      <t>コクサイ</t>
    </rPh>
    <rPh sb="6" eb="8">
      <t>キョウカイ</t>
    </rPh>
    <rPh sb="10" eb="12">
      <t>ゾウテイ</t>
    </rPh>
    <phoneticPr fontId="1"/>
  </si>
  <si>
    <r>
      <rPr>
        <sz val="11"/>
        <rFont val="游ゴシック Medium"/>
        <family val="3"/>
        <charset val="128"/>
      </rPr>
      <t>まほの大学の入学時</t>
    </r>
    <rPh sb="3" eb="5">
      <t>ダイガク</t>
    </rPh>
    <rPh sb="6" eb="9">
      <t>ニュウガクジ</t>
    </rPh>
    <phoneticPr fontId="1"/>
  </si>
  <si>
    <r>
      <rPr>
        <sz val="11"/>
        <rFont val="游ゴシック Medium"/>
        <family val="3"/>
        <charset val="128"/>
      </rPr>
      <t>日本聖書協会</t>
    </r>
    <rPh sb="0" eb="2">
      <t>ニホン</t>
    </rPh>
    <rPh sb="2" eb="4">
      <t>セイショ</t>
    </rPh>
    <rPh sb="4" eb="6">
      <t>キョウカイ</t>
    </rPh>
    <phoneticPr fontId="1"/>
  </si>
  <si>
    <r>
      <rPr>
        <sz val="11"/>
        <rFont val="游ゴシック Medium"/>
        <family val="3"/>
        <charset val="128"/>
      </rPr>
      <t>米国標準訳</t>
    </r>
    <r>
      <rPr>
        <sz val="11"/>
        <rFont val="Consolas"/>
        <family val="3"/>
      </rPr>
      <t>/</t>
    </r>
    <r>
      <rPr>
        <sz val="11"/>
        <rFont val="游ゴシック Medium"/>
        <family val="3"/>
        <charset val="128"/>
      </rPr>
      <t>日本語口語訳</t>
    </r>
    <r>
      <rPr>
        <sz val="11"/>
        <rFont val="Consolas"/>
        <family val="3"/>
      </rPr>
      <t>/</t>
    </r>
    <r>
      <rPr>
        <sz val="11"/>
        <rFont val="游ゴシック Medium"/>
        <family val="3"/>
        <charset val="128"/>
      </rPr>
      <t>対照</t>
    </r>
    <rPh sb="0" eb="2">
      <t>ベイコク</t>
    </rPh>
    <rPh sb="2" eb="4">
      <t>ヒョウジュン</t>
    </rPh>
    <rPh sb="4" eb="5">
      <t>ヤク</t>
    </rPh>
    <rPh sb="6" eb="9">
      <t>ニホンゴ</t>
    </rPh>
    <rPh sb="9" eb="12">
      <t>コウゴヤク</t>
    </rPh>
    <rPh sb="13" eb="15">
      <t>タイショウ</t>
    </rPh>
    <phoneticPr fontId="1"/>
  </si>
  <si>
    <r>
      <rPr>
        <sz val="11"/>
        <rFont val="游ゴシック Medium"/>
        <family val="3"/>
        <charset val="128"/>
      </rPr>
      <t>聖書</t>
    </r>
    <rPh sb="0" eb="2">
      <t>セイショ</t>
    </rPh>
    <phoneticPr fontId="1"/>
  </si>
  <si>
    <r>
      <rPr>
        <sz val="11"/>
        <rFont val="游ゴシック Medium"/>
        <family val="3"/>
        <charset val="128"/>
      </rPr>
      <t>新約聖書</t>
    </r>
    <rPh sb="0" eb="2">
      <t>シンヤク</t>
    </rPh>
    <rPh sb="2" eb="4">
      <t>セイショ</t>
    </rPh>
    <phoneticPr fontId="1"/>
  </si>
  <si>
    <r>
      <rPr>
        <sz val="11"/>
        <rFont val="游ゴシック Medium"/>
        <family val="3"/>
        <charset val="128"/>
      </rPr>
      <t>中型新約聖書</t>
    </r>
    <r>
      <rPr>
        <sz val="11"/>
        <rFont val="Consolas"/>
        <family val="3"/>
      </rPr>
      <t>(</t>
    </r>
    <r>
      <rPr>
        <sz val="11"/>
        <rFont val="游ゴシック Medium"/>
        <family val="3"/>
        <charset val="128"/>
      </rPr>
      <t>口語</t>
    </r>
    <r>
      <rPr>
        <sz val="11"/>
        <rFont val="Consolas"/>
        <family val="3"/>
      </rPr>
      <t>)</t>
    </r>
    <rPh sb="0" eb="2">
      <t>チュウガタ</t>
    </rPh>
    <rPh sb="2" eb="4">
      <t>シンヤク</t>
    </rPh>
    <rPh sb="4" eb="6">
      <t>セイショ</t>
    </rPh>
    <rPh sb="7" eb="9">
      <t>コウゴ</t>
    </rPh>
    <phoneticPr fontId="1"/>
  </si>
  <si>
    <r>
      <rPr>
        <sz val="11"/>
        <rFont val="游ゴシック Medium"/>
        <family val="3"/>
        <charset val="128"/>
      </rPr>
      <t>樋田豊次郎</t>
    </r>
    <rPh sb="0" eb="2">
      <t>ヒダ</t>
    </rPh>
    <rPh sb="2" eb="5">
      <t>トヨジロウ</t>
    </rPh>
    <phoneticPr fontId="1"/>
  </si>
  <si>
    <r>
      <rPr>
        <sz val="11"/>
        <rFont val="游ゴシック Medium"/>
        <family val="3"/>
        <charset val="128"/>
      </rPr>
      <t>シーグ社出版㈱</t>
    </r>
    <rPh sb="3" eb="4">
      <t>シャ</t>
    </rPh>
    <rPh sb="4" eb="6">
      <t>シュッパン</t>
    </rPh>
    <phoneticPr fontId="1"/>
  </si>
  <si>
    <r>
      <rPr>
        <sz val="11"/>
        <rFont val="游ゴシック Medium"/>
        <family val="3"/>
        <charset val="128"/>
      </rPr>
      <t>明治の輸出工芸図案</t>
    </r>
    <r>
      <rPr>
        <sz val="11"/>
        <rFont val="Consolas"/>
        <family val="3"/>
      </rPr>
      <t>/</t>
    </r>
    <r>
      <rPr>
        <sz val="11"/>
        <rFont val="游ゴシック Medium"/>
        <family val="3"/>
        <charset val="128"/>
      </rPr>
      <t>日本文様図集</t>
    </r>
    <r>
      <rPr>
        <sz val="11"/>
        <rFont val="Consolas"/>
        <family val="3"/>
      </rPr>
      <t>/</t>
    </r>
    <r>
      <rPr>
        <sz val="11"/>
        <rFont val="游ゴシック Medium"/>
        <family val="3"/>
        <charset val="128"/>
      </rPr>
      <t>起立工商会社の歴史</t>
    </r>
    <rPh sb="0" eb="2">
      <t>メイジ</t>
    </rPh>
    <rPh sb="3" eb="5">
      <t>ユシュツ</t>
    </rPh>
    <rPh sb="5" eb="7">
      <t>コウゲイ</t>
    </rPh>
    <rPh sb="7" eb="9">
      <t>ズアン</t>
    </rPh>
    <rPh sb="10" eb="12">
      <t>ニホン</t>
    </rPh>
    <rPh sb="12" eb="14">
      <t>モンヨウ</t>
    </rPh>
    <rPh sb="14" eb="16">
      <t>ズシュウ</t>
    </rPh>
    <rPh sb="17" eb="19">
      <t>キリツ</t>
    </rPh>
    <rPh sb="19" eb="21">
      <t>コウショウ</t>
    </rPh>
    <rPh sb="21" eb="23">
      <t>ガイシャ</t>
    </rPh>
    <rPh sb="24" eb="26">
      <t>レキシ</t>
    </rPh>
    <phoneticPr fontId="1"/>
  </si>
  <si>
    <r>
      <rPr>
        <sz val="11"/>
        <rFont val="游ゴシック Medium"/>
        <family val="3"/>
        <charset val="128"/>
      </rPr>
      <t>億万長者は</t>
    </r>
    <r>
      <rPr>
        <sz val="11"/>
        <rFont val="Consolas"/>
        <family val="3"/>
      </rPr>
      <t>Hollywood</t>
    </r>
    <r>
      <rPr>
        <sz val="11"/>
        <rFont val="游ゴシック Medium"/>
        <family val="3"/>
        <charset val="128"/>
      </rPr>
      <t>を殺す（上）</t>
    </r>
    <rPh sb="0" eb="4">
      <t>オクマンチョウジャ</t>
    </rPh>
    <rPh sb="5" eb="14">
      <t>ハリウッド</t>
    </rPh>
    <rPh sb="15" eb="16">
      <t>コロ</t>
    </rPh>
    <rPh sb="18" eb="19">
      <t>ジョウ</t>
    </rPh>
    <phoneticPr fontId="1"/>
  </si>
  <si>
    <r>
      <rPr>
        <sz val="11"/>
        <rFont val="游ゴシック Medium"/>
        <family val="3"/>
        <charset val="128"/>
      </rPr>
      <t>億万長者は</t>
    </r>
    <r>
      <rPr>
        <sz val="11"/>
        <rFont val="Consolas"/>
        <family val="3"/>
      </rPr>
      <t>Hollywood</t>
    </r>
    <r>
      <rPr>
        <sz val="11"/>
        <rFont val="游ゴシック Medium"/>
        <family val="3"/>
        <charset val="128"/>
      </rPr>
      <t>を殺す（下）</t>
    </r>
    <rPh sb="0" eb="4">
      <t>オクマンチョウジャ</t>
    </rPh>
    <rPh sb="5" eb="14">
      <t>ハリウッド</t>
    </rPh>
    <rPh sb="15" eb="16">
      <t>コロ</t>
    </rPh>
    <rPh sb="18" eb="19">
      <t>ゲ</t>
    </rPh>
    <phoneticPr fontId="1"/>
  </si>
  <si>
    <r>
      <rPr>
        <sz val="11"/>
        <rFont val="游ゴシック Medium"/>
        <family val="3"/>
        <charset val="128"/>
      </rPr>
      <t>桂</t>
    </r>
    <r>
      <rPr>
        <sz val="11"/>
        <rFont val="Consolas"/>
        <family val="3"/>
      </rPr>
      <t xml:space="preserve"> </t>
    </r>
    <r>
      <rPr>
        <sz val="11"/>
        <rFont val="游ゴシック Medium"/>
        <family val="3"/>
        <charset val="128"/>
      </rPr>
      <t>ケイ</t>
    </r>
    <rPh sb="0" eb="1">
      <t>カツラ</t>
    </rPh>
    <phoneticPr fontId="1"/>
  </si>
  <si>
    <r>
      <t>Pocket</t>
    </r>
    <r>
      <rPr>
        <sz val="11"/>
        <rFont val="游ゴシック Medium"/>
        <family val="3"/>
        <charset val="128"/>
      </rPr>
      <t>版</t>
    </r>
    <rPh sb="0" eb="7">
      <t>ポケットバン</t>
    </rPh>
    <phoneticPr fontId="1"/>
  </si>
  <si>
    <r>
      <rPr>
        <sz val="11"/>
        <rFont val="游ゴシック Medium"/>
        <family val="3"/>
        <charset val="128"/>
      </rPr>
      <t>原題</t>
    </r>
    <r>
      <rPr>
        <sz val="11"/>
        <rFont val="Consolas"/>
        <family val="3"/>
      </rPr>
      <t>:Anne Hooper's Pocket Sex Guide</t>
    </r>
    <rPh sb="0" eb="2">
      <t>ゲンダイ</t>
    </rPh>
    <phoneticPr fontId="1"/>
  </si>
  <si>
    <r>
      <rPr>
        <sz val="11"/>
        <rFont val="游ゴシック Medium"/>
        <family val="3"/>
        <charset val="128"/>
      </rPr>
      <t>三島由紀夫</t>
    </r>
    <rPh sb="0" eb="2">
      <t>ミシマ</t>
    </rPh>
    <rPh sb="2" eb="5">
      <t>ユキオ</t>
    </rPh>
    <phoneticPr fontId="1"/>
  </si>
  <si>
    <r>
      <rPr>
        <sz val="11"/>
        <rFont val="游ゴシック Medium"/>
        <family val="3"/>
        <charset val="128"/>
      </rPr>
      <t>不道徳教育講座</t>
    </r>
    <rPh sb="0" eb="7">
      <t>フドウトクキョウイクコウザ</t>
    </rPh>
    <phoneticPr fontId="1"/>
  </si>
  <si>
    <r>
      <rPr>
        <sz val="11"/>
        <rFont val="游ゴシック Medium"/>
        <family val="3"/>
        <charset val="128"/>
      </rPr>
      <t>み</t>
    </r>
    <r>
      <rPr>
        <sz val="11"/>
        <rFont val="Consolas"/>
        <family val="3"/>
      </rPr>
      <t xml:space="preserve"> 2 1|2480</t>
    </r>
    <phoneticPr fontId="1"/>
  </si>
  <si>
    <r>
      <t>amazon|</t>
    </r>
    <r>
      <rPr>
        <sz val="11"/>
        <rFont val="游ゴシック Medium"/>
        <family val="3"/>
        <charset val="128"/>
      </rPr>
      <t>ネットオフアマゾン店</t>
    </r>
    <rPh sb="16" eb="17">
      <t>テン</t>
    </rPh>
    <phoneticPr fontId="1"/>
  </si>
  <si>
    <r>
      <rPr>
        <sz val="11"/>
        <rFont val="游ゴシック Medium"/>
        <family val="3"/>
        <charset val="128"/>
      </rPr>
      <t>岩佐又兵衛</t>
    </r>
    <r>
      <rPr>
        <sz val="11"/>
        <rFont val="Consolas"/>
        <family val="3"/>
      </rPr>
      <t>/</t>
    </r>
    <r>
      <rPr>
        <sz val="11"/>
        <rFont val="游ゴシック Medium"/>
        <family val="3"/>
        <charset val="128"/>
      </rPr>
      <t>狩野山雪</t>
    </r>
    <r>
      <rPr>
        <sz val="11"/>
        <rFont val="Consolas"/>
        <family val="3"/>
      </rPr>
      <t>/</t>
    </r>
    <r>
      <rPr>
        <sz val="11"/>
        <rFont val="游ゴシック Medium"/>
        <family val="3"/>
        <charset val="128"/>
      </rPr>
      <t>伊東若冲</t>
    </r>
    <r>
      <rPr>
        <sz val="11"/>
        <rFont val="Consolas"/>
        <family val="3"/>
      </rPr>
      <t>/</t>
    </r>
    <r>
      <rPr>
        <sz val="11"/>
        <rFont val="游ゴシック Medium"/>
        <family val="3"/>
        <charset val="128"/>
      </rPr>
      <t>曾我蕭白</t>
    </r>
    <r>
      <rPr>
        <sz val="11"/>
        <rFont val="Consolas"/>
        <family val="3"/>
      </rPr>
      <t>/</t>
    </r>
    <r>
      <rPr>
        <sz val="11"/>
        <rFont val="游ゴシック Medium"/>
        <family val="3"/>
        <charset val="128"/>
      </rPr>
      <t>長沢蘆雪</t>
    </r>
    <r>
      <rPr>
        <sz val="11"/>
        <rFont val="Consolas"/>
        <family val="3"/>
      </rPr>
      <t>/</t>
    </r>
    <r>
      <rPr>
        <sz val="11"/>
        <rFont val="游ゴシック Medium"/>
        <family val="3"/>
        <charset val="128"/>
      </rPr>
      <t>歌川国芳</t>
    </r>
    <rPh sb="0" eb="2">
      <t>イワサ</t>
    </rPh>
    <rPh sb="2" eb="5">
      <t>マタベエ</t>
    </rPh>
    <rPh sb="6" eb="8">
      <t>カノウ</t>
    </rPh>
    <rPh sb="8" eb="10">
      <t>サンセツ</t>
    </rPh>
    <rPh sb="11" eb="13">
      <t>イトウ</t>
    </rPh>
    <rPh sb="13" eb="15">
      <t>ジャクチュウ</t>
    </rPh>
    <rPh sb="16" eb="18">
      <t>ソガ</t>
    </rPh>
    <rPh sb="18" eb="20">
      <t>ショウハク</t>
    </rPh>
    <rPh sb="21" eb="23">
      <t>ナガサワ</t>
    </rPh>
    <rPh sb="23" eb="25">
      <t>ロセツ</t>
    </rPh>
    <rPh sb="26" eb="28">
      <t>ウタガワ</t>
    </rPh>
    <rPh sb="28" eb="30">
      <t>クニヨシ</t>
    </rPh>
    <phoneticPr fontId="1"/>
  </si>
  <si>
    <r>
      <rPr>
        <sz val="11"/>
        <rFont val="游ゴシック Medium"/>
        <family val="3"/>
        <charset val="128"/>
      </rPr>
      <t>ヒメの民俗学</t>
    </r>
    <rPh sb="3" eb="6">
      <t>ミンゾクガク</t>
    </rPh>
    <phoneticPr fontId="1"/>
  </si>
  <si>
    <r>
      <t>1987</t>
    </r>
    <r>
      <rPr>
        <sz val="11"/>
        <rFont val="游ゴシック Medium"/>
        <family val="3"/>
        <charset val="128"/>
      </rPr>
      <t>青土社</t>
    </r>
    <rPh sb="4" eb="7">
      <t>セイドシャ</t>
    </rPh>
    <phoneticPr fontId="1"/>
  </si>
  <si>
    <r>
      <rPr>
        <sz val="11"/>
        <rFont val="游ゴシック Medium"/>
        <family val="3"/>
        <charset val="128"/>
      </rPr>
      <t>宮武外骨</t>
    </r>
    <rPh sb="0" eb="2">
      <t>ミヤタケ</t>
    </rPh>
    <rPh sb="2" eb="4">
      <t>ガイコツ</t>
    </rPh>
    <phoneticPr fontId="1"/>
  </si>
  <si>
    <r>
      <rPr>
        <sz val="11"/>
        <rFont val="游ゴシック Medium"/>
        <family val="3"/>
        <charset val="128"/>
      </rPr>
      <t>明治奇聞</t>
    </r>
    <rPh sb="0" eb="2">
      <t>メイジ</t>
    </rPh>
    <rPh sb="2" eb="4">
      <t>キブン</t>
    </rPh>
    <phoneticPr fontId="1"/>
  </si>
  <si>
    <r>
      <rPr>
        <sz val="11"/>
        <rFont val="游ゴシック Medium"/>
        <family val="3"/>
        <charset val="128"/>
      </rPr>
      <t>滑稽漫画館</t>
    </r>
    <rPh sb="0" eb="2">
      <t>コッケイ</t>
    </rPh>
    <rPh sb="2" eb="4">
      <t>マンガ</t>
    </rPh>
    <rPh sb="4" eb="5">
      <t>カン</t>
    </rPh>
    <phoneticPr fontId="1"/>
  </si>
  <si>
    <r>
      <rPr>
        <sz val="11"/>
        <rFont val="游ゴシック Medium"/>
        <family val="3"/>
        <charset val="128"/>
      </rPr>
      <t>三好</t>
    </r>
    <r>
      <rPr>
        <sz val="11"/>
        <rFont val="Consolas"/>
        <family val="3"/>
      </rPr>
      <t xml:space="preserve"> </t>
    </r>
    <r>
      <rPr>
        <sz val="11"/>
        <rFont val="游ゴシック Medium"/>
        <family val="3"/>
        <charset val="128"/>
      </rPr>
      <t>一</t>
    </r>
    <rPh sb="0" eb="2">
      <t>ミヨシ</t>
    </rPh>
    <rPh sb="3" eb="4">
      <t>ハジメ</t>
    </rPh>
    <phoneticPr fontId="1"/>
  </si>
  <si>
    <r>
      <rPr>
        <sz val="11"/>
        <rFont val="游ゴシック Medium"/>
        <family val="3"/>
        <charset val="128"/>
      </rPr>
      <t>紫紅社</t>
    </r>
    <rPh sb="0" eb="3">
      <t>シコウシャ</t>
    </rPh>
    <phoneticPr fontId="1"/>
  </si>
  <si>
    <r>
      <rPr>
        <sz val="11"/>
        <rFont val="游ゴシック Medium"/>
        <family val="3"/>
        <charset val="128"/>
      </rPr>
      <t>日本のラベル</t>
    </r>
    <r>
      <rPr>
        <sz val="11"/>
        <rFont val="Consolas"/>
        <family val="3"/>
      </rPr>
      <t>/The Label in Japan</t>
    </r>
    <rPh sb="0" eb="2">
      <t>ニホン</t>
    </rPh>
    <phoneticPr fontId="1"/>
  </si>
  <si>
    <r>
      <rPr>
        <sz val="11"/>
        <rFont val="游ゴシック Medium"/>
        <family val="3"/>
        <charset val="128"/>
      </rPr>
      <t>林</t>
    </r>
    <r>
      <rPr>
        <sz val="11"/>
        <rFont val="Consolas"/>
        <family val="3"/>
      </rPr>
      <t xml:space="preserve"> </t>
    </r>
    <r>
      <rPr>
        <sz val="11"/>
        <rFont val="游ゴシック Medium"/>
        <family val="3"/>
        <charset val="128"/>
      </rPr>
      <t>晋哉</t>
    </r>
    <r>
      <rPr>
        <sz val="11"/>
        <rFont val="Consolas"/>
        <family val="3"/>
      </rPr>
      <t xml:space="preserve"> + </t>
    </r>
    <r>
      <rPr>
        <sz val="11"/>
        <rFont val="游ゴシック Medium"/>
        <family val="3"/>
        <charset val="128"/>
      </rPr>
      <t>林</t>
    </r>
    <r>
      <rPr>
        <sz val="11"/>
        <rFont val="Consolas"/>
        <family val="3"/>
      </rPr>
      <t xml:space="preserve"> </t>
    </r>
    <r>
      <rPr>
        <sz val="11"/>
        <rFont val="游ゴシック Medium"/>
        <family val="3"/>
        <charset val="128"/>
      </rPr>
      <t>裕之</t>
    </r>
    <rPh sb="0" eb="1">
      <t>ハヤシ</t>
    </rPh>
    <rPh sb="2" eb="4">
      <t>シンヤ</t>
    </rPh>
    <rPh sb="7" eb="8">
      <t>ハヤシ</t>
    </rPh>
    <rPh sb="9" eb="11">
      <t>ヒロユキ</t>
    </rPh>
    <phoneticPr fontId="1"/>
  </si>
  <si>
    <r>
      <rPr>
        <sz val="11"/>
        <rFont val="游ゴシック Medium"/>
        <family val="3"/>
        <charset val="128"/>
      </rPr>
      <t>歯科医師</t>
    </r>
    <r>
      <rPr>
        <sz val="11"/>
        <rFont val="Consolas"/>
        <family val="3"/>
      </rPr>
      <t xml:space="preserve"> + </t>
    </r>
    <r>
      <rPr>
        <sz val="11"/>
        <rFont val="游ゴシック Medium"/>
        <family val="3"/>
        <charset val="128"/>
      </rPr>
      <t>歯科技工士</t>
    </r>
    <rPh sb="0" eb="2">
      <t>シカ</t>
    </rPh>
    <rPh sb="2" eb="4">
      <t>イシ</t>
    </rPh>
    <rPh sb="7" eb="9">
      <t>シカ</t>
    </rPh>
    <rPh sb="9" eb="12">
      <t>ギコウシ</t>
    </rPh>
    <phoneticPr fontId="1"/>
  </si>
  <si>
    <r>
      <rPr>
        <sz val="11"/>
        <rFont val="游ゴシック Medium"/>
        <family val="3"/>
        <charset val="128"/>
      </rPr>
      <t>いい歯医者</t>
    </r>
    <r>
      <rPr>
        <sz val="11"/>
        <rFont val="Consolas"/>
        <family val="3"/>
      </rPr>
      <t xml:space="preserve"> </t>
    </r>
    <r>
      <rPr>
        <sz val="11"/>
        <rFont val="游ゴシック Medium"/>
        <family val="3"/>
        <charset val="128"/>
      </rPr>
      <t>悪い歯医者</t>
    </r>
    <rPh sb="2" eb="5">
      <t>ハイシャ</t>
    </rPh>
    <rPh sb="6" eb="7">
      <t>ワル</t>
    </rPh>
    <rPh sb="8" eb="11">
      <t>ハイシャ</t>
    </rPh>
    <phoneticPr fontId="1"/>
  </si>
  <si>
    <r>
      <t>2003/03</t>
    </r>
    <r>
      <rPr>
        <sz val="11"/>
        <rFont val="游ゴシック Medium"/>
        <family val="3"/>
        <charset val="128"/>
      </rPr>
      <t>下旬</t>
    </r>
    <rPh sb="7" eb="9">
      <t>ゲジュン</t>
    </rPh>
    <phoneticPr fontId="1"/>
  </si>
  <si>
    <r>
      <t xml:space="preserve">Book Off </t>
    </r>
    <r>
      <rPr>
        <sz val="11"/>
        <rFont val="游ゴシック Medium"/>
        <family val="3"/>
        <charset val="128"/>
      </rPr>
      <t>大塚</t>
    </r>
    <rPh sb="9" eb="11">
      <t>オオツカ</t>
    </rPh>
    <phoneticPr fontId="1"/>
  </si>
  <si>
    <r>
      <rPr>
        <sz val="11"/>
        <rFont val="游ゴシック Medium"/>
        <family val="3"/>
        <charset val="128"/>
      </rPr>
      <t>ミラクルドリーマー</t>
    </r>
    <phoneticPr fontId="1"/>
  </si>
  <si>
    <r>
      <rPr>
        <sz val="11"/>
        <rFont val="游ゴシック Medium"/>
        <family val="3"/>
        <charset val="128"/>
      </rPr>
      <t>これは奇跡か偶然か</t>
    </r>
    <r>
      <rPr>
        <sz val="11"/>
        <rFont val="Consolas"/>
        <family val="3"/>
      </rPr>
      <t>!?</t>
    </r>
    <rPh sb="3" eb="5">
      <t>キセキ</t>
    </rPh>
    <rPh sb="6" eb="8">
      <t>グウゼン</t>
    </rPh>
    <phoneticPr fontId="1"/>
  </si>
  <si>
    <r>
      <rPr>
        <sz val="11"/>
        <rFont val="游ゴシック Medium"/>
        <family val="3"/>
        <charset val="128"/>
      </rPr>
      <t>村松友規</t>
    </r>
    <rPh sb="0" eb="2">
      <t>ムラマツ</t>
    </rPh>
    <phoneticPr fontId="1"/>
  </si>
  <si>
    <r>
      <rPr>
        <sz val="11"/>
        <rFont val="游ゴシック Medium"/>
        <family val="3"/>
        <charset val="128"/>
      </rPr>
      <t>私、プロレスの味方です</t>
    </r>
    <rPh sb="0" eb="1">
      <t>ワタシ</t>
    </rPh>
    <rPh sb="7" eb="9">
      <t>ミカタ</t>
    </rPh>
    <phoneticPr fontId="1"/>
  </si>
  <si>
    <r>
      <rPr>
        <sz val="11"/>
        <rFont val="游ゴシック Medium"/>
        <family val="3"/>
        <charset val="128"/>
      </rPr>
      <t>拾った</t>
    </r>
    <rPh sb="0" eb="1">
      <t>ヒロ</t>
    </rPh>
    <phoneticPr fontId="1"/>
  </si>
  <si>
    <r>
      <rPr>
        <sz val="11"/>
        <rFont val="游ゴシック Medium"/>
        <family val="3"/>
        <charset val="128"/>
      </rPr>
      <t>森</t>
    </r>
    <r>
      <rPr>
        <sz val="11"/>
        <rFont val="Consolas"/>
        <family val="3"/>
      </rPr>
      <t xml:space="preserve"> </t>
    </r>
    <r>
      <rPr>
        <sz val="11"/>
        <rFont val="游ゴシック Medium"/>
        <family val="3"/>
        <charset val="128"/>
      </rPr>
      <t>有正</t>
    </r>
    <rPh sb="0" eb="1">
      <t>モリ</t>
    </rPh>
    <rPh sb="2" eb="4">
      <t>アリマサ</t>
    </rPh>
    <phoneticPr fontId="1"/>
  </si>
  <si>
    <r>
      <rPr>
        <sz val="11"/>
        <rFont val="游ゴシック Medium"/>
        <family val="3"/>
        <charset val="128"/>
      </rPr>
      <t>遥かな</t>
    </r>
    <r>
      <rPr>
        <sz val="11"/>
        <rFont val="Consolas"/>
        <family val="3"/>
      </rPr>
      <t>Notre-Dame</t>
    </r>
    <rPh sb="0" eb="1">
      <t>ハル</t>
    </rPh>
    <rPh sb="3" eb="13">
      <t>ノートル・ダム</t>
    </rPh>
    <phoneticPr fontId="1"/>
  </si>
  <si>
    <r>
      <rPr>
        <sz val="11"/>
        <rFont val="游ゴシック Medium"/>
        <family val="3"/>
        <charset val="128"/>
      </rPr>
      <t>山口昌男</t>
    </r>
    <rPh sb="0" eb="2">
      <t>ヤマグチ</t>
    </rPh>
    <rPh sb="2" eb="4">
      <t>マサオ</t>
    </rPh>
    <phoneticPr fontId="1"/>
  </si>
  <si>
    <r>
      <rPr>
        <sz val="11"/>
        <rFont val="游ゴシック Medium"/>
        <family val="3"/>
        <charset val="128"/>
      </rPr>
      <t>道化的世界</t>
    </r>
    <rPh sb="0" eb="3">
      <t>ドウケテキ</t>
    </rPh>
    <rPh sb="3" eb="5">
      <t>セカイ</t>
    </rPh>
    <phoneticPr fontId="1"/>
  </si>
  <si>
    <r>
      <rPr>
        <sz val="11"/>
        <rFont val="游ゴシック Medium"/>
        <family val="3"/>
        <charset val="128"/>
      </rPr>
      <t>湯原かの子</t>
    </r>
    <rPh sb="0" eb="2">
      <t>ユハラ</t>
    </rPh>
    <rPh sb="4" eb="5">
      <t>コ</t>
    </rPh>
    <phoneticPr fontId="1"/>
  </si>
  <si>
    <r>
      <rPr>
        <sz val="11"/>
        <rFont val="游ゴシック Medium"/>
        <family val="3"/>
        <charset val="128"/>
      </rPr>
      <t>カミーユ・クローデル</t>
    </r>
    <r>
      <rPr>
        <sz val="11"/>
        <rFont val="Consolas"/>
        <family val="3"/>
      </rPr>
      <t xml:space="preserve"> </t>
    </r>
    <r>
      <rPr>
        <sz val="11"/>
        <rFont val="游ゴシック Medium"/>
        <family val="3"/>
        <charset val="128"/>
      </rPr>
      <t>極限の愛を生きて</t>
    </r>
    <rPh sb="11" eb="13">
      <t>キョクゲン</t>
    </rPh>
    <rPh sb="14" eb="15">
      <t>アイ</t>
    </rPh>
    <rPh sb="16" eb="17">
      <t>イ</t>
    </rPh>
    <phoneticPr fontId="1"/>
  </si>
  <si>
    <r>
      <rPr>
        <sz val="11"/>
        <rFont val="游ゴシック Medium"/>
        <family val="3"/>
        <charset val="128"/>
      </rPr>
      <t>朝日文庫</t>
    </r>
    <rPh sb="0" eb="2">
      <t>アサヒ</t>
    </rPh>
    <rPh sb="2" eb="4">
      <t>ブンコ</t>
    </rPh>
    <phoneticPr fontId="1"/>
  </si>
  <si>
    <r>
      <rPr>
        <sz val="11"/>
        <rFont val="游ゴシック Medium"/>
        <family val="3"/>
        <charset val="128"/>
      </rPr>
      <t>歴史の謎を探る会</t>
    </r>
    <rPh sb="0" eb="2">
      <t>レキシ</t>
    </rPh>
    <rPh sb="3" eb="4">
      <t>ナゾ</t>
    </rPh>
    <rPh sb="5" eb="6">
      <t>サグ</t>
    </rPh>
    <rPh sb="7" eb="8">
      <t>カイ</t>
    </rPh>
    <phoneticPr fontId="1"/>
  </si>
  <si>
    <r>
      <rPr>
        <sz val="11"/>
        <rFont val="游ゴシック Medium"/>
        <family val="3"/>
        <charset val="128"/>
      </rPr>
      <t>江戸の性生活</t>
    </r>
    <rPh sb="0" eb="2">
      <t>エド</t>
    </rPh>
    <rPh sb="3" eb="6">
      <t>セイセイカツ</t>
    </rPh>
    <phoneticPr fontId="1"/>
  </si>
  <si>
    <r>
      <t>KAWADE</t>
    </r>
    <r>
      <rPr>
        <sz val="11"/>
        <rFont val="游ゴシック Medium"/>
        <family val="3"/>
        <charset val="128"/>
      </rPr>
      <t>夢文庫</t>
    </r>
    <rPh sb="6" eb="7">
      <t>ユメ</t>
    </rPh>
    <rPh sb="7" eb="9">
      <t>ブンコ</t>
    </rPh>
    <phoneticPr fontId="1"/>
  </si>
  <si>
    <r>
      <t xml:space="preserve"> </t>
    </r>
    <r>
      <rPr>
        <sz val="11"/>
        <rFont val="游ゴシック Medium"/>
        <family val="3"/>
        <charset val="128"/>
      </rPr>
      <t>‎</t>
    </r>
    <r>
      <rPr>
        <sz val="11"/>
        <rFont val="Consolas"/>
        <family val="3"/>
      </rPr>
      <t xml:space="preserve"> 978-4900455481</t>
    </r>
    <phoneticPr fontId="1"/>
  </si>
  <si>
    <r>
      <t>ethnic/</t>
    </r>
    <r>
      <rPr>
        <sz val="11"/>
        <rFont val="游ゴシック Medium"/>
        <family val="3"/>
        <charset val="128"/>
      </rPr>
      <t>図鑑</t>
    </r>
    <r>
      <rPr>
        <sz val="11"/>
        <rFont val="Consolas"/>
        <family val="3"/>
      </rPr>
      <t>/music</t>
    </r>
    <rPh sb="7" eb="9">
      <t>ズカン</t>
    </rPh>
    <phoneticPr fontId="1"/>
  </si>
  <si>
    <r>
      <rPr>
        <sz val="11"/>
        <rFont val="游ゴシック Medium"/>
        <family val="3"/>
        <charset val="128"/>
      </rPr>
      <t>若林</t>
    </r>
    <r>
      <rPr>
        <sz val="11"/>
        <rFont val="Consolas"/>
        <family val="3"/>
      </rPr>
      <t xml:space="preserve"> </t>
    </r>
    <r>
      <rPr>
        <sz val="11"/>
        <rFont val="游ゴシック Medium"/>
        <family val="3"/>
        <charset val="128"/>
      </rPr>
      <t>忠宏</t>
    </r>
    <rPh sb="0" eb="2">
      <t>ワカバヤシ</t>
    </rPh>
    <rPh sb="3" eb="5">
      <t>タダヒロ</t>
    </rPh>
    <phoneticPr fontId="1"/>
  </si>
  <si>
    <r>
      <rPr>
        <sz val="11"/>
        <rFont val="游ゴシック Medium"/>
        <family val="3"/>
        <charset val="128"/>
      </rPr>
      <t>民族楽器大博物館</t>
    </r>
    <rPh sb="0" eb="2">
      <t>ミンゾク</t>
    </rPh>
    <rPh sb="2" eb="4">
      <t>ガッキ</t>
    </rPh>
    <rPh sb="4" eb="5">
      <t>ダイ</t>
    </rPh>
    <rPh sb="5" eb="8">
      <t>ハクブツカン</t>
    </rPh>
    <phoneticPr fontId="1"/>
  </si>
  <si>
    <r>
      <rPr>
        <sz val="11"/>
        <rFont val="游ゴシック Medium"/>
        <family val="3"/>
        <charset val="128"/>
      </rPr>
      <t>アートダイジェスト</t>
    </r>
    <phoneticPr fontId="1"/>
  </si>
  <si>
    <r>
      <t>amazon|KAUZO:</t>
    </r>
    <r>
      <rPr>
        <sz val="11"/>
        <rFont val="游ゴシック Medium"/>
        <family val="3"/>
        <charset val="128"/>
      </rPr>
      <t>嵯峨野株式会社</t>
    </r>
    <phoneticPr fontId="1"/>
  </si>
  <si>
    <r>
      <rPr>
        <sz val="11"/>
        <rFont val="游ゴシック Medium"/>
        <family val="3"/>
        <charset val="128"/>
      </rPr>
      <t>渡辺隆次</t>
    </r>
    <rPh sb="0" eb="2">
      <t>ワタナベ</t>
    </rPh>
    <rPh sb="2" eb="4">
      <t>リュウジ</t>
    </rPh>
    <phoneticPr fontId="1"/>
  </si>
  <si>
    <r>
      <rPr>
        <sz val="11"/>
        <rFont val="游ゴシック Medium"/>
        <family val="3"/>
        <charset val="128"/>
      </rPr>
      <t>画･文</t>
    </r>
    <rPh sb="0" eb="1">
      <t>ガ</t>
    </rPh>
    <rPh sb="2" eb="3">
      <t>ブン</t>
    </rPh>
    <phoneticPr fontId="1"/>
  </si>
  <si>
    <r>
      <rPr>
        <sz val="11"/>
        <rFont val="游ゴシック Medium"/>
        <family val="3"/>
        <charset val="128"/>
      </rPr>
      <t>きのこの絵本</t>
    </r>
    <rPh sb="4" eb="6">
      <t>エホン</t>
    </rPh>
    <phoneticPr fontId="1"/>
  </si>
  <si>
    <r>
      <t>TBS</t>
    </r>
    <r>
      <rPr>
        <sz val="11"/>
        <rFont val="游ゴシック Medium"/>
        <family val="3"/>
        <charset val="128"/>
      </rPr>
      <t>テレビ</t>
    </r>
    <phoneticPr fontId="1"/>
  </si>
  <si>
    <r>
      <rPr>
        <sz val="11"/>
        <rFont val="游ゴシック Medium"/>
        <family val="3"/>
        <charset val="128"/>
      </rPr>
      <t>恐怖の偶然の一致</t>
    </r>
    <r>
      <rPr>
        <sz val="11"/>
        <rFont val="Consolas"/>
        <family val="3"/>
      </rPr>
      <t>/</t>
    </r>
    <r>
      <rPr>
        <sz val="11"/>
        <rFont val="游ゴシック Medium"/>
        <family val="3"/>
        <charset val="128"/>
      </rPr>
      <t>あの事件･事故に隠された</t>
    </r>
    <rPh sb="0" eb="2">
      <t>キョウフ</t>
    </rPh>
    <rPh sb="3" eb="5">
      <t>グウゼン</t>
    </rPh>
    <rPh sb="6" eb="8">
      <t>イッチ</t>
    </rPh>
    <rPh sb="11" eb="13">
      <t>ジケン</t>
    </rPh>
    <rPh sb="14" eb="16">
      <t>ジコ</t>
    </rPh>
    <rPh sb="17" eb="18">
      <t>カク</t>
    </rPh>
    <phoneticPr fontId="1"/>
  </si>
  <si>
    <r>
      <rPr>
        <sz val="11"/>
        <rFont val="游ゴシック Medium"/>
        <family val="3"/>
        <charset val="128"/>
      </rPr>
      <t>二見文庫</t>
    </r>
    <rPh sb="0" eb="2">
      <t>フタミ</t>
    </rPh>
    <rPh sb="2" eb="4">
      <t>ブンコ</t>
    </rPh>
    <phoneticPr fontId="1"/>
  </si>
  <si>
    <r>
      <rPr>
        <b/>
        <sz val="11"/>
        <color indexed="33"/>
        <rFont val="游ゴシック Medium"/>
        <family val="3"/>
        <charset val="128"/>
      </rPr>
      <t>念仏</t>
    </r>
    <rPh sb="0" eb="2">
      <t>ネンブツ</t>
    </rPh>
    <phoneticPr fontId="1"/>
  </si>
  <si>
    <r>
      <rPr>
        <sz val="11"/>
        <rFont val="游ゴシック Medium"/>
        <family val="3"/>
        <charset val="128"/>
      </rPr>
      <t>こころのともしび</t>
    </r>
    <phoneticPr fontId="1"/>
  </si>
  <si>
    <r>
      <rPr>
        <sz val="11"/>
        <rFont val="游ゴシック Medium"/>
        <family val="3"/>
        <charset val="128"/>
      </rPr>
      <t>宗教法人</t>
    </r>
    <r>
      <rPr>
        <sz val="11"/>
        <rFont val="Consolas"/>
        <family val="3"/>
      </rPr>
      <t xml:space="preserve"> </t>
    </r>
    <r>
      <rPr>
        <sz val="11"/>
        <rFont val="游ゴシック Medium"/>
        <family val="3"/>
        <charset val="128"/>
      </rPr>
      <t>浅間山</t>
    </r>
    <r>
      <rPr>
        <sz val="11"/>
        <rFont val="Consolas"/>
        <family val="3"/>
      </rPr>
      <t xml:space="preserve"> </t>
    </r>
    <r>
      <rPr>
        <sz val="11"/>
        <rFont val="游ゴシック Medium"/>
        <family val="3"/>
        <charset val="128"/>
      </rPr>
      <t>慈恵院</t>
    </r>
    <rPh sb="0" eb="4">
      <t>シュウキョウホウジン</t>
    </rPh>
    <rPh sb="5" eb="8">
      <t>アサマヤマ</t>
    </rPh>
    <rPh sb="9" eb="12">
      <t>ジケイイン</t>
    </rPh>
    <phoneticPr fontId="1"/>
  </si>
  <si>
    <r>
      <rPr>
        <sz val="11"/>
        <rFont val="游ゴシック Medium"/>
        <family val="3"/>
        <charset val="128"/>
      </rPr>
      <t>まほ就活</t>
    </r>
    <rPh sb="2" eb="4">
      <t>シュウカツ</t>
    </rPh>
    <phoneticPr fontId="1"/>
  </si>
  <si>
    <r>
      <rPr>
        <sz val="11"/>
        <rFont val="游ゴシック Medium"/>
        <family val="3"/>
        <charset val="128"/>
      </rPr>
      <t>成田</t>
    </r>
    <r>
      <rPr>
        <sz val="11"/>
        <rFont val="Consolas"/>
        <family val="3"/>
      </rPr>
      <t xml:space="preserve"> </t>
    </r>
    <r>
      <rPr>
        <sz val="11"/>
        <rFont val="游ゴシック Medium"/>
        <family val="3"/>
        <charset val="128"/>
      </rPr>
      <t>朱希</t>
    </r>
    <rPh sb="0" eb="2">
      <t>ナリタ</t>
    </rPh>
    <rPh sb="3" eb="5">
      <t>アキ</t>
    </rPh>
    <phoneticPr fontId="1"/>
  </si>
  <si>
    <r>
      <rPr>
        <sz val="11"/>
        <rFont val="游ゴシック Medium"/>
        <family val="3"/>
        <charset val="128"/>
      </rPr>
      <t>思春期と不能の愛の実験</t>
    </r>
    <rPh sb="0" eb="3">
      <t>シシュンキ</t>
    </rPh>
    <rPh sb="4" eb="6">
      <t>フノウ</t>
    </rPh>
    <rPh sb="7" eb="8">
      <t>アイ</t>
    </rPh>
    <rPh sb="9" eb="11">
      <t>ジッケン</t>
    </rPh>
    <phoneticPr fontId="1"/>
  </si>
  <si>
    <r>
      <rPr>
        <sz val="11"/>
        <rFont val="游ゴシック Medium"/>
        <family val="3"/>
        <charset val="128"/>
      </rPr>
      <t>恵存</t>
    </r>
    <r>
      <rPr>
        <sz val="11"/>
        <rFont val="Consolas"/>
        <family val="3"/>
      </rPr>
      <t xml:space="preserve"> </t>
    </r>
    <r>
      <rPr>
        <sz val="11"/>
        <rFont val="游ゴシック Medium"/>
        <family val="3"/>
        <charset val="128"/>
      </rPr>
      <t>秋山祐徳太子様</t>
    </r>
    <r>
      <rPr>
        <sz val="11"/>
        <rFont val="Consolas"/>
        <family val="3"/>
      </rPr>
      <t xml:space="preserve"> </t>
    </r>
    <r>
      <rPr>
        <sz val="11"/>
        <rFont val="游ゴシック Medium"/>
        <family val="3"/>
        <charset val="128"/>
      </rPr>
      <t>成田</t>
    </r>
    <r>
      <rPr>
        <sz val="11"/>
        <rFont val="Consolas"/>
        <family val="3"/>
      </rPr>
      <t xml:space="preserve"> </t>
    </r>
    <r>
      <rPr>
        <sz val="11"/>
        <rFont val="游ゴシック Medium"/>
        <family val="3"/>
        <charset val="128"/>
      </rPr>
      <t>朱希</t>
    </r>
    <r>
      <rPr>
        <sz val="11"/>
        <rFont val="Consolas"/>
        <family val="3"/>
      </rPr>
      <t xml:space="preserve"> 1991/10/05</t>
    </r>
    <rPh sb="0" eb="2">
      <t>ケイゾン</t>
    </rPh>
    <rPh sb="3" eb="9">
      <t>アキヤマユウトク</t>
    </rPh>
    <rPh sb="9" eb="10">
      <t>サマ</t>
    </rPh>
    <phoneticPr fontId="1"/>
  </si>
  <si>
    <r>
      <rPr>
        <sz val="11"/>
        <rFont val="游ゴシック Medium"/>
        <family val="3"/>
        <charset val="128"/>
      </rPr>
      <t>新井理恵</t>
    </r>
    <rPh sb="0" eb="2">
      <t>アライ</t>
    </rPh>
    <rPh sb="2" eb="4">
      <t>リエ</t>
    </rPh>
    <phoneticPr fontId="1"/>
  </si>
  <si>
    <r>
      <rPr>
        <sz val="11"/>
        <rFont val="游ゴシック Medium"/>
        <family val="3"/>
        <charset val="128"/>
      </rPr>
      <t>ペケ</t>
    </r>
    <phoneticPr fontId="1"/>
  </si>
  <si>
    <r>
      <t>amazon/</t>
    </r>
    <r>
      <rPr>
        <sz val="11"/>
        <rFont val="游ゴシック Medium"/>
        <family val="3"/>
        <charset val="128"/>
      </rPr>
      <t>ブックスいしまオンライン</t>
    </r>
  </si>
  <si>
    <r>
      <rPr>
        <sz val="11"/>
        <rFont val="游ゴシック Medium"/>
        <family val="3"/>
        <charset val="128"/>
      </rPr>
      <t>イケスミチエコ</t>
    </r>
    <r>
      <rPr>
        <sz val="11"/>
        <rFont val="Consolas"/>
        <family val="3"/>
      </rPr>
      <t>/</t>
    </r>
    <r>
      <rPr>
        <sz val="11"/>
        <rFont val="游ゴシック Medium"/>
        <family val="3"/>
        <charset val="128"/>
      </rPr>
      <t>藤田素子</t>
    </r>
    <r>
      <rPr>
        <sz val="11"/>
        <rFont val="Consolas"/>
        <family val="3"/>
      </rPr>
      <t>/</t>
    </r>
    <r>
      <rPr>
        <sz val="11"/>
        <rFont val="游ゴシック Medium"/>
        <family val="3"/>
        <charset val="128"/>
      </rPr>
      <t>もろおか紀美子</t>
    </r>
    <rPh sb="8" eb="10">
      <t>フジタ</t>
    </rPh>
    <rPh sb="10" eb="12">
      <t>モトコ</t>
    </rPh>
    <rPh sb="17" eb="20">
      <t>キミコ</t>
    </rPh>
    <phoneticPr fontId="1"/>
  </si>
  <si>
    <r>
      <rPr>
        <sz val="11"/>
        <rFont val="游ゴシック Medium"/>
        <family val="3"/>
        <charset val="128"/>
      </rPr>
      <t>シンデレラ</t>
    </r>
    <r>
      <rPr>
        <sz val="11"/>
        <rFont val="Consolas"/>
        <family val="3"/>
      </rPr>
      <t>/</t>
    </r>
    <r>
      <rPr>
        <sz val="11"/>
        <rFont val="游ゴシック Medium"/>
        <family val="3"/>
        <charset val="128"/>
      </rPr>
      <t>赤ずきん</t>
    </r>
    <r>
      <rPr>
        <sz val="11"/>
        <rFont val="Consolas"/>
        <family val="3"/>
      </rPr>
      <t>/</t>
    </r>
    <r>
      <rPr>
        <sz val="11"/>
        <rFont val="游ゴシック Medium"/>
        <family val="3"/>
        <charset val="128"/>
      </rPr>
      <t>千匹皮</t>
    </r>
    <rPh sb="6" eb="7">
      <t>アカ</t>
    </rPh>
    <rPh sb="11" eb="13">
      <t>センビキ</t>
    </rPh>
    <rPh sb="13" eb="14">
      <t>ガワ</t>
    </rPh>
    <phoneticPr fontId="1"/>
  </si>
  <si>
    <r>
      <rPr>
        <sz val="11"/>
        <rFont val="游ゴシック Medium"/>
        <family val="3"/>
        <charset val="128"/>
      </rPr>
      <t>まんが残酷</t>
    </r>
    <r>
      <rPr>
        <sz val="11"/>
        <rFont val="Consolas"/>
        <family val="3"/>
      </rPr>
      <t>Grimm</t>
    </r>
    <r>
      <rPr>
        <sz val="11"/>
        <rFont val="游ゴシック Medium"/>
        <family val="3"/>
        <charset val="128"/>
      </rPr>
      <t>童話</t>
    </r>
    <r>
      <rPr>
        <sz val="11"/>
        <rFont val="Consolas"/>
        <family val="3"/>
      </rPr>
      <t>/</t>
    </r>
    <r>
      <rPr>
        <sz val="11"/>
        <rFont val="游ゴシック Medium"/>
        <family val="3"/>
        <charset val="128"/>
      </rPr>
      <t>第</t>
    </r>
    <r>
      <rPr>
        <sz val="11"/>
        <rFont val="Consolas"/>
        <family val="3"/>
      </rPr>
      <t>1</t>
    </r>
    <r>
      <rPr>
        <sz val="11"/>
        <rFont val="游ゴシック Medium"/>
        <family val="3"/>
        <charset val="128"/>
      </rPr>
      <t>集</t>
    </r>
    <rPh sb="3" eb="5">
      <t>ザンコク</t>
    </rPh>
    <rPh sb="5" eb="10">
      <t>グリム</t>
    </rPh>
    <rPh sb="10" eb="12">
      <t>ドウワ</t>
    </rPh>
    <rPh sb="13" eb="14">
      <t>ダイ</t>
    </rPh>
    <rPh sb="15" eb="16">
      <t>シュウ</t>
    </rPh>
    <phoneticPr fontId="1"/>
  </si>
  <si>
    <r>
      <rPr>
        <sz val="11"/>
        <rFont val="游ゴシック Medium"/>
        <family val="3"/>
        <charset val="128"/>
      </rPr>
      <t>一条ゆかり</t>
    </r>
    <rPh sb="0" eb="2">
      <t>イチジョウ</t>
    </rPh>
    <phoneticPr fontId="1"/>
  </si>
  <si>
    <r>
      <rPr>
        <sz val="11"/>
        <rFont val="游ゴシック Medium"/>
        <family val="3"/>
        <charset val="128"/>
      </rPr>
      <t>正しい恋愛のススメ</t>
    </r>
    <r>
      <rPr>
        <sz val="11"/>
        <rFont val="Consolas"/>
        <family val="3"/>
      </rPr>
      <t xml:space="preserve"> vol.1 </t>
    </r>
    <r>
      <rPr>
        <sz val="11"/>
        <rFont val="游ゴシック Medium"/>
        <family val="3"/>
        <charset val="128"/>
      </rPr>
      <t>出口はどっちだ</t>
    </r>
    <r>
      <rPr>
        <sz val="11"/>
        <rFont val="Consolas"/>
        <family val="3"/>
      </rPr>
      <t xml:space="preserve">!? </t>
    </r>
    <r>
      <rPr>
        <sz val="11"/>
        <rFont val="游ゴシック Medium"/>
        <family val="3"/>
        <charset val="128"/>
      </rPr>
      <t>恋の迷路</t>
    </r>
    <r>
      <rPr>
        <sz val="11"/>
        <rFont val="Consolas"/>
        <family val="3"/>
      </rPr>
      <t xml:space="preserve"> </t>
    </r>
    <r>
      <rPr>
        <sz val="11"/>
        <rFont val="游ゴシック Medium"/>
        <family val="3"/>
        <charset val="128"/>
      </rPr>
      <t>編</t>
    </r>
    <rPh sb="0" eb="1">
      <t>タダ</t>
    </rPh>
    <rPh sb="3" eb="5">
      <t>レンアイ</t>
    </rPh>
    <rPh sb="16" eb="18">
      <t>デグチ</t>
    </rPh>
    <rPh sb="26" eb="27">
      <t>コイ</t>
    </rPh>
    <rPh sb="28" eb="30">
      <t>メイロ</t>
    </rPh>
    <rPh sb="31" eb="32">
      <t>ヘン</t>
    </rPh>
    <phoneticPr fontId="1"/>
  </si>
  <si>
    <r>
      <rPr>
        <sz val="11"/>
        <rFont val="游ゴシック Medium"/>
        <family val="3"/>
        <charset val="128"/>
      </rPr>
      <t>正しい恋愛のススメ</t>
    </r>
    <r>
      <rPr>
        <sz val="11"/>
        <rFont val="Consolas"/>
        <family val="3"/>
      </rPr>
      <t xml:space="preserve"> vol.2 </t>
    </r>
    <r>
      <rPr>
        <sz val="11"/>
        <rFont val="游ゴシック Medium"/>
        <family val="3"/>
        <charset val="128"/>
      </rPr>
      <t>サプライズ続出</t>
    </r>
    <r>
      <rPr>
        <sz val="11"/>
        <rFont val="Consolas"/>
        <family val="3"/>
      </rPr>
      <t xml:space="preserve">!? </t>
    </r>
    <r>
      <rPr>
        <sz val="11"/>
        <rFont val="游ゴシック Medium"/>
        <family val="3"/>
        <charset val="128"/>
      </rPr>
      <t>愛の終着駅</t>
    </r>
    <r>
      <rPr>
        <sz val="11"/>
        <rFont val="Consolas"/>
        <family val="3"/>
      </rPr>
      <t xml:space="preserve"> </t>
    </r>
    <r>
      <rPr>
        <sz val="11"/>
        <rFont val="游ゴシック Medium"/>
        <family val="3"/>
        <charset val="128"/>
      </rPr>
      <t>編</t>
    </r>
    <rPh sb="0" eb="1">
      <t>タダ</t>
    </rPh>
    <rPh sb="3" eb="5">
      <t>レンアイ</t>
    </rPh>
    <rPh sb="21" eb="23">
      <t>ゾクシュツ</t>
    </rPh>
    <rPh sb="26" eb="27">
      <t>アイ</t>
    </rPh>
    <rPh sb="28" eb="31">
      <t>シュウチャクエキ</t>
    </rPh>
    <rPh sb="32" eb="33">
      <t>ヘン</t>
    </rPh>
    <phoneticPr fontId="1"/>
  </si>
  <si>
    <r>
      <rPr>
        <sz val="11"/>
        <rFont val="游ゴシック Medium"/>
        <family val="3"/>
        <charset val="128"/>
      </rPr>
      <t>恋のめまい</t>
    </r>
    <r>
      <rPr>
        <sz val="11"/>
        <rFont val="Consolas"/>
        <family val="3"/>
      </rPr>
      <t xml:space="preserve"> </t>
    </r>
    <r>
      <rPr>
        <sz val="11"/>
        <rFont val="游ゴシック Medium"/>
        <family val="3"/>
        <charset val="128"/>
      </rPr>
      <t>愛の傷</t>
    </r>
    <rPh sb="0" eb="1">
      <t>コイ</t>
    </rPh>
    <rPh sb="6" eb="7">
      <t>アイ</t>
    </rPh>
    <rPh sb="8" eb="9">
      <t>キズ</t>
    </rPh>
    <phoneticPr fontId="1"/>
  </si>
  <si>
    <r>
      <rPr>
        <sz val="11"/>
        <rFont val="游ゴシック Medium"/>
        <family val="3"/>
        <charset val="128"/>
      </rPr>
      <t>臼井儀人</t>
    </r>
    <rPh sb="0" eb="2">
      <t>ウスイ</t>
    </rPh>
    <rPh sb="2" eb="4">
      <t>ヨシト</t>
    </rPh>
    <phoneticPr fontId="1"/>
  </si>
  <si>
    <r>
      <rPr>
        <sz val="11"/>
        <rFont val="游ゴシック Medium"/>
        <family val="3"/>
        <charset val="128"/>
      </rPr>
      <t>クレヨンしんちゃん</t>
    </r>
    <r>
      <rPr>
        <sz val="11"/>
        <rFont val="Consolas"/>
        <family val="3"/>
      </rPr>
      <t>/3/</t>
    </r>
    <r>
      <rPr>
        <sz val="11"/>
        <rFont val="游ゴシック Medium"/>
        <family val="3"/>
        <charset val="128"/>
      </rPr>
      <t>暗黒タマタマ大追跡･前編</t>
    </r>
    <r>
      <rPr>
        <sz val="11"/>
        <rFont val="Consolas"/>
        <family val="3"/>
      </rPr>
      <t>:</t>
    </r>
    <r>
      <rPr>
        <sz val="11"/>
        <rFont val="游ゴシック Medium"/>
        <family val="3"/>
        <charset val="128"/>
      </rPr>
      <t>映画</t>
    </r>
    <rPh sb="12" eb="14">
      <t>アンコク</t>
    </rPh>
    <rPh sb="18" eb="19">
      <t>ダイ</t>
    </rPh>
    <rPh sb="19" eb="21">
      <t>ツイセキ</t>
    </rPh>
    <rPh sb="22" eb="24">
      <t>ゼンペン</t>
    </rPh>
    <rPh sb="25" eb="27">
      <t>エイガ</t>
    </rPh>
    <phoneticPr fontId="1"/>
  </si>
  <si>
    <r>
      <rPr>
        <strike/>
        <sz val="11"/>
        <rFont val="游ゴシック Medium"/>
        <family val="3"/>
        <charset val="128"/>
      </rPr>
      <t>臼井儀人</t>
    </r>
    <rPh sb="0" eb="2">
      <t>ウスイ</t>
    </rPh>
    <rPh sb="2" eb="4">
      <t>ヨシト</t>
    </rPh>
    <phoneticPr fontId="1"/>
  </si>
  <si>
    <r>
      <rPr>
        <strike/>
        <sz val="11"/>
        <rFont val="游ゴシック Medium"/>
        <family val="3"/>
        <charset val="128"/>
      </rPr>
      <t>クレヨンしんちゃん⑦</t>
    </r>
    <phoneticPr fontId="1"/>
  </si>
  <si>
    <r>
      <rPr>
        <strike/>
        <sz val="11"/>
        <rFont val="游ゴシック Medium"/>
        <family val="3"/>
        <charset val="128"/>
      </rPr>
      <t>双葉社</t>
    </r>
    <rPh sb="0" eb="3">
      <t>フタバシャ</t>
    </rPh>
    <phoneticPr fontId="1"/>
  </si>
  <si>
    <r>
      <rPr>
        <strike/>
        <sz val="11"/>
        <rFont val="游ゴシック Medium"/>
        <family val="3"/>
        <charset val="128"/>
      </rPr>
      <t>クレヨンしんちゃん⑧</t>
    </r>
    <phoneticPr fontId="1"/>
  </si>
  <si>
    <r>
      <rPr>
        <strike/>
        <sz val="11"/>
        <rFont val="游ゴシック Medium"/>
        <family val="3"/>
        <charset val="128"/>
      </rPr>
      <t>クレヨンしんちゃん⑨</t>
    </r>
    <phoneticPr fontId="1"/>
  </si>
  <si>
    <r>
      <rPr>
        <b/>
        <sz val="11"/>
        <color indexed="33"/>
        <rFont val="游ゴシック Medium"/>
        <family val="3"/>
        <charset val="128"/>
      </rPr>
      <t>幻想の普通少女</t>
    </r>
    <rPh sb="0" eb="2">
      <t>マボロシ</t>
    </rPh>
    <rPh sb="3" eb="5">
      <t>フツウ</t>
    </rPh>
    <rPh sb="5" eb="7">
      <t>ショウジョ</t>
    </rPh>
    <phoneticPr fontId="1"/>
  </si>
  <si>
    <r>
      <rPr>
        <sz val="11"/>
        <rFont val="游ゴシック Medium"/>
        <family val="3"/>
        <charset val="128"/>
      </rPr>
      <t>怒りと共にイキまくれ</t>
    </r>
    <rPh sb="0" eb="1">
      <t>イカ</t>
    </rPh>
    <rPh sb="3" eb="4">
      <t>トモ</t>
    </rPh>
    <phoneticPr fontId="1"/>
  </si>
  <si>
    <r>
      <rPr>
        <sz val="11"/>
        <rFont val="游ゴシック Medium"/>
        <family val="3"/>
        <charset val="128"/>
      </rPr>
      <t>フィール</t>
    </r>
    <r>
      <rPr>
        <sz val="11"/>
        <rFont val="Consolas"/>
        <family val="3"/>
      </rPr>
      <t>Comics/FC Gold</t>
    </r>
    <rPh sb="4" eb="10">
      <t>コミックス</t>
    </rPh>
    <rPh sb="14" eb="18">
      <t>ゴールド</t>
    </rPh>
    <phoneticPr fontId="1"/>
  </si>
  <si>
    <r>
      <rPr>
        <sz val="11"/>
        <rFont val="游ゴシック Medium"/>
        <family val="3"/>
        <charset val="128"/>
      </rPr>
      <t>上板橋の古本屋</t>
    </r>
    <rPh sb="0" eb="3">
      <t>カミイタバシ</t>
    </rPh>
    <rPh sb="4" eb="7">
      <t>フルホンヤ</t>
    </rPh>
    <phoneticPr fontId="1"/>
  </si>
  <si>
    <r>
      <rPr>
        <sz val="11"/>
        <rFont val="游ゴシック Medium"/>
        <family val="3"/>
        <charset val="128"/>
      </rPr>
      <t>彼のバターナイフ</t>
    </r>
    <rPh sb="0" eb="1">
      <t>カレ</t>
    </rPh>
    <phoneticPr fontId="1"/>
  </si>
  <si>
    <r>
      <rPr>
        <sz val="11"/>
        <rFont val="游ゴシック Medium"/>
        <family val="3"/>
        <charset val="128"/>
      </rPr>
      <t>目を閉じて抱いて</t>
    </r>
    <rPh sb="0" eb="1">
      <t>メ</t>
    </rPh>
    <rPh sb="2" eb="3">
      <t>ト</t>
    </rPh>
    <rPh sb="5" eb="6">
      <t>ダ</t>
    </rPh>
    <phoneticPr fontId="1"/>
  </si>
  <si>
    <r>
      <t>970/</t>
    </r>
    <r>
      <rPr>
        <sz val="11"/>
        <rFont val="游ゴシック Medium"/>
        <family val="3"/>
        <charset val="128"/>
      </rPr>
      <t>ほか</t>
    </r>
    <phoneticPr fontId="1"/>
  </si>
  <si>
    <r>
      <rPr>
        <sz val="11"/>
        <rFont val="游ゴシック Medium"/>
        <family val="3"/>
        <charset val="128"/>
      </rPr>
      <t>鬱でも愛して</t>
    </r>
    <rPh sb="0" eb="1">
      <t>ウツ</t>
    </rPh>
    <rPh sb="3" eb="4">
      <t>アイ</t>
    </rPh>
    <phoneticPr fontId="1"/>
  </si>
  <si>
    <r>
      <rPr>
        <sz val="11"/>
        <rFont val="游ゴシック Medium"/>
        <family val="3"/>
        <charset val="128"/>
      </rPr>
      <t>江口寿史</t>
    </r>
    <rPh sb="0" eb="2">
      <t>エグチ</t>
    </rPh>
    <rPh sb="2" eb="4">
      <t>ヒサシ</t>
    </rPh>
    <phoneticPr fontId="1"/>
  </si>
  <si>
    <r>
      <rPr>
        <sz val="11"/>
        <rFont val="游ゴシック Medium"/>
        <family val="3"/>
        <charset val="128"/>
      </rPr>
      <t>江口寿史</t>
    </r>
    <r>
      <rPr>
        <sz val="11"/>
        <rFont val="Consolas"/>
        <family val="3"/>
      </rPr>
      <t xml:space="preserve"> </t>
    </r>
    <r>
      <rPr>
        <sz val="11"/>
        <rFont val="游ゴシック Medium"/>
        <family val="3"/>
        <charset val="128"/>
      </rPr>
      <t>の</t>
    </r>
    <r>
      <rPr>
        <sz val="11"/>
        <rFont val="Consolas"/>
        <family val="3"/>
      </rPr>
      <t xml:space="preserve"> </t>
    </r>
    <r>
      <rPr>
        <sz val="11"/>
        <rFont val="游ゴシック Medium"/>
        <family val="3"/>
        <charset val="128"/>
      </rPr>
      <t>お蔵出し</t>
    </r>
    <rPh sb="0" eb="2">
      <t>エグチ</t>
    </rPh>
    <rPh sb="2" eb="4">
      <t>ヒサシ</t>
    </rPh>
    <rPh sb="8" eb="9">
      <t>クラ</t>
    </rPh>
    <rPh sb="9" eb="10">
      <t>ダ</t>
    </rPh>
    <phoneticPr fontId="1"/>
  </si>
  <si>
    <r>
      <rPr>
        <sz val="11"/>
        <rFont val="游ゴシック Medium"/>
        <family val="3"/>
        <charset val="128"/>
      </rPr>
      <t>イーストプレス</t>
    </r>
    <phoneticPr fontId="1"/>
  </si>
  <si>
    <r>
      <rPr>
        <b/>
        <sz val="11"/>
        <color indexed="33"/>
        <rFont val="游ゴシック Medium"/>
        <family val="3"/>
        <charset val="128"/>
      </rPr>
      <t>寿</t>
    </r>
    <r>
      <rPr>
        <b/>
        <sz val="11"/>
        <color indexed="33"/>
        <rFont val="Consolas"/>
        <family val="3"/>
      </rPr>
      <t xml:space="preserve"> </t>
    </r>
    <r>
      <rPr>
        <b/>
        <sz val="11"/>
        <color indexed="33"/>
        <rFont val="游ゴシック Medium"/>
        <family val="3"/>
        <charset val="128"/>
      </rPr>
      <t>五郎ショー</t>
    </r>
    <rPh sb="0" eb="1">
      <t>コトブキ</t>
    </rPh>
    <rPh sb="2" eb="4">
      <t>ゴロウ</t>
    </rPh>
    <phoneticPr fontId="1"/>
  </si>
  <si>
    <r>
      <rPr>
        <sz val="11"/>
        <rFont val="游ゴシック Medium"/>
        <family val="3"/>
        <charset val="128"/>
      </rPr>
      <t>岡崎京子</t>
    </r>
    <rPh sb="0" eb="2">
      <t>オカザキ</t>
    </rPh>
    <rPh sb="2" eb="4">
      <t>キョウコ</t>
    </rPh>
    <phoneticPr fontId="1"/>
  </si>
  <si>
    <r>
      <rPr>
        <sz val="11"/>
        <rFont val="游ゴシック Medium"/>
        <family val="3"/>
        <charset val="128"/>
      </rPr>
      <t>ジオラマボーイ・ジオラマガール</t>
    </r>
    <phoneticPr fontId="1"/>
  </si>
  <si>
    <r>
      <rPr>
        <sz val="11"/>
        <rFont val="游ゴシック Medium"/>
        <family val="3"/>
        <charset val="128"/>
      </rPr>
      <t>バージン</t>
    </r>
    <phoneticPr fontId="1"/>
  </si>
  <si>
    <r>
      <rPr>
        <sz val="11"/>
        <rFont val="游ゴシック Medium"/>
        <family val="3"/>
        <charset val="128"/>
      </rPr>
      <t>好き好き大嫌い</t>
    </r>
    <rPh sb="0" eb="1">
      <t>ス</t>
    </rPh>
    <rPh sb="2" eb="3">
      <t>ス</t>
    </rPh>
    <rPh sb="4" eb="6">
      <t>ダイキラ</t>
    </rPh>
    <phoneticPr fontId="1"/>
  </si>
  <si>
    <r>
      <rPr>
        <sz val="11"/>
        <rFont val="游ゴシック Medium"/>
        <family val="3"/>
        <charset val="128"/>
      </rPr>
      <t>リバース・ヘッジ</t>
    </r>
    <phoneticPr fontId="1"/>
  </si>
  <si>
    <r>
      <rPr>
        <sz val="11"/>
        <rFont val="游ゴシック Medium"/>
        <family val="3"/>
        <charset val="128"/>
      </rPr>
      <t>駕籠真太郎</t>
    </r>
    <rPh sb="0" eb="2">
      <t>カゴ</t>
    </rPh>
    <rPh sb="2" eb="5">
      <t>シンタロウ</t>
    </rPh>
    <phoneticPr fontId="1"/>
  </si>
  <si>
    <r>
      <rPr>
        <sz val="11"/>
        <rFont val="游ゴシック Medium"/>
        <family val="3"/>
        <charset val="128"/>
      </rPr>
      <t>輝け</t>
    </r>
    <r>
      <rPr>
        <sz val="11"/>
        <rFont val="Consolas"/>
        <family val="3"/>
      </rPr>
      <t>!</t>
    </r>
    <r>
      <rPr>
        <sz val="11"/>
        <rFont val="游ゴシック Medium"/>
        <family val="3"/>
        <charset val="128"/>
      </rPr>
      <t>大東亜共栄圏</t>
    </r>
    <rPh sb="0" eb="1">
      <t>カガヤ</t>
    </rPh>
    <rPh sb="3" eb="9">
      <t>ダイトウアキョウエイケン</t>
    </rPh>
    <phoneticPr fontId="1"/>
  </si>
  <si>
    <r>
      <rPr>
        <sz val="11"/>
        <rFont val="游ゴシック Medium"/>
        <family val="3"/>
        <charset val="128"/>
      </rPr>
      <t>唐沢商会</t>
    </r>
    <rPh sb="0" eb="2">
      <t>カラサワ</t>
    </rPh>
    <rPh sb="2" eb="4">
      <t>ショウカイ</t>
    </rPh>
    <phoneticPr fontId="1"/>
  </si>
  <si>
    <r>
      <rPr>
        <sz val="11"/>
        <rFont val="游ゴシック Medium"/>
        <family val="3"/>
        <charset val="128"/>
      </rPr>
      <t>怪体新書</t>
    </r>
    <rPh sb="0" eb="4">
      <t>カイタイシンショ</t>
    </rPh>
    <phoneticPr fontId="1"/>
  </si>
  <si>
    <r>
      <rPr>
        <sz val="11"/>
        <rFont val="游ゴシック Medium"/>
        <family val="3"/>
        <charset val="128"/>
      </rPr>
      <t>川崎のぼる</t>
    </r>
    <rPh sb="0" eb="2">
      <t>カワサキ</t>
    </rPh>
    <phoneticPr fontId="1"/>
  </si>
  <si>
    <r>
      <rPr>
        <sz val="11"/>
        <rFont val="游ゴシック Medium"/>
        <family val="3"/>
        <charset val="128"/>
      </rPr>
      <t>いなかっぺ大将</t>
    </r>
    <r>
      <rPr>
        <sz val="8"/>
        <rFont val="Consolas"/>
        <family val="3"/>
      </rPr>
      <t xml:space="preserve"> </t>
    </r>
    <r>
      <rPr>
        <sz val="8"/>
        <rFont val="游ゴシック Medium"/>
        <family val="3"/>
        <charset val="128"/>
      </rPr>
      <t>大ちゃんが日本の元気だス</t>
    </r>
    <r>
      <rPr>
        <sz val="8"/>
        <rFont val="Consolas"/>
        <family val="3"/>
      </rPr>
      <t xml:space="preserve"> !!</t>
    </r>
    <rPh sb="5" eb="7">
      <t>タイショウ</t>
    </rPh>
    <rPh sb="8" eb="9">
      <t>ダイ</t>
    </rPh>
    <rPh sb="13" eb="15">
      <t>ニホン</t>
    </rPh>
    <rPh sb="16" eb="18">
      <t>ゲンキ</t>
    </rPh>
    <phoneticPr fontId="1"/>
  </si>
  <si>
    <r>
      <rPr>
        <sz val="11"/>
        <rFont val="游ゴシック Medium"/>
        <family val="3"/>
        <charset val="128"/>
      </rPr>
      <t>いなかっぺ大将</t>
    </r>
    <r>
      <rPr>
        <sz val="8"/>
        <rFont val="Consolas"/>
        <family val="3"/>
      </rPr>
      <t xml:space="preserve"> </t>
    </r>
    <r>
      <rPr>
        <sz val="8"/>
        <rFont val="游ゴシック Medium"/>
        <family val="3"/>
        <charset val="128"/>
      </rPr>
      <t>大ちゃん故郷へ帰る</t>
    </r>
    <r>
      <rPr>
        <sz val="8"/>
        <rFont val="Consolas"/>
        <family val="3"/>
      </rPr>
      <t xml:space="preserve"> !!</t>
    </r>
    <rPh sb="5" eb="7">
      <t>タイショウ</t>
    </rPh>
    <rPh sb="8" eb="9">
      <t>ダイ</t>
    </rPh>
    <rPh sb="12" eb="14">
      <t>コキョウ</t>
    </rPh>
    <rPh sb="15" eb="16">
      <t>カエ</t>
    </rPh>
    <phoneticPr fontId="1"/>
  </si>
  <si>
    <r>
      <rPr>
        <strike/>
        <sz val="11"/>
        <rFont val="游ゴシック Medium"/>
        <family val="3"/>
        <charset val="128"/>
      </rPr>
      <t>小林よしのり</t>
    </r>
    <rPh sb="0" eb="2">
      <t>コバヤシ</t>
    </rPh>
    <phoneticPr fontId="1"/>
  </si>
  <si>
    <r>
      <rPr>
        <strike/>
        <sz val="11"/>
        <rFont val="游ゴシック Medium"/>
        <family val="3"/>
        <charset val="128"/>
      </rPr>
      <t>ゴーマニズム宣言</t>
    </r>
    <rPh sb="6" eb="8">
      <t>センゲン</t>
    </rPh>
    <phoneticPr fontId="1"/>
  </si>
  <si>
    <r>
      <rPr>
        <strike/>
        <sz val="11"/>
        <rFont val="游ゴシック Medium"/>
        <family val="3"/>
        <charset val="128"/>
      </rPr>
      <t>扶桑社</t>
    </r>
    <r>
      <rPr>
        <strike/>
        <sz val="11"/>
        <rFont val="Consolas"/>
        <family val="3"/>
      </rPr>
      <t>SPA!</t>
    </r>
    <rPh sb="0" eb="3">
      <t>フソウシャ</t>
    </rPh>
    <phoneticPr fontId="1"/>
  </si>
  <si>
    <r>
      <rPr>
        <strike/>
        <sz val="11"/>
        <rFont val="游ゴシック Medium"/>
        <family val="3"/>
        <charset val="128"/>
      </rPr>
      <t>扶桑社</t>
    </r>
    <rPh sb="0" eb="3">
      <t>フソウシャ</t>
    </rPh>
    <phoneticPr fontId="1"/>
  </si>
  <si>
    <r>
      <rPr>
        <strike/>
        <sz val="11"/>
        <rFont val="游ゴシック Medium"/>
        <family val="3"/>
        <charset val="128"/>
      </rPr>
      <t>まる誅</t>
    </r>
    <r>
      <rPr>
        <strike/>
        <sz val="11"/>
        <rFont val="Consolas"/>
        <family val="3"/>
      </rPr>
      <t xml:space="preserve"> </t>
    </r>
    <r>
      <rPr>
        <strike/>
        <sz val="11"/>
        <rFont val="游ゴシック Medium"/>
        <family val="3"/>
        <charset val="128"/>
      </rPr>
      <t>天罰研究会</t>
    </r>
    <rPh sb="2" eb="3">
      <t>チュウ</t>
    </rPh>
    <rPh sb="4" eb="6">
      <t>テンバツ</t>
    </rPh>
    <rPh sb="6" eb="9">
      <t>ケンキュウカイ</t>
    </rPh>
    <phoneticPr fontId="1"/>
  </si>
  <si>
    <r>
      <rPr>
        <strike/>
        <sz val="11"/>
        <rFont val="游ゴシック Medium"/>
        <family val="3"/>
        <charset val="128"/>
      </rPr>
      <t>よしりんぞーん</t>
    </r>
    <phoneticPr fontId="1"/>
  </si>
  <si>
    <r>
      <rPr>
        <strike/>
        <sz val="11"/>
        <rFont val="游ゴシック Medium"/>
        <family val="3"/>
        <charset val="128"/>
      </rPr>
      <t>厳格に聞け</t>
    </r>
    <r>
      <rPr>
        <strike/>
        <sz val="11"/>
        <rFont val="Consolas"/>
        <family val="3"/>
      </rPr>
      <t>/</t>
    </r>
    <r>
      <rPr>
        <strike/>
        <sz val="11"/>
        <rFont val="游ゴシック Medium"/>
        <family val="3"/>
        <charset val="128"/>
      </rPr>
      <t>厳格アドバイ宗</t>
    </r>
    <rPh sb="0" eb="2">
      <t>ゲンカク</t>
    </rPh>
    <rPh sb="3" eb="4">
      <t>キ</t>
    </rPh>
    <rPh sb="6" eb="8">
      <t>ゲンカク</t>
    </rPh>
    <rPh sb="12" eb="13">
      <t>シュウ</t>
    </rPh>
    <phoneticPr fontId="1"/>
  </si>
  <si>
    <r>
      <rPr>
        <strike/>
        <sz val="11"/>
        <rFont val="游ゴシック Medium"/>
        <family val="3"/>
        <charset val="128"/>
      </rPr>
      <t>差別論スペシャル</t>
    </r>
    <rPh sb="0" eb="2">
      <t>サベツ</t>
    </rPh>
    <rPh sb="2" eb="3">
      <t>ロン</t>
    </rPh>
    <phoneticPr fontId="1"/>
  </si>
  <si>
    <r>
      <rPr>
        <strike/>
        <sz val="11"/>
        <rFont val="游ゴシック Medium"/>
        <family val="3"/>
        <charset val="128"/>
      </rPr>
      <t>小林よしのりのゴーマンガ大事典</t>
    </r>
    <rPh sb="0" eb="2">
      <t>コバヤシ</t>
    </rPh>
    <rPh sb="12" eb="15">
      <t>ダイジテン</t>
    </rPh>
    <phoneticPr fontId="1"/>
  </si>
  <si>
    <r>
      <rPr>
        <strike/>
        <sz val="11"/>
        <rFont val="游ゴシック Medium"/>
        <family val="3"/>
        <charset val="128"/>
      </rPr>
      <t>イースト・プレス</t>
    </r>
    <phoneticPr fontId="1"/>
  </si>
  <si>
    <r>
      <rPr>
        <strike/>
        <sz val="11"/>
        <rFont val="游ゴシック Medium"/>
        <family val="3"/>
        <charset val="128"/>
      </rPr>
      <t>古本</t>
    </r>
    <r>
      <rPr>
        <strike/>
        <sz val="11"/>
        <rFont val="Consolas"/>
        <family val="3"/>
      </rPr>
      <t>/</t>
    </r>
    <r>
      <rPr>
        <strike/>
        <sz val="11"/>
        <rFont val="游ゴシック Medium"/>
        <family val="3"/>
        <charset val="128"/>
      </rPr>
      <t>サイン本</t>
    </r>
    <r>
      <rPr>
        <strike/>
        <sz val="11"/>
        <rFont val="Consolas"/>
        <family val="3"/>
      </rPr>
      <t>/sold to Book Off in 2003/05</t>
    </r>
    <rPh sb="0" eb="2">
      <t>フルホン</t>
    </rPh>
    <rPh sb="6" eb="7">
      <t>ホン</t>
    </rPh>
    <phoneticPr fontId="1"/>
  </si>
  <si>
    <r>
      <rPr>
        <strike/>
        <sz val="11"/>
        <rFont val="游ゴシック Medium"/>
        <family val="3"/>
        <charset val="128"/>
      </rPr>
      <t>小林よしのりの異常天才図鑑</t>
    </r>
    <rPh sb="0" eb="2">
      <t>コバヤシ</t>
    </rPh>
    <rPh sb="7" eb="9">
      <t>イジョウ</t>
    </rPh>
    <rPh sb="9" eb="11">
      <t>テンサイ</t>
    </rPh>
    <rPh sb="11" eb="13">
      <t>ズカン</t>
    </rPh>
    <phoneticPr fontId="1"/>
  </si>
  <si>
    <r>
      <rPr>
        <strike/>
        <sz val="11"/>
        <rFont val="游ゴシック Medium"/>
        <family val="3"/>
        <charset val="128"/>
      </rPr>
      <t>新ゴーマニズム宣言</t>
    </r>
    <rPh sb="0" eb="1">
      <t>シン</t>
    </rPh>
    <rPh sb="7" eb="9">
      <t>センゲン</t>
    </rPh>
    <phoneticPr fontId="1"/>
  </si>
  <si>
    <r>
      <t>1999/11/07 Sun:7</t>
    </r>
    <r>
      <rPr>
        <strike/>
        <sz val="11"/>
        <rFont val="游ゴシック Medium"/>
        <family val="3"/>
        <charset val="128"/>
      </rPr>
      <t>巻</t>
    </r>
    <r>
      <rPr>
        <strike/>
        <sz val="11"/>
        <rFont val="Consolas"/>
        <family val="3"/>
      </rPr>
      <t>/2000/07/28 Thu:9</t>
    </r>
    <r>
      <rPr>
        <strike/>
        <sz val="11"/>
        <rFont val="游ゴシック Medium"/>
        <family val="3"/>
        <charset val="128"/>
      </rPr>
      <t>巻</t>
    </r>
    <r>
      <rPr>
        <strike/>
        <sz val="11"/>
        <rFont val="Consolas"/>
        <family val="3"/>
      </rPr>
      <t>/2002/06/19 Wed:11</t>
    </r>
    <r>
      <rPr>
        <strike/>
        <sz val="11"/>
        <rFont val="游ゴシック Medium"/>
        <family val="3"/>
        <charset val="128"/>
      </rPr>
      <t>巻</t>
    </r>
    <r>
      <rPr>
        <strike/>
        <sz val="11"/>
        <rFont val="Consolas"/>
        <family val="3"/>
      </rPr>
      <t>/2002/11/19 Tue:12</t>
    </r>
    <r>
      <rPr>
        <strike/>
        <sz val="11"/>
        <rFont val="游ゴシック Medium"/>
        <family val="3"/>
        <charset val="128"/>
      </rPr>
      <t>巻</t>
    </r>
    <rPh sb="15" eb="17">
      <t>７カン</t>
    </rPh>
    <rPh sb="34" eb="35">
      <t>カン</t>
    </rPh>
    <rPh sb="53" eb="54">
      <t>カン</t>
    </rPh>
    <phoneticPr fontId="1"/>
  </si>
  <si>
    <r>
      <rPr>
        <strike/>
        <sz val="11"/>
        <rFont val="游ゴシック Medium"/>
        <family val="3"/>
        <charset val="128"/>
      </rPr>
      <t>ジュンク堂</t>
    </r>
    <phoneticPr fontId="1"/>
  </si>
  <si>
    <r>
      <rPr>
        <strike/>
        <sz val="11"/>
        <rFont val="游ゴシック Medium"/>
        <family val="3"/>
        <charset val="128"/>
      </rPr>
      <t>戦争論</t>
    </r>
    <rPh sb="0" eb="2">
      <t>センソウ</t>
    </rPh>
    <rPh sb="2" eb="3">
      <t>ロン</t>
    </rPh>
    <phoneticPr fontId="1"/>
  </si>
  <si>
    <r>
      <rPr>
        <strike/>
        <sz val="11"/>
        <rFont val="游ゴシック Medium"/>
        <family val="3"/>
        <charset val="128"/>
      </rPr>
      <t>戦争論</t>
    </r>
    <r>
      <rPr>
        <strike/>
        <sz val="11"/>
        <rFont val="Consolas"/>
        <family val="3"/>
      </rPr>
      <t>2</t>
    </r>
    <rPh sb="0" eb="2">
      <t>センソウ</t>
    </rPh>
    <rPh sb="2" eb="3">
      <t>ロン</t>
    </rPh>
    <phoneticPr fontId="1"/>
  </si>
  <si>
    <r>
      <rPr>
        <strike/>
        <sz val="11"/>
        <rFont val="游ゴシック Medium"/>
        <family val="3"/>
        <charset val="128"/>
      </rPr>
      <t>幻冬舎</t>
    </r>
    <rPh sb="0" eb="3">
      <t>ゲントウシャ</t>
    </rPh>
    <phoneticPr fontId="1"/>
  </si>
  <si>
    <r>
      <t>2001/11</t>
    </r>
    <r>
      <rPr>
        <strike/>
        <sz val="11"/>
        <rFont val="游ゴシック Medium"/>
        <family val="3"/>
        <charset val="128"/>
      </rPr>
      <t>下旬平</t>
    </r>
    <r>
      <rPr>
        <strike/>
        <sz val="11"/>
        <rFont val="Consolas"/>
        <family val="3"/>
      </rPr>
      <t xml:space="preserve"> Sun</t>
    </r>
    <rPh sb="7" eb="9">
      <t>ゲジュン</t>
    </rPh>
    <phoneticPr fontId="1"/>
  </si>
  <si>
    <r>
      <rPr>
        <strike/>
        <sz val="11"/>
        <rFont val="游ゴシック Medium"/>
        <family val="3"/>
        <charset val="128"/>
      </rPr>
      <t>脱正義論</t>
    </r>
    <rPh sb="0" eb="1">
      <t>ダツ</t>
    </rPh>
    <rPh sb="1" eb="3">
      <t>セイギ</t>
    </rPh>
    <rPh sb="3" eb="4">
      <t>ロン</t>
    </rPh>
    <phoneticPr fontId="1"/>
  </si>
  <si>
    <r>
      <rPr>
        <strike/>
        <sz val="11"/>
        <rFont val="游ゴシック Medium"/>
        <family val="3"/>
        <charset val="128"/>
      </rPr>
      <t>散文</t>
    </r>
    <r>
      <rPr>
        <strike/>
        <sz val="11"/>
        <rFont val="Consolas"/>
        <family val="3"/>
      </rPr>
      <t>/comic</t>
    </r>
    <rPh sb="0" eb="2">
      <t>サンブン</t>
    </rPh>
    <phoneticPr fontId="1"/>
  </si>
  <si>
    <r>
      <rPr>
        <strike/>
        <sz val="11"/>
        <rFont val="游ゴシック Medium"/>
        <family val="3"/>
        <charset val="128"/>
      </rPr>
      <t>小林よしのり</t>
    </r>
    <r>
      <rPr>
        <strike/>
        <sz val="11"/>
        <rFont val="Consolas"/>
        <family val="3"/>
      </rPr>
      <t>followers</t>
    </r>
    <rPh sb="0" eb="2">
      <t>コバヤシ</t>
    </rPh>
    <rPh sb="6" eb="14">
      <t>フォロワー</t>
    </rPh>
    <rPh sb="14" eb="15">
      <t>ズ</t>
    </rPh>
    <phoneticPr fontId="1"/>
  </si>
  <si>
    <r>
      <rPr>
        <strike/>
        <sz val="11"/>
        <rFont val="游ゴシック Medium"/>
        <family val="3"/>
        <charset val="128"/>
      </rPr>
      <t>ゴーマニズムとは何か</t>
    </r>
    <rPh sb="8" eb="9">
      <t>ナニ</t>
    </rPh>
    <phoneticPr fontId="1"/>
  </si>
  <si>
    <r>
      <rPr>
        <b/>
        <sz val="11"/>
        <color indexed="33"/>
        <rFont val="游ゴシック Medium"/>
        <family val="3"/>
        <charset val="128"/>
      </rPr>
      <t>西原理恵子</t>
    </r>
    <rPh sb="0" eb="2">
      <t>サイバラ</t>
    </rPh>
    <rPh sb="2" eb="5">
      <t>リエコ</t>
    </rPh>
    <phoneticPr fontId="1"/>
  </si>
  <si>
    <r>
      <rPr>
        <b/>
        <sz val="11"/>
        <color indexed="33"/>
        <rFont val="游ゴシック Medium"/>
        <family val="3"/>
        <charset val="128"/>
      </rPr>
      <t>ちくろ幼稚園</t>
    </r>
    <rPh sb="3" eb="6">
      <t>ヨウチエン</t>
    </rPh>
    <phoneticPr fontId="1"/>
  </si>
  <si>
    <r>
      <rPr>
        <b/>
        <sz val="11"/>
        <color indexed="33"/>
        <rFont val="游ゴシック Medium"/>
        <family val="3"/>
        <charset val="128"/>
      </rPr>
      <t>ちくろ幼稚園・続</t>
    </r>
    <rPh sb="3" eb="6">
      <t>ヨウチエン</t>
    </rPh>
    <rPh sb="7" eb="8">
      <t>ゾク</t>
    </rPh>
    <phoneticPr fontId="1"/>
  </si>
  <si>
    <r>
      <rPr>
        <b/>
        <sz val="11"/>
        <color indexed="33"/>
        <rFont val="游ゴシック Medium"/>
        <family val="3"/>
        <charset val="128"/>
      </rPr>
      <t>ちくろ幼稚園・《さいご》</t>
    </r>
    <rPh sb="3" eb="6">
      <t>ヨウチエン</t>
    </rPh>
    <phoneticPr fontId="1"/>
  </si>
  <si>
    <r>
      <rPr>
        <sz val="11"/>
        <rFont val="游ゴシック Medium"/>
        <family val="3"/>
        <charset val="128"/>
      </rPr>
      <t>西原理恵子</t>
    </r>
    <rPh sb="0" eb="2">
      <t>サイバラ</t>
    </rPh>
    <rPh sb="2" eb="5">
      <t>リエコ</t>
    </rPh>
    <phoneticPr fontId="1"/>
  </si>
  <si>
    <r>
      <rPr>
        <sz val="11"/>
        <rFont val="游ゴシック Medium"/>
        <family val="3"/>
        <charset val="128"/>
      </rPr>
      <t>できるかな</t>
    </r>
    <phoneticPr fontId="1"/>
  </si>
  <si>
    <r>
      <rPr>
        <b/>
        <sz val="11"/>
        <color indexed="33"/>
        <rFont val="游ゴシック Medium"/>
        <family val="3"/>
        <charset val="128"/>
      </rPr>
      <t>はれた日は学校をやすんで</t>
    </r>
    <rPh sb="3" eb="4">
      <t>ヒ</t>
    </rPh>
    <rPh sb="5" eb="7">
      <t>ガッコウ</t>
    </rPh>
    <phoneticPr fontId="1"/>
  </si>
  <si>
    <r>
      <rPr>
        <b/>
        <sz val="11"/>
        <color indexed="33"/>
        <rFont val="游ゴシック Medium"/>
        <family val="3"/>
        <charset val="128"/>
      </rPr>
      <t>ぼくんち</t>
    </r>
    <phoneticPr fontId="1"/>
  </si>
  <si>
    <r>
      <rPr>
        <b/>
        <sz val="11"/>
        <color indexed="33"/>
        <rFont val="游ゴシック Medium"/>
        <family val="3"/>
        <charset val="128"/>
      </rPr>
      <t>まあじゃんほうろうき</t>
    </r>
    <phoneticPr fontId="1"/>
  </si>
  <si>
    <r>
      <rPr>
        <sz val="11"/>
        <rFont val="游ゴシック Medium"/>
        <family val="3"/>
        <charset val="128"/>
      </rPr>
      <t>竹書房</t>
    </r>
    <rPh sb="0" eb="1">
      <t>タケ</t>
    </rPh>
    <rPh sb="1" eb="3">
      <t>ショボウ</t>
    </rPh>
    <phoneticPr fontId="1"/>
  </si>
  <si>
    <r>
      <rPr>
        <sz val="11"/>
        <rFont val="游ゴシック Medium"/>
        <family val="3"/>
        <charset val="128"/>
      </rPr>
      <t>むいむい</t>
    </r>
    <r>
      <rPr>
        <sz val="11"/>
        <rFont val="Consolas"/>
        <family val="3"/>
      </rPr>
      <t>/</t>
    </r>
    <r>
      <rPr>
        <sz val="11"/>
        <rFont val="游ゴシック Medium"/>
        <family val="3"/>
        <charset val="128"/>
      </rPr>
      <t>りえこさん虫日記</t>
    </r>
    <rPh sb="10" eb="11">
      <t>ムシ</t>
    </rPh>
    <rPh sb="11" eb="13">
      <t>ニッキ</t>
    </rPh>
    <phoneticPr fontId="1"/>
  </si>
  <si>
    <r>
      <rPr>
        <b/>
        <sz val="11"/>
        <color indexed="33"/>
        <rFont val="游ゴシック Medium"/>
        <family val="3"/>
        <charset val="128"/>
      </rPr>
      <t>ゆんぼくん</t>
    </r>
    <phoneticPr fontId="1"/>
  </si>
  <si>
    <r>
      <rPr>
        <sz val="11"/>
        <rFont val="游ゴシック Medium"/>
        <family val="3"/>
        <charset val="128"/>
      </rPr>
      <t>全巻</t>
    </r>
    <r>
      <rPr>
        <sz val="11"/>
        <rFont val="Consolas"/>
        <family val="3"/>
      </rPr>
      <t>/</t>
    </r>
    <r>
      <rPr>
        <sz val="11"/>
        <rFont val="游ゴシック Medium"/>
        <family val="3"/>
        <charset val="128"/>
      </rPr>
      <t>ばんぶーこみっくす</t>
    </r>
    <rPh sb="0" eb="2">
      <t>ゼンカン</t>
    </rPh>
    <phoneticPr fontId="1"/>
  </si>
  <si>
    <r>
      <t>*/1-4</t>
    </r>
    <r>
      <rPr>
        <sz val="11"/>
        <rFont val="游ゴシック Medium"/>
        <family val="3"/>
        <charset val="128"/>
      </rPr>
      <t>は</t>
    </r>
    <r>
      <rPr>
        <sz val="11"/>
        <rFont val="Consolas"/>
        <family val="3"/>
      </rPr>
      <t>1995/08/29 Tue</t>
    </r>
    <phoneticPr fontId="1"/>
  </si>
  <si>
    <r>
      <rPr>
        <sz val="11"/>
        <rFont val="游ゴシック Medium"/>
        <family val="3"/>
        <charset val="128"/>
      </rPr>
      <t>増補改訂版</t>
    </r>
    <r>
      <rPr>
        <sz val="11"/>
        <rFont val="Consolas"/>
        <family val="3"/>
      </rPr>
      <t xml:space="preserve"> </t>
    </r>
    <r>
      <rPr>
        <sz val="11"/>
        <rFont val="游ゴシック Medium"/>
        <family val="3"/>
        <charset val="128"/>
      </rPr>
      <t>パチンコにはちょっとひとこと言わせてもらいたい</t>
    </r>
    <rPh sb="0" eb="2">
      <t>ゾウホ</t>
    </rPh>
    <rPh sb="2" eb="5">
      <t>カイテイバン</t>
    </rPh>
    <rPh sb="20" eb="21">
      <t>イ</t>
    </rPh>
    <phoneticPr fontId="1"/>
  </si>
  <si>
    <r>
      <rPr>
        <sz val="11"/>
        <rFont val="游ゴシック Medium"/>
        <family val="3"/>
        <charset val="128"/>
      </rPr>
      <t>白夜書房</t>
    </r>
    <rPh sb="0" eb="2">
      <t>ビャクヤ</t>
    </rPh>
    <rPh sb="2" eb="4">
      <t>ショボウ</t>
    </rPh>
    <phoneticPr fontId="1"/>
  </si>
  <si>
    <r>
      <rPr>
        <sz val="11"/>
        <rFont val="游ゴシック Medium"/>
        <family val="3"/>
        <charset val="128"/>
      </rPr>
      <t>鳥頭紀行</t>
    </r>
    <r>
      <rPr>
        <sz val="11"/>
        <rFont val="Consolas"/>
        <family val="3"/>
      </rPr>
      <t>/</t>
    </r>
    <r>
      <rPr>
        <sz val="11"/>
        <rFont val="游ゴシック Medium"/>
        <family val="3"/>
        <charset val="128"/>
      </rPr>
      <t>ジャングル編</t>
    </r>
    <rPh sb="0" eb="1">
      <t>トリ</t>
    </rPh>
    <rPh sb="1" eb="2">
      <t>アタマ</t>
    </rPh>
    <rPh sb="2" eb="4">
      <t>キコウ</t>
    </rPh>
    <rPh sb="10" eb="11">
      <t>ヘン</t>
    </rPh>
    <phoneticPr fontId="1"/>
  </si>
  <si>
    <r>
      <rPr>
        <sz val="11"/>
        <rFont val="游ゴシック Medium"/>
        <family val="3"/>
        <charset val="128"/>
      </rPr>
      <t>鳥頭紀行</t>
    </r>
    <r>
      <rPr>
        <sz val="11"/>
        <rFont val="Consolas"/>
        <family val="3"/>
      </rPr>
      <t>/</t>
    </r>
    <r>
      <rPr>
        <sz val="11"/>
        <rFont val="游ゴシック Medium"/>
        <family val="3"/>
        <charset val="128"/>
      </rPr>
      <t>ぜんぶ</t>
    </r>
    <rPh sb="0" eb="1">
      <t>トリ</t>
    </rPh>
    <rPh sb="1" eb="2">
      <t>アタマ</t>
    </rPh>
    <rPh sb="2" eb="4">
      <t>キコウ</t>
    </rPh>
    <phoneticPr fontId="1"/>
  </si>
  <si>
    <r>
      <rPr>
        <sz val="11"/>
        <rFont val="游ゴシック Medium"/>
        <family val="3"/>
        <charset val="128"/>
      </rPr>
      <t>怒涛の虫</t>
    </r>
    <rPh sb="0" eb="2">
      <t>ドトウ</t>
    </rPh>
    <rPh sb="3" eb="4">
      <t>ムシ</t>
    </rPh>
    <phoneticPr fontId="1"/>
  </si>
  <si>
    <r>
      <rPr>
        <sz val="11"/>
        <rFont val="游ゴシック Medium"/>
        <family val="3"/>
        <charset val="128"/>
      </rPr>
      <t>毎日かあさん</t>
    </r>
    <r>
      <rPr>
        <sz val="11"/>
        <rFont val="Consolas"/>
        <family val="3"/>
      </rPr>
      <t xml:space="preserve"> 4 </t>
    </r>
    <r>
      <rPr>
        <sz val="11"/>
        <rFont val="游ゴシック Medium"/>
        <family val="3"/>
        <charset val="128"/>
      </rPr>
      <t>出戻り編</t>
    </r>
    <rPh sb="0" eb="2">
      <t>マイニチ</t>
    </rPh>
    <rPh sb="9" eb="11">
      <t>デモド</t>
    </rPh>
    <rPh sb="12" eb="13">
      <t>ヘン</t>
    </rPh>
    <phoneticPr fontId="1"/>
  </si>
  <si>
    <r>
      <rPr>
        <sz val="11"/>
        <rFont val="游ゴシック Medium"/>
        <family val="3"/>
        <charset val="128"/>
      </rPr>
      <t>西原理恵子・神足裕司</t>
    </r>
    <rPh sb="0" eb="2">
      <t>サイバラ</t>
    </rPh>
    <rPh sb="2" eb="5">
      <t>リエコ</t>
    </rPh>
    <rPh sb="6" eb="8">
      <t>コウタリ</t>
    </rPh>
    <phoneticPr fontId="1"/>
  </si>
  <si>
    <r>
      <rPr>
        <sz val="11"/>
        <rFont val="游ゴシック Medium"/>
        <family val="3"/>
        <charset val="128"/>
      </rPr>
      <t>恨ミシュラン②</t>
    </r>
    <rPh sb="0" eb="1">
      <t>ウラ</t>
    </rPh>
    <phoneticPr fontId="1"/>
  </si>
  <si>
    <r>
      <rPr>
        <sz val="11"/>
        <rFont val="游ゴシック Medium"/>
        <family val="3"/>
        <charset val="128"/>
      </rPr>
      <t>西原理恵子・山崎一夫</t>
    </r>
    <rPh sb="0" eb="2">
      <t>サイバラ</t>
    </rPh>
    <rPh sb="2" eb="5">
      <t>リエコ</t>
    </rPh>
    <rPh sb="6" eb="8">
      <t>ヤマザキ</t>
    </rPh>
    <rPh sb="8" eb="10">
      <t>カズオ</t>
    </rPh>
    <phoneticPr fontId="1"/>
  </si>
  <si>
    <r>
      <rPr>
        <sz val="11"/>
        <rFont val="游ゴシック Medium"/>
        <family val="3"/>
        <charset val="128"/>
      </rPr>
      <t>サイバラ式</t>
    </r>
    <rPh sb="4" eb="5">
      <t>シキ</t>
    </rPh>
    <phoneticPr fontId="1"/>
  </si>
  <si>
    <r>
      <rPr>
        <sz val="11"/>
        <rFont val="游ゴシック Medium"/>
        <family val="3"/>
        <charset val="128"/>
      </rPr>
      <t>サクサクさーくる</t>
    </r>
    <phoneticPr fontId="1"/>
  </si>
  <si>
    <r>
      <rPr>
        <sz val="11"/>
        <rFont val="游ゴシック Medium"/>
        <family val="3"/>
        <charset val="128"/>
      </rPr>
      <t>さかもと未明</t>
    </r>
    <rPh sb="4" eb="6">
      <t>ミメイ</t>
    </rPh>
    <phoneticPr fontId="1"/>
  </si>
  <si>
    <r>
      <rPr>
        <sz val="11"/>
        <rFont val="游ゴシック Medium"/>
        <family val="3"/>
        <charset val="128"/>
      </rPr>
      <t>美少女狩り</t>
    </r>
    <r>
      <rPr>
        <sz val="11"/>
        <rFont val="Consolas"/>
        <family val="3"/>
      </rPr>
      <t>/</t>
    </r>
    <r>
      <rPr>
        <sz val="11"/>
        <rFont val="游ゴシック Medium"/>
        <family val="3"/>
        <charset val="128"/>
      </rPr>
      <t>カメラマン亜里沙</t>
    </r>
    <rPh sb="0" eb="3">
      <t>ビショウジョ</t>
    </rPh>
    <rPh sb="3" eb="4">
      <t>ガ</t>
    </rPh>
    <rPh sb="11" eb="14">
      <t>アリサ</t>
    </rPh>
    <phoneticPr fontId="1"/>
  </si>
  <si>
    <r>
      <rPr>
        <sz val="11"/>
        <rFont val="游ゴシック Medium"/>
        <family val="3"/>
        <charset val="128"/>
      </rPr>
      <t>笹木竹丸</t>
    </r>
    <rPh sb="0" eb="2">
      <t>ササキ</t>
    </rPh>
    <rPh sb="2" eb="4">
      <t>タケマル</t>
    </rPh>
    <phoneticPr fontId="1"/>
  </si>
  <si>
    <r>
      <rPr>
        <b/>
        <sz val="11"/>
        <color indexed="33"/>
        <rFont val="游ゴシック Medium"/>
        <family val="3"/>
        <charset val="128"/>
      </rPr>
      <t>ヘリタコぷーちゃん</t>
    </r>
    <phoneticPr fontId="1"/>
  </si>
  <si>
    <r>
      <rPr>
        <sz val="11"/>
        <rFont val="游ゴシック Medium"/>
        <family val="3"/>
        <charset val="128"/>
      </rPr>
      <t>竹丸げきじょー</t>
    </r>
    <r>
      <rPr>
        <sz val="11"/>
        <rFont val="Consolas"/>
        <family val="3"/>
      </rPr>
      <t xml:space="preserve"> </t>
    </r>
    <r>
      <rPr>
        <sz val="11"/>
        <rFont val="游ゴシック Medium"/>
        <family val="3"/>
        <charset val="128"/>
      </rPr>
      <t>ガオガオかむかむ</t>
    </r>
    <r>
      <rPr>
        <sz val="11"/>
        <rFont val="Consolas"/>
        <family val="3"/>
      </rPr>
      <t>|Go Go</t>
    </r>
    <r>
      <rPr>
        <sz val="11"/>
        <rFont val="游ゴシック Medium"/>
        <family val="3"/>
        <charset val="128"/>
      </rPr>
      <t>マンボー</t>
    </r>
    <r>
      <rPr>
        <sz val="11"/>
        <rFont val="Consolas"/>
        <family val="3"/>
      </rPr>
      <t>|</t>
    </r>
    <r>
      <rPr>
        <sz val="11"/>
        <rFont val="游ゴシック Medium"/>
        <family val="3"/>
        <charset val="128"/>
      </rPr>
      <t>ヘリタコぷーちゃん</t>
    </r>
    <rPh sb="0" eb="2">
      <t>タケマル</t>
    </rPh>
    <phoneticPr fontId="1"/>
  </si>
  <si>
    <r>
      <rPr>
        <sz val="11"/>
        <rFont val="游ゴシック Medium"/>
        <family val="3"/>
        <charset val="128"/>
      </rPr>
      <t>ちゃおフラワーコミックス</t>
    </r>
    <phoneticPr fontId="1"/>
  </si>
  <si>
    <r>
      <rPr>
        <sz val="11"/>
        <rFont val="游ゴシック Medium"/>
        <family val="3"/>
        <charset val="128"/>
      </rPr>
      <t>まほがゲット</t>
    </r>
    <phoneticPr fontId="1"/>
  </si>
  <si>
    <r>
      <rPr>
        <sz val="11"/>
        <rFont val="游ゴシック Medium"/>
        <family val="3"/>
        <charset val="128"/>
      </rPr>
      <t>佐藤まさあき</t>
    </r>
    <rPh sb="0" eb="2">
      <t>サトウ</t>
    </rPh>
    <phoneticPr fontId="1"/>
  </si>
  <si>
    <r>
      <rPr>
        <sz val="11"/>
        <rFont val="游ゴシック Medium"/>
        <family val="3"/>
        <charset val="128"/>
      </rPr>
      <t>堕靡泥の星</t>
    </r>
    <rPh sb="0" eb="3">
      <t>ダビデ</t>
    </rPh>
    <rPh sb="4" eb="5">
      <t>ホシ</t>
    </rPh>
    <phoneticPr fontId="1"/>
  </si>
  <si>
    <r>
      <rPr>
        <sz val="11"/>
        <rFont val="游ゴシック Medium"/>
        <family val="3"/>
        <charset val="128"/>
      </rPr>
      <t>アスペクト</t>
    </r>
    <phoneticPr fontId="1"/>
  </si>
  <si>
    <r>
      <rPr>
        <sz val="11"/>
        <rFont val="游ゴシック Medium"/>
        <family val="3"/>
        <charset val="128"/>
      </rPr>
      <t>よーこが勝手に売る</t>
    </r>
    <rPh sb="4" eb="6">
      <t>カッテ</t>
    </rPh>
    <rPh sb="7" eb="8">
      <t>ウ</t>
    </rPh>
    <phoneticPr fontId="1"/>
  </si>
  <si>
    <r>
      <rPr>
        <strike/>
        <sz val="11"/>
        <rFont val="游ゴシック Medium"/>
        <family val="3"/>
        <charset val="128"/>
      </rPr>
      <t>ジョージ秋山</t>
    </r>
    <rPh sb="4" eb="6">
      <t>アキヤマ</t>
    </rPh>
    <phoneticPr fontId="1"/>
  </si>
  <si>
    <r>
      <rPr>
        <strike/>
        <sz val="11"/>
        <rFont val="游ゴシック Medium"/>
        <family val="3"/>
        <charset val="128"/>
      </rPr>
      <t>銭ゲバ</t>
    </r>
    <rPh sb="0" eb="1">
      <t>ゼニ</t>
    </rPh>
    <phoneticPr fontId="1"/>
  </si>
  <si>
    <r>
      <rPr>
        <strike/>
        <sz val="11"/>
        <rFont val="游ゴシック Medium"/>
        <family val="3"/>
        <charset val="128"/>
      </rPr>
      <t>ソフトマジック</t>
    </r>
    <phoneticPr fontId="1"/>
  </si>
  <si>
    <r>
      <rPr>
        <sz val="11"/>
        <rFont val="游ゴシック Medium"/>
        <family val="3"/>
        <charset val="128"/>
      </rPr>
      <t>ジョージ秋山</t>
    </r>
    <rPh sb="4" eb="6">
      <t>アキヤマ</t>
    </rPh>
    <phoneticPr fontId="1"/>
  </si>
  <si>
    <r>
      <rPr>
        <sz val="11"/>
        <rFont val="游ゴシック Medium"/>
        <family val="3"/>
        <charset val="128"/>
      </rPr>
      <t>アシュラ</t>
    </r>
    <r>
      <rPr>
        <sz val="11"/>
        <rFont val="Consolas"/>
        <family val="3"/>
      </rPr>
      <t>(</t>
    </r>
    <r>
      <rPr>
        <sz val="11"/>
        <rFont val="游ゴシック Medium"/>
        <family val="3"/>
        <charset val="128"/>
      </rPr>
      <t>上巻</t>
    </r>
    <r>
      <rPr>
        <sz val="11"/>
        <rFont val="Consolas"/>
        <family val="3"/>
      </rPr>
      <t>)</t>
    </r>
    <rPh sb="5" eb="7">
      <t>ジョウカン</t>
    </rPh>
    <phoneticPr fontId="1"/>
  </si>
  <si>
    <r>
      <rPr>
        <sz val="11"/>
        <rFont val="游ゴシック Medium"/>
        <family val="3"/>
        <charset val="128"/>
      </rPr>
      <t>ぱる出版</t>
    </r>
    <rPh sb="2" eb="4">
      <t>シュッパン</t>
    </rPh>
    <phoneticPr fontId="1"/>
  </si>
  <si>
    <r>
      <rPr>
        <sz val="11"/>
        <rFont val="游ゴシック Medium"/>
        <family val="3"/>
        <charset val="128"/>
      </rPr>
      <t>アシュラ</t>
    </r>
    <r>
      <rPr>
        <sz val="11"/>
        <rFont val="Consolas"/>
        <family val="3"/>
      </rPr>
      <t>(</t>
    </r>
    <r>
      <rPr>
        <sz val="11"/>
        <rFont val="游ゴシック Medium"/>
        <family val="3"/>
        <charset val="128"/>
      </rPr>
      <t>下巻</t>
    </r>
    <r>
      <rPr>
        <sz val="11"/>
        <rFont val="Consolas"/>
        <family val="3"/>
      </rPr>
      <t>)</t>
    </r>
    <rPh sb="5" eb="7">
      <t>ゲカン</t>
    </rPh>
    <phoneticPr fontId="1"/>
  </si>
  <si>
    <r>
      <rPr>
        <sz val="11"/>
        <rFont val="游ゴシック Medium"/>
        <family val="3"/>
        <charset val="128"/>
      </rPr>
      <t>しりあがり寿</t>
    </r>
    <rPh sb="5" eb="6">
      <t>コトブキ</t>
    </rPh>
    <phoneticPr fontId="1"/>
  </si>
  <si>
    <r>
      <rPr>
        <b/>
        <sz val="11"/>
        <color indexed="33"/>
        <rFont val="游ゴシック Medium"/>
        <family val="3"/>
        <charset val="128"/>
      </rPr>
      <t>エレキな春</t>
    </r>
    <rPh sb="4" eb="5">
      <t>ハル</t>
    </rPh>
    <phoneticPr fontId="1"/>
  </si>
  <si>
    <r>
      <rPr>
        <sz val="11"/>
        <rFont val="游ゴシック Medium"/>
        <family val="3"/>
        <charset val="128"/>
      </rPr>
      <t>おしごと</t>
    </r>
    <phoneticPr fontId="1"/>
  </si>
  <si>
    <r>
      <rPr>
        <strike/>
        <sz val="11"/>
        <rFont val="游ゴシック Medium"/>
        <family val="3"/>
        <charset val="128"/>
      </rPr>
      <t>須賀原洋行</t>
    </r>
    <rPh sb="0" eb="3">
      <t>スガワラ</t>
    </rPh>
    <phoneticPr fontId="1"/>
  </si>
  <si>
    <r>
      <rPr>
        <strike/>
        <sz val="11"/>
        <rFont val="游ゴシック Medium"/>
        <family val="3"/>
        <charset val="128"/>
      </rPr>
      <t>非存在病理学入門</t>
    </r>
    <rPh sb="0" eb="3">
      <t>ヒソンザイ</t>
    </rPh>
    <rPh sb="3" eb="6">
      <t>ビョウリガク</t>
    </rPh>
    <rPh sb="6" eb="8">
      <t>ニュウモン</t>
    </rPh>
    <phoneticPr fontId="1"/>
  </si>
  <si>
    <r>
      <rPr>
        <strike/>
        <sz val="11"/>
        <rFont val="游ゴシック Medium"/>
        <family val="3"/>
        <charset val="128"/>
      </rPr>
      <t>②</t>
    </r>
    <r>
      <rPr>
        <strike/>
        <sz val="11"/>
        <rFont val="Consolas"/>
        <family val="3"/>
      </rPr>
      <t>/Bamboo Comics</t>
    </r>
    <rPh sb="2" eb="15">
      <t>バンブー　コミックス</t>
    </rPh>
    <phoneticPr fontId="1"/>
  </si>
  <si>
    <r>
      <rPr>
        <strike/>
        <sz val="11"/>
        <rFont val="游ゴシック Medium"/>
        <family val="3"/>
        <charset val="128"/>
      </rPr>
      <t>竹書房</t>
    </r>
    <rPh sb="0" eb="1">
      <t>タケ</t>
    </rPh>
    <rPh sb="1" eb="3">
      <t>ショボウ</t>
    </rPh>
    <phoneticPr fontId="1"/>
  </si>
  <si>
    <r>
      <rPr>
        <sz val="11"/>
        <rFont val="游ゴシック Medium"/>
        <family val="3"/>
        <charset val="128"/>
      </rPr>
      <t>田中圭一</t>
    </r>
    <rPh sb="0" eb="2">
      <t>タナカ</t>
    </rPh>
    <rPh sb="2" eb="4">
      <t>ケイイチ</t>
    </rPh>
    <phoneticPr fontId="1"/>
  </si>
  <si>
    <r>
      <rPr>
        <sz val="11"/>
        <rFont val="游ゴシック Medium"/>
        <family val="3"/>
        <charset val="128"/>
      </rPr>
      <t>ドクター秩父山</t>
    </r>
    <rPh sb="4" eb="6">
      <t>チチブ</t>
    </rPh>
    <rPh sb="6" eb="7">
      <t>ヤマ</t>
    </rPh>
    <phoneticPr fontId="1"/>
  </si>
  <si>
    <r>
      <rPr>
        <sz val="11"/>
        <rFont val="游ゴシック Medium"/>
        <family val="3"/>
        <charset val="128"/>
      </rPr>
      <t>つゆき･サブロー</t>
    </r>
    <phoneticPr fontId="1"/>
  </si>
  <si>
    <r>
      <rPr>
        <sz val="11"/>
        <rFont val="游ゴシック Medium"/>
        <family val="3"/>
        <charset val="128"/>
      </rPr>
      <t>寄生人</t>
    </r>
    <r>
      <rPr>
        <sz val="11"/>
        <rFont val="Consolas"/>
        <family val="3"/>
      </rPr>
      <t>/</t>
    </r>
    <r>
      <rPr>
        <sz val="11"/>
        <rFont val="游ゴシック Medium"/>
        <family val="3"/>
        <charset val="128"/>
      </rPr>
      <t>ミイラ島</t>
    </r>
    <r>
      <rPr>
        <sz val="11"/>
        <rFont val="Consolas"/>
        <family val="3"/>
      </rPr>
      <t>:</t>
    </r>
    <r>
      <rPr>
        <sz val="11"/>
        <rFont val="游ゴシック Medium"/>
        <family val="3"/>
        <charset val="128"/>
      </rPr>
      <t>併録</t>
    </r>
    <rPh sb="0" eb="2">
      <t>キセイ</t>
    </rPh>
    <rPh sb="2" eb="3">
      <t>ジン</t>
    </rPh>
    <rPh sb="7" eb="8">
      <t>トウ</t>
    </rPh>
    <rPh sb="9" eb="11">
      <t>ヘイロク</t>
    </rPh>
    <phoneticPr fontId="1"/>
  </si>
  <si>
    <r>
      <t>QJ</t>
    </r>
    <r>
      <rPr>
        <sz val="11"/>
        <rFont val="游ゴシック Medium"/>
        <family val="3"/>
        <charset val="128"/>
      </rPr>
      <t>マンガ選書</t>
    </r>
    <r>
      <rPr>
        <sz val="11"/>
        <rFont val="Consolas"/>
        <family val="3"/>
      </rPr>
      <t>06</t>
    </r>
    <rPh sb="5" eb="7">
      <t>センショ</t>
    </rPh>
    <phoneticPr fontId="1"/>
  </si>
  <si>
    <r>
      <t>Book Off</t>
    </r>
    <r>
      <rPr>
        <sz val="11"/>
        <rFont val="游ゴシック Medium"/>
        <family val="3"/>
        <charset val="128"/>
      </rPr>
      <t>大久保</t>
    </r>
    <rPh sb="0" eb="4">
      <t>ブック</t>
    </rPh>
    <rPh sb="5" eb="8">
      <t>オフ</t>
    </rPh>
    <rPh sb="8" eb="11">
      <t>オオクボ</t>
    </rPh>
    <phoneticPr fontId="1"/>
  </si>
  <si>
    <r>
      <rPr>
        <sz val="11"/>
        <rFont val="游ゴシック Medium"/>
        <family val="3"/>
        <charset val="128"/>
      </rPr>
      <t>火の鳥</t>
    </r>
    <r>
      <rPr>
        <sz val="11"/>
        <rFont val="Consolas"/>
        <family val="3"/>
      </rPr>
      <t>/1/</t>
    </r>
    <r>
      <rPr>
        <sz val="11"/>
        <rFont val="游ゴシック Medium"/>
        <family val="3"/>
        <charset val="128"/>
      </rPr>
      <t>黎明編</t>
    </r>
    <rPh sb="0" eb="1">
      <t>ヒ</t>
    </rPh>
    <rPh sb="2" eb="3">
      <t>トリ</t>
    </rPh>
    <rPh sb="6" eb="8">
      <t>レイメイ</t>
    </rPh>
    <rPh sb="8" eb="9">
      <t>ヘン</t>
    </rPh>
    <phoneticPr fontId="1"/>
  </si>
  <si>
    <r>
      <rPr>
        <sz val="11"/>
        <rFont val="游ゴシック Medium"/>
        <family val="3"/>
        <charset val="128"/>
      </rPr>
      <t>月刊マンガ少年別冊</t>
    </r>
    <rPh sb="0" eb="2">
      <t>ゲッカン</t>
    </rPh>
    <rPh sb="5" eb="7">
      <t>ショウネン</t>
    </rPh>
    <rPh sb="7" eb="9">
      <t>ベッサツ</t>
    </rPh>
    <phoneticPr fontId="1"/>
  </si>
  <si>
    <r>
      <t>k,k</t>
    </r>
    <r>
      <rPr>
        <sz val="11"/>
        <rFont val="游ゴシック Medium"/>
        <family val="3"/>
        <charset val="128"/>
      </rPr>
      <t>から貸出中</t>
    </r>
    <rPh sb="5" eb="8">
      <t>カシダシチュウ</t>
    </rPh>
    <phoneticPr fontId="1"/>
  </si>
  <si>
    <r>
      <rPr>
        <sz val="11"/>
        <rFont val="游ゴシック Medium"/>
        <family val="3"/>
        <charset val="128"/>
      </rPr>
      <t>火の鳥</t>
    </r>
    <r>
      <rPr>
        <sz val="11"/>
        <rFont val="Consolas"/>
        <family val="3"/>
      </rPr>
      <t>/2/</t>
    </r>
    <r>
      <rPr>
        <sz val="11"/>
        <rFont val="游ゴシック Medium"/>
        <family val="3"/>
        <charset val="128"/>
      </rPr>
      <t>未来編</t>
    </r>
    <rPh sb="0" eb="1">
      <t>ヒ</t>
    </rPh>
    <rPh sb="2" eb="3">
      <t>トリ</t>
    </rPh>
    <rPh sb="6" eb="8">
      <t>ミライ</t>
    </rPh>
    <rPh sb="8" eb="9">
      <t>ヘン</t>
    </rPh>
    <phoneticPr fontId="1"/>
  </si>
  <si>
    <r>
      <rPr>
        <sz val="11"/>
        <rFont val="游ゴシック Medium"/>
        <family val="3"/>
        <charset val="128"/>
      </rPr>
      <t>火の鳥</t>
    </r>
    <r>
      <rPr>
        <sz val="11"/>
        <rFont val="Consolas"/>
        <family val="3"/>
      </rPr>
      <t>/3/</t>
    </r>
    <r>
      <rPr>
        <sz val="11"/>
        <rFont val="游ゴシック Medium"/>
        <family val="3"/>
        <charset val="128"/>
      </rPr>
      <t>ヤマト</t>
    </r>
    <r>
      <rPr>
        <sz val="8"/>
        <rFont val="游ゴシック Medium"/>
        <family val="3"/>
        <charset val="128"/>
      </rPr>
      <t>異形</t>
    </r>
    <r>
      <rPr>
        <sz val="11"/>
        <rFont val="游ゴシック Medium"/>
        <family val="3"/>
        <charset val="128"/>
      </rPr>
      <t>編</t>
    </r>
    <r>
      <rPr>
        <sz val="11"/>
        <rFont val="Consolas"/>
        <family val="3"/>
      </rPr>
      <t>/9/</t>
    </r>
    <r>
      <rPr>
        <sz val="11"/>
        <rFont val="游ゴシック Medium"/>
        <family val="3"/>
        <charset val="128"/>
      </rPr>
      <t>宇宙</t>
    </r>
    <r>
      <rPr>
        <sz val="8"/>
        <rFont val="游ゴシック Medium"/>
        <family val="3"/>
        <charset val="128"/>
      </rPr>
      <t>生命</t>
    </r>
    <r>
      <rPr>
        <sz val="11"/>
        <rFont val="游ゴシック Medium"/>
        <family val="3"/>
        <charset val="128"/>
      </rPr>
      <t>編</t>
    </r>
    <rPh sb="0" eb="1">
      <t>ヒ</t>
    </rPh>
    <rPh sb="2" eb="3">
      <t>トリ</t>
    </rPh>
    <rPh sb="9" eb="11">
      <t>イギョウ</t>
    </rPh>
    <rPh sb="11" eb="12">
      <t>ヘン</t>
    </rPh>
    <rPh sb="15" eb="17">
      <t>ウチュウ</t>
    </rPh>
    <rPh sb="17" eb="19">
      <t>セイメイ</t>
    </rPh>
    <rPh sb="19" eb="20">
      <t>ヘン</t>
    </rPh>
    <phoneticPr fontId="1"/>
  </si>
  <si>
    <r>
      <rPr>
        <sz val="11"/>
        <rFont val="游ゴシック Medium"/>
        <family val="3"/>
        <charset val="128"/>
      </rPr>
      <t>火の鳥</t>
    </r>
    <r>
      <rPr>
        <sz val="11"/>
        <rFont val="Consolas"/>
        <family val="3"/>
      </rPr>
      <t>/4/</t>
    </r>
    <r>
      <rPr>
        <sz val="11"/>
        <rFont val="游ゴシック Medium"/>
        <family val="3"/>
        <charset val="128"/>
      </rPr>
      <t>鳳凰編</t>
    </r>
    <rPh sb="0" eb="1">
      <t>ヒ</t>
    </rPh>
    <rPh sb="2" eb="3">
      <t>トリ</t>
    </rPh>
    <rPh sb="6" eb="8">
      <t>ホウオウ</t>
    </rPh>
    <rPh sb="8" eb="9">
      <t>ヘン</t>
    </rPh>
    <phoneticPr fontId="1"/>
  </si>
  <si>
    <r>
      <t>COM</t>
    </r>
    <r>
      <rPr>
        <sz val="11"/>
        <rFont val="游ゴシック Medium"/>
        <family val="3"/>
        <charset val="128"/>
      </rPr>
      <t>名作コミックス⑤</t>
    </r>
    <rPh sb="3" eb="5">
      <t>メイサク</t>
    </rPh>
    <phoneticPr fontId="1"/>
  </si>
  <si>
    <r>
      <rPr>
        <sz val="11"/>
        <rFont val="游ゴシック Medium"/>
        <family val="3"/>
        <charset val="128"/>
      </rPr>
      <t>虫プロ商事㈱</t>
    </r>
    <rPh sb="0" eb="1">
      <t>ムシ</t>
    </rPh>
    <rPh sb="3" eb="5">
      <t>ショウジ</t>
    </rPh>
    <phoneticPr fontId="1"/>
  </si>
  <si>
    <r>
      <rPr>
        <sz val="11"/>
        <rFont val="游ゴシック Medium"/>
        <family val="3"/>
        <charset val="128"/>
      </rPr>
      <t>火の鳥</t>
    </r>
    <r>
      <rPr>
        <sz val="11"/>
        <rFont val="Consolas"/>
        <family val="3"/>
      </rPr>
      <t>/5/</t>
    </r>
    <r>
      <rPr>
        <sz val="11"/>
        <rFont val="游ゴシック Medium"/>
        <family val="3"/>
        <charset val="128"/>
      </rPr>
      <t>復活</t>
    </r>
    <r>
      <rPr>
        <sz val="8"/>
        <rFont val="游ゴシック Medium"/>
        <family val="3"/>
        <charset val="128"/>
      </rPr>
      <t>羽衣</t>
    </r>
    <r>
      <rPr>
        <sz val="11"/>
        <rFont val="游ゴシック Medium"/>
        <family val="3"/>
        <charset val="128"/>
      </rPr>
      <t>編</t>
    </r>
    <rPh sb="0" eb="1">
      <t>ヒ</t>
    </rPh>
    <rPh sb="2" eb="3">
      <t>トリ</t>
    </rPh>
    <rPh sb="6" eb="8">
      <t>フッカツ</t>
    </rPh>
    <rPh sb="8" eb="10">
      <t>ハゴロモ</t>
    </rPh>
    <rPh sb="10" eb="11">
      <t>ヘン</t>
    </rPh>
    <phoneticPr fontId="1"/>
  </si>
  <si>
    <r>
      <rPr>
        <sz val="11"/>
        <rFont val="游ゴシック Medium"/>
        <family val="3"/>
        <charset val="128"/>
      </rPr>
      <t>火の鳥</t>
    </r>
    <r>
      <rPr>
        <sz val="11"/>
        <rFont val="Consolas"/>
        <family val="3"/>
      </rPr>
      <t>/6/</t>
    </r>
    <r>
      <rPr>
        <sz val="11"/>
        <rFont val="游ゴシック Medium"/>
        <family val="3"/>
        <charset val="128"/>
      </rPr>
      <t>望郷編</t>
    </r>
    <rPh sb="0" eb="1">
      <t>ヒ</t>
    </rPh>
    <rPh sb="2" eb="3">
      <t>トリ</t>
    </rPh>
    <rPh sb="6" eb="8">
      <t>ボウキョウ</t>
    </rPh>
    <rPh sb="8" eb="9">
      <t>ヘン</t>
    </rPh>
    <phoneticPr fontId="1"/>
  </si>
  <si>
    <r>
      <rPr>
        <sz val="11"/>
        <rFont val="游ゴシック Medium"/>
        <family val="3"/>
        <charset val="128"/>
      </rPr>
      <t>有楽町線池袋改札前</t>
    </r>
    <rPh sb="0" eb="4">
      <t>ユウラクチョウセン</t>
    </rPh>
    <rPh sb="4" eb="6">
      <t>イケブクロ</t>
    </rPh>
    <rPh sb="6" eb="8">
      <t>カイサツ</t>
    </rPh>
    <rPh sb="8" eb="9">
      <t>マエ</t>
    </rPh>
    <phoneticPr fontId="1"/>
  </si>
  <si>
    <r>
      <rPr>
        <sz val="11"/>
        <rFont val="游ゴシック Medium"/>
        <family val="3"/>
        <charset val="128"/>
      </rPr>
      <t>ひどい。説明なしに省略して掲載。</t>
    </r>
    <rPh sb="4" eb="6">
      <t>セツメイ</t>
    </rPh>
    <rPh sb="9" eb="11">
      <t>ショウリャク</t>
    </rPh>
    <rPh sb="13" eb="15">
      <t>ケイサイ</t>
    </rPh>
    <phoneticPr fontId="1"/>
  </si>
  <si>
    <r>
      <rPr>
        <sz val="11"/>
        <rFont val="游ゴシック Medium"/>
        <family val="3"/>
        <charset val="128"/>
      </rPr>
      <t>とりのなん子</t>
    </r>
    <rPh sb="5" eb="6">
      <t>コ</t>
    </rPh>
    <phoneticPr fontId="1"/>
  </si>
  <si>
    <r>
      <rPr>
        <sz val="11"/>
        <rFont val="游ゴシック Medium"/>
        <family val="3"/>
        <charset val="128"/>
      </rPr>
      <t>とりぱん</t>
    </r>
    <phoneticPr fontId="1"/>
  </si>
  <si>
    <r>
      <rPr>
        <sz val="11"/>
        <rFont val="游ゴシック Medium"/>
        <family val="3"/>
        <charset val="128"/>
      </rPr>
      <t>ワイド</t>
    </r>
    <r>
      <rPr>
        <sz val="11"/>
        <rFont val="Consolas"/>
        <family val="3"/>
      </rPr>
      <t>KC</t>
    </r>
    <r>
      <rPr>
        <sz val="11"/>
        <rFont val="游ゴシック Medium"/>
        <family val="3"/>
        <charset val="128"/>
      </rPr>
      <t>モーニング</t>
    </r>
    <phoneticPr fontId="1"/>
  </si>
  <si>
    <r>
      <rPr>
        <sz val="11"/>
        <rFont val="游ゴシック Medium"/>
        <family val="3"/>
        <charset val="128"/>
      </rPr>
      <t>中崎タツヤ</t>
    </r>
    <rPh sb="0" eb="2">
      <t>ナカザキ</t>
    </rPh>
    <phoneticPr fontId="1"/>
  </si>
  <si>
    <r>
      <rPr>
        <sz val="11"/>
        <rFont val="游ゴシック Medium"/>
        <family val="3"/>
        <charset val="128"/>
      </rPr>
      <t>作品集③お勉強</t>
    </r>
    <rPh sb="0" eb="3">
      <t>サクヒンシュウ</t>
    </rPh>
    <rPh sb="4" eb="7">
      <t>オベンキョウ</t>
    </rPh>
    <phoneticPr fontId="1"/>
  </si>
  <si>
    <r>
      <rPr>
        <sz val="11"/>
        <rFont val="游ゴシック Medium"/>
        <family val="3"/>
        <charset val="128"/>
      </rPr>
      <t>問題サラリー</t>
    </r>
    <r>
      <rPr>
        <sz val="11"/>
        <rFont val="Consolas"/>
        <family val="3"/>
      </rPr>
      <t>Man</t>
    </r>
    <rPh sb="0" eb="2">
      <t>モンダイ</t>
    </rPh>
    <rPh sb="6" eb="9">
      <t>マン</t>
    </rPh>
    <phoneticPr fontId="1"/>
  </si>
  <si>
    <r>
      <rPr>
        <sz val="11"/>
        <rFont val="游ゴシック Medium"/>
        <family val="3"/>
        <charset val="128"/>
      </rPr>
      <t>日本文芸社</t>
    </r>
    <rPh sb="0" eb="5">
      <t>ニホンブンゲイシャ</t>
    </rPh>
    <phoneticPr fontId="1"/>
  </si>
  <si>
    <r>
      <rPr>
        <sz val="11"/>
        <rFont val="游ゴシック Medium"/>
        <family val="3"/>
        <charset val="128"/>
      </rPr>
      <t>啓蒙かまぼこ新聞</t>
    </r>
    <rPh sb="0" eb="2">
      <t>ケイモウ</t>
    </rPh>
    <rPh sb="6" eb="8">
      <t>シンブン</t>
    </rPh>
    <phoneticPr fontId="1"/>
  </si>
  <si>
    <r>
      <rPr>
        <sz val="11"/>
        <rFont val="游ゴシック Medium"/>
        <family val="3"/>
        <charset val="128"/>
      </rPr>
      <t>ビレッジプレス</t>
    </r>
    <phoneticPr fontId="1"/>
  </si>
  <si>
    <r>
      <rPr>
        <sz val="11"/>
        <rFont val="游ゴシック Medium"/>
        <family val="3"/>
        <charset val="128"/>
      </rPr>
      <t>微笑家族</t>
    </r>
    <rPh sb="0" eb="2">
      <t>ホホエミ</t>
    </rPh>
    <rPh sb="2" eb="4">
      <t>カゾク</t>
    </rPh>
    <phoneticPr fontId="1"/>
  </si>
  <si>
    <r>
      <t>comic/</t>
    </r>
    <r>
      <rPr>
        <sz val="11"/>
        <rFont val="游ゴシック Medium"/>
        <family val="3"/>
        <charset val="128"/>
      </rPr>
      <t>身内</t>
    </r>
    <rPh sb="6" eb="8">
      <t>ミウチ</t>
    </rPh>
    <phoneticPr fontId="1"/>
  </si>
  <si>
    <r>
      <rPr>
        <sz val="11"/>
        <rFont val="游ゴシック Medium"/>
        <family val="3"/>
        <charset val="128"/>
      </rPr>
      <t>ナカタニ</t>
    </r>
    <r>
      <rPr>
        <sz val="11"/>
        <rFont val="Consolas"/>
        <family val="3"/>
      </rPr>
      <t>D./Doctor Nakatani</t>
    </r>
    <phoneticPr fontId="1"/>
  </si>
  <si>
    <r>
      <rPr>
        <sz val="11"/>
        <rFont val="游ゴシック Medium"/>
        <family val="3"/>
        <charset val="128"/>
      </rPr>
      <t>東京都立不安病院</t>
    </r>
    <rPh sb="0" eb="2">
      <t>トウキョウ</t>
    </rPh>
    <rPh sb="2" eb="4">
      <t>トリツ</t>
    </rPh>
    <rPh sb="4" eb="6">
      <t>フアン</t>
    </rPh>
    <rPh sb="6" eb="8">
      <t>ビョウイン</t>
    </rPh>
    <phoneticPr fontId="1"/>
  </si>
  <si>
    <r>
      <rPr>
        <sz val="11"/>
        <rFont val="游ゴシック Medium"/>
        <family val="3"/>
        <charset val="128"/>
      </rPr>
      <t>宮下省死の芝居</t>
    </r>
    <rPh sb="0" eb="2">
      <t>ミヤシタ</t>
    </rPh>
    <rPh sb="2" eb="4">
      <t>セイシ</t>
    </rPh>
    <rPh sb="5" eb="7">
      <t>シバイ</t>
    </rPh>
    <phoneticPr fontId="1"/>
  </si>
  <si>
    <r>
      <rPr>
        <sz val="11"/>
        <rFont val="游ゴシック Medium"/>
        <family val="3"/>
        <charset val="128"/>
      </rPr>
      <t>ならやたかし</t>
    </r>
    <phoneticPr fontId="1"/>
  </si>
  <si>
    <r>
      <rPr>
        <sz val="11"/>
        <rFont val="游ゴシック Medium"/>
        <family val="3"/>
        <charset val="128"/>
      </rPr>
      <t>ケンペーくん</t>
    </r>
    <phoneticPr fontId="1"/>
  </si>
  <si>
    <r>
      <rPr>
        <sz val="11"/>
        <rFont val="游ゴシック Medium"/>
        <family val="3"/>
        <charset val="128"/>
      </rPr>
      <t>ラ･テール出版局</t>
    </r>
    <rPh sb="5" eb="8">
      <t>シュッパンキョク</t>
    </rPh>
    <phoneticPr fontId="1"/>
  </si>
  <si>
    <r>
      <rPr>
        <strike/>
        <sz val="11"/>
        <rFont val="游ゴシック Medium"/>
        <family val="3"/>
        <charset val="128"/>
      </rPr>
      <t>羽中ルイ</t>
    </r>
    <rPh sb="0" eb="2">
      <t>ハチュウ</t>
    </rPh>
    <phoneticPr fontId="1"/>
  </si>
  <si>
    <r>
      <rPr>
        <strike/>
        <sz val="11"/>
        <rFont val="游ゴシック Medium"/>
        <family val="3"/>
        <charset val="128"/>
      </rPr>
      <t>作品集</t>
    </r>
    <rPh sb="0" eb="2">
      <t>サクヒン</t>
    </rPh>
    <rPh sb="2" eb="3">
      <t>シュウ</t>
    </rPh>
    <phoneticPr fontId="1"/>
  </si>
  <si>
    <r>
      <rPr>
        <strike/>
        <sz val="11"/>
        <rFont val="游ゴシック Medium"/>
        <family val="3"/>
        <charset val="128"/>
      </rPr>
      <t>官能詩人･羽中ルイ</t>
    </r>
    <rPh sb="0" eb="2">
      <t>カンノウ</t>
    </rPh>
    <rPh sb="2" eb="4">
      <t>シジン</t>
    </rPh>
    <rPh sb="5" eb="7">
      <t>ハチュウ</t>
    </rPh>
    <phoneticPr fontId="1"/>
  </si>
  <si>
    <r>
      <rPr>
        <strike/>
        <sz val="11"/>
        <rFont val="游ゴシック Medium"/>
        <family val="3"/>
        <charset val="128"/>
      </rPr>
      <t>新官能劇画大全</t>
    </r>
    <r>
      <rPr>
        <strike/>
        <sz val="11"/>
        <rFont val="Consolas"/>
        <family val="3"/>
      </rPr>
      <t>3</t>
    </r>
    <rPh sb="0" eb="1">
      <t>シン</t>
    </rPh>
    <rPh sb="1" eb="3">
      <t>カンノウ</t>
    </rPh>
    <rPh sb="3" eb="5">
      <t>ゲキガ</t>
    </rPh>
    <rPh sb="5" eb="7">
      <t>タイゼン</t>
    </rPh>
    <phoneticPr fontId="1"/>
  </si>
  <si>
    <r>
      <t>2001/12/31_Art Guild</t>
    </r>
    <r>
      <rPr>
        <strike/>
        <sz val="11"/>
        <rFont val="游ゴシック Medium"/>
        <family val="3"/>
        <charset val="128"/>
      </rPr>
      <t>のプレゼント交換で</t>
    </r>
    <r>
      <rPr>
        <strike/>
        <sz val="11"/>
        <rFont val="Consolas"/>
        <family val="3"/>
      </rPr>
      <t>[</t>
    </r>
    <r>
      <rPr>
        <strike/>
        <sz val="11"/>
        <rFont val="游ゴシック Medium"/>
        <family val="3"/>
        <charset val="128"/>
      </rPr>
      <t>日本人の清潔がアブナイ</t>
    </r>
    <r>
      <rPr>
        <strike/>
        <sz val="11"/>
        <rFont val="Consolas"/>
        <family val="3"/>
      </rPr>
      <t>!]</t>
    </r>
    <r>
      <rPr>
        <strike/>
        <sz val="11"/>
        <rFont val="游ゴシック Medium"/>
        <family val="3"/>
        <charset val="128"/>
      </rPr>
      <t>と共に始末</t>
    </r>
    <rPh sb="11" eb="20">
      <t>アートギルド</t>
    </rPh>
    <rPh sb="26" eb="28">
      <t>コウカン</t>
    </rPh>
    <rPh sb="30" eb="33">
      <t>ニホンジン</t>
    </rPh>
    <rPh sb="34" eb="36">
      <t>セイケツ</t>
    </rPh>
    <rPh sb="44" eb="45">
      <t>トモ</t>
    </rPh>
    <rPh sb="46" eb="48">
      <t>シマツ</t>
    </rPh>
    <phoneticPr fontId="1"/>
  </si>
  <si>
    <r>
      <rPr>
        <sz val="11"/>
        <rFont val="游ゴシック Medium"/>
        <family val="3"/>
        <charset val="128"/>
      </rPr>
      <t>原</t>
    </r>
    <r>
      <rPr>
        <sz val="11"/>
        <rFont val="Consolas"/>
        <family val="3"/>
      </rPr>
      <t xml:space="preserve"> </t>
    </r>
    <r>
      <rPr>
        <sz val="11"/>
        <rFont val="游ゴシック Medium"/>
        <family val="3"/>
        <charset val="128"/>
      </rPr>
      <t>律子</t>
    </r>
    <rPh sb="0" eb="1">
      <t>ハラ</t>
    </rPh>
    <rPh sb="2" eb="4">
      <t>リツコ</t>
    </rPh>
    <phoneticPr fontId="1"/>
  </si>
  <si>
    <r>
      <rPr>
        <sz val="11"/>
        <rFont val="游ゴシック Medium"/>
        <family val="3"/>
        <charset val="128"/>
      </rPr>
      <t>ヲホホの園</t>
    </r>
    <rPh sb="4" eb="5">
      <t>ソノ</t>
    </rPh>
    <phoneticPr fontId="1"/>
  </si>
  <si>
    <r>
      <rPr>
        <sz val="11"/>
        <rFont val="游ゴシック Medium"/>
        <family val="3"/>
        <charset val="128"/>
      </rPr>
      <t>改訂版大日本帝國萬画</t>
    </r>
    <rPh sb="0" eb="3">
      <t>カイテイバン</t>
    </rPh>
    <rPh sb="3" eb="6">
      <t>ダイニホン</t>
    </rPh>
    <rPh sb="6" eb="8">
      <t>テイコク</t>
    </rPh>
    <rPh sb="8" eb="9">
      <t>マン</t>
    </rPh>
    <rPh sb="9" eb="10">
      <t>ガ</t>
    </rPh>
    <phoneticPr fontId="1"/>
  </si>
  <si>
    <r>
      <rPr>
        <sz val="11"/>
        <rFont val="游ゴシック Medium"/>
        <family val="3"/>
        <charset val="128"/>
      </rPr>
      <t>久松文雄</t>
    </r>
    <rPh sb="0" eb="2">
      <t>ヒサマツ</t>
    </rPh>
    <rPh sb="2" eb="4">
      <t>フミオ</t>
    </rPh>
    <phoneticPr fontId="1"/>
  </si>
  <si>
    <r>
      <rPr>
        <sz val="11"/>
        <rFont val="游ゴシック Medium"/>
        <family val="3"/>
        <charset val="128"/>
      </rPr>
      <t>冒険ガボテン島</t>
    </r>
    <r>
      <rPr>
        <sz val="11"/>
        <rFont val="Consolas"/>
        <family val="3"/>
      </rPr>
      <t xml:space="preserve"> </t>
    </r>
    <r>
      <rPr>
        <sz val="11"/>
        <rFont val="游ゴシック Medium"/>
        <family val="3"/>
        <charset val="128"/>
      </rPr>
      <t>上</t>
    </r>
    <rPh sb="0" eb="2">
      <t>ボウケン</t>
    </rPh>
    <rPh sb="6" eb="7">
      <t>ジマ</t>
    </rPh>
    <rPh sb="8" eb="9">
      <t>ジョウ</t>
    </rPh>
    <phoneticPr fontId="1"/>
  </si>
  <si>
    <r>
      <rPr>
        <sz val="11"/>
        <rFont val="游ゴシック Medium"/>
        <family val="3"/>
        <charset val="128"/>
      </rPr>
      <t>上</t>
    </r>
    <rPh sb="0" eb="1">
      <t>ジョウ</t>
    </rPh>
    <phoneticPr fontId="1"/>
  </si>
  <si>
    <r>
      <rPr>
        <sz val="11"/>
        <rFont val="游ゴシック Medium"/>
        <family val="3"/>
        <charset val="128"/>
      </rPr>
      <t>マンガショップ</t>
    </r>
    <phoneticPr fontId="1"/>
  </si>
  <si>
    <r>
      <rPr>
        <sz val="11"/>
        <rFont val="游ゴシック Medium"/>
        <family val="3"/>
        <charset val="128"/>
      </rPr>
      <t>冒険ガボテン島</t>
    </r>
    <r>
      <rPr>
        <sz val="11"/>
        <rFont val="Consolas"/>
        <family val="3"/>
      </rPr>
      <t xml:space="preserve"> </t>
    </r>
    <r>
      <rPr>
        <sz val="11"/>
        <rFont val="游ゴシック Medium"/>
        <family val="3"/>
        <charset val="128"/>
      </rPr>
      <t>下</t>
    </r>
    <rPh sb="0" eb="2">
      <t>ボウケン</t>
    </rPh>
    <rPh sb="6" eb="7">
      <t>ジマ</t>
    </rPh>
    <rPh sb="8" eb="9">
      <t>ゲ</t>
    </rPh>
    <phoneticPr fontId="1"/>
  </si>
  <si>
    <r>
      <rPr>
        <sz val="11"/>
        <rFont val="游ゴシック Medium"/>
        <family val="3"/>
        <charset val="128"/>
      </rPr>
      <t>下</t>
    </r>
    <rPh sb="0" eb="1">
      <t>ゲ</t>
    </rPh>
    <phoneticPr fontId="1"/>
  </si>
  <si>
    <r>
      <rPr>
        <sz val="11"/>
        <rFont val="游ゴシック Medium"/>
        <family val="3"/>
        <charset val="128"/>
      </rPr>
      <t>ふくしま政美</t>
    </r>
    <rPh sb="4" eb="6">
      <t>マサミ</t>
    </rPh>
    <phoneticPr fontId="1"/>
  </si>
  <si>
    <r>
      <rPr>
        <sz val="11"/>
        <rFont val="游ゴシック Medium"/>
        <family val="3"/>
        <charset val="128"/>
      </rPr>
      <t>劇画</t>
    </r>
    <rPh sb="0" eb="2">
      <t>ゲキガ</t>
    </rPh>
    <phoneticPr fontId="1"/>
  </si>
  <si>
    <r>
      <rPr>
        <sz val="11"/>
        <rFont val="游ゴシック Medium"/>
        <family val="3"/>
        <charset val="128"/>
      </rPr>
      <t>女犯坊</t>
    </r>
    <r>
      <rPr>
        <sz val="11"/>
        <rFont val="Consolas"/>
        <family val="3"/>
      </rPr>
      <t>/</t>
    </r>
    <r>
      <rPr>
        <sz val="11"/>
        <rFont val="游ゴシック Medium"/>
        <family val="3"/>
        <charset val="128"/>
      </rPr>
      <t>怒根鉄槌篇</t>
    </r>
    <rPh sb="0" eb="1">
      <t>ニョ</t>
    </rPh>
    <rPh sb="1" eb="2">
      <t>ハン</t>
    </rPh>
    <rPh sb="2" eb="3">
      <t>ボウ</t>
    </rPh>
    <rPh sb="4" eb="5">
      <t>ド</t>
    </rPh>
    <rPh sb="5" eb="6">
      <t>コン</t>
    </rPh>
    <rPh sb="6" eb="8">
      <t>テッツイ</t>
    </rPh>
    <rPh sb="8" eb="9">
      <t>ヘン</t>
    </rPh>
    <phoneticPr fontId="1"/>
  </si>
  <si>
    <r>
      <t>QJ</t>
    </r>
    <r>
      <rPr>
        <sz val="11"/>
        <rFont val="游ゴシック Medium"/>
        <family val="3"/>
        <charset val="128"/>
      </rPr>
      <t>マンガ選書</t>
    </r>
    <r>
      <rPr>
        <sz val="11"/>
        <rFont val="Consolas"/>
        <family val="3"/>
      </rPr>
      <t>05</t>
    </r>
    <rPh sb="5" eb="7">
      <t>センショ</t>
    </rPh>
    <phoneticPr fontId="1"/>
  </si>
  <si>
    <r>
      <rPr>
        <sz val="11"/>
        <rFont val="游ゴシック Medium"/>
        <family val="3"/>
        <charset val="128"/>
      </rPr>
      <t>藤子不二雄</t>
    </r>
    <r>
      <rPr>
        <u/>
        <sz val="11"/>
        <rFont val="Consolas"/>
        <family val="3"/>
      </rPr>
      <t>A</t>
    </r>
    <rPh sb="0" eb="2">
      <t>フジコ</t>
    </rPh>
    <rPh sb="2" eb="5">
      <t>フジオ</t>
    </rPh>
    <phoneticPr fontId="1"/>
  </si>
  <si>
    <r>
      <rPr>
        <sz val="11"/>
        <rFont val="游ゴシック Medium"/>
        <family val="3"/>
        <charset val="128"/>
      </rPr>
      <t>毛沢東の長征</t>
    </r>
    <r>
      <rPr>
        <sz val="11"/>
        <rFont val="Consolas"/>
        <family val="3"/>
      </rPr>
      <t>/</t>
    </r>
    <r>
      <rPr>
        <sz val="11"/>
        <rFont val="游ゴシック Medium"/>
        <family val="3"/>
        <charset val="128"/>
      </rPr>
      <t>中華人民共和国の青春</t>
    </r>
    <rPh sb="0" eb="3">
      <t>モウタクトウ</t>
    </rPh>
    <rPh sb="4" eb="6">
      <t>チョウセイ</t>
    </rPh>
    <rPh sb="7" eb="14">
      <t>チュウカジンミンキョウワコク</t>
    </rPh>
    <rPh sb="15" eb="17">
      <t>セイシュン</t>
    </rPh>
    <phoneticPr fontId="1"/>
  </si>
  <si>
    <r>
      <rPr>
        <sz val="11"/>
        <rFont val="游ゴシック Medium"/>
        <family val="3"/>
        <charset val="128"/>
      </rPr>
      <t>古谷三敏</t>
    </r>
    <rPh sb="0" eb="2">
      <t>フルヤ</t>
    </rPh>
    <rPh sb="2" eb="4">
      <t>ミツトシ</t>
    </rPh>
    <phoneticPr fontId="1"/>
  </si>
  <si>
    <r>
      <rPr>
        <sz val="11"/>
        <rFont val="游ゴシック Medium"/>
        <family val="3"/>
        <charset val="128"/>
      </rPr>
      <t>ファミリー企画</t>
    </r>
    <rPh sb="5" eb="7">
      <t>キカク</t>
    </rPh>
    <phoneticPr fontId="1"/>
  </si>
  <si>
    <r>
      <rPr>
        <sz val="11"/>
        <rFont val="游ゴシック Medium"/>
        <family val="3"/>
        <charset val="128"/>
      </rPr>
      <t>寄席芸人伝</t>
    </r>
    <r>
      <rPr>
        <sz val="11"/>
        <rFont val="Consolas"/>
        <family val="3"/>
      </rPr>
      <t>/8/</t>
    </r>
    <r>
      <rPr>
        <sz val="11"/>
        <rFont val="游ゴシック Medium"/>
        <family val="3"/>
        <charset val="128"/>
      </rPr>
      <t>質入れ遊喬</t>
    </r>
    <rPh sb="0" eb="2">
      <t>ヨセ</t>
    </rPh>
    <rPh sb="2" eb="4">
      <t>ゲイニン</t>
    </rPh>
    <rPh sb="4" eb="5">
      <t>デン</t>
    </rPh>
    <rPh sb="8" eb="10">
      <t>シチイ</t>
    </rPh>
    <rPh sb="11" eb="13">
      <t>ユウキョウ</t>
    </rPh>
    <phoneticPr fontId="1"/>
  </si>
  <si>
    <r>
      <rPr>
        <sz val="11"/>
        <rFont val="游ゴシック Medium"/>
        <family val="3"/>
        <charset val="128"/>
      </rPr>
      <t>富塚研二から</t>
    </r>
    <rPh sb="0" eb="4">
      <t>トミヅカ</t>
    </rPh>
    <phoneticPr fontId="1"/>
  </si>
  <si>
    <r>
      <rPr>
        <sz val="11"/>
        <rFont val="游ゴシック Medium"/>
        <family val="3"/>
        <charset val="128"/>
      </rPr>
      <t>ほりのぶゆき</t>
    </r>
    <phoneticPr fontId="1"/>
  </si>
  <si>
    <r>
      <rPr>
        <sz val="11"/>
        <rFont val="游ゴシック Medium"/>
        <family val="3"/>
        <charset val="128"/>
      </rPr>
      <t>もののふの記</t>
    </r>
    <rPh sb="5" eb="6">
      <t>キ</t>
    </rPh>
    <phoneticPr fontId="1"/>
  </si>
  <si>
    <r>
      <rPr>
        <sz val="11"/>
        <rFont val="游ゴシック Medium"/>
        <family val="3"/>
        <charset val="128"/>
      </rPr>
      <t>松井雪子</t>
    </r>
    <rPh sb="0" eb="2">
      <t>マツイ</t>
    </rPh>
    <rPh sb="2" eb="4">
      <t>ユキコ</t>
    </rPh>
    <phoneticPr fontId="1"/>
  </si>
  <si>
    <r>
      <rPr>
        <sz val="11"/>
        <rFont val="游ゴシック Medium"/>
        <family val="3"/>
        <charset val="128"/>
      </rPr>
      <t>おじゃましまっそ</t>
    </r>
    <phoneticPr fontId="1"/>
  </si>
  <si>
    <r>
      <rPr>
        <sz val="11"/>
        <rFont val="游ゴシック Medium"/>
        <family val="3"/>
        <charset val="128"/>
      </rPr>
      <t>謎のオンナＶ</t>
    </r>
    <rPh sb="0" eb="1">
      <t>ナゾ</t>
    </rPh>
    <phoneticPr fontId="1"/>
  </si>
  <si>
    <r>
      <rPr>
        <sz val="11"/>
        <rFont val="游ゴシック Medium"/>
        <family val="3"/>
        <charset val="128"/>
      </rPr>
      <t>松田洋子</t>
    </r>
    <rPh sb="0" eb="2">
      <t>マツダ</t>
    </rPh>
    <rPh sb="2" eb="4">
      <t>ヒロコ</t>
    </rPh>
    <phoneticPr fontId="1"/>
  </si>
  <si>
    <r>
      <rPr>
        <sz val="11"/>
        <rFont val="游ゴシック Medium"/>
        <family val="3"/>
        <charset val="128"/>
      </rPr>
      <t>リスペクター</t>
    </r>
    <r>
      <rPr>
        <sz val="11"/>
        <rFont val="Consolas"/>
        <family val="3"/>
      </rPr>
      <t>/</t>
    </r>
    <r>
      <rPr>
        <sz val="11"/>
        <rFont val="游ゴシック Medium"/>
        <family val="3"/>
        <charset val="128"/>
      </rPr>
      <t>秘密の花園結社</t>
    </r>
    <rPh sb="7" eb="9">
      <t>ヒミツ</t>
    </rPh>
    <rPh sb="10" eb="12">
      <t>ハナゾノ</t>
    </rPh>
    <rPh sb="12" eb="14">
      <t>ケッシャ</t>
    </rPh>
    <phoneticPr fontId="1"/>
  </si>
  <si>
    <r>
      <rPr>
        <b/>
        <sz val="11"/>
        <color indexed="33"/>
        <rFont val="游ゴシック Medium"/>
        <family val="3"/>
        <charset val="128"/>
      </rPr>
      <t>薫の秘話</t>
    </r>
    <rPh sb="0" eb="1">
      <t>カオル</t>
    </rPh>
    <rPh sb="2" eb="4">
      <t>ヒワ</t>
    </rPh>
    <phoneticPr fontId="1"/>
  </si>
  <si>
    <r>
      <rPr>
        <sz val="11"/>
        <rFont val="游ゴシック Medium"/>
        <family val="3"/>
        <charset val="128"/>
      </rPr>
      <t>モーニング</t>
    </r>
    <r>
      <rPr>
        <sz val="11"/>
        <rFont val="Consolas"/>
        <family val="3"/>
      </rPr>
      <t>KC</t>
    </r>
    <phoneticPr fontId="1"/>
  </si>
  <si>
    <r>
      <rPr>
        <sz val="11"/>
        <rFont val="游ゴシック Medium"/>
        <family val="3"/>
        <charset val="128"/>
      </rPr>
      <t>講談社</t>
    </r>
    <r>
      <rPr>
        <sz val="11"/>
        <rFont val="Consolas"/>
        <family val="3"/>
      </rPr>
      <t>Comics</t>
    </r>
    <rPh sb="0" eb="3">
      <t>コウダンシャ</t>
    </rPh>
    <rPh sb="3" eb="9">
      <t>コミックス</t>
    </rPh>
    <phoneticPr fontId="1"/>
  </si>
  <si>
    <r>
      <rPr>
        <sz val="11"/>
        <rFont val="游ゴシック Medium"/>
        <family val="3"/>
        <charset val="128"/>
      </rPr>
      <t>第</t>
    </r>
    <r>
      <rPr>
        <sz val="11"/>
        <rFont val="Consolas"/>
        <family val="3"/>
      </rPr>
      <t>2</t>
    </r>
    <r>
      <rPr>
        <sz val="11"/>
        <rFont val="游ゴシック Medium"/>
        <family val="3"/>
        <charset val="128"/>
      </rPr>
      <t>巻は</t>
    </r>
    <r>
      <rPr>
        <sz val="11"/>
        <rFont val="Consolas"/>
        <family val="3"/>
      </rPr>
      <t>k,h</t>
    </r>
    <r>
      <rPr>
        <sz val="11"/>
        <rFont val="游ゴシック Medium"/>
        <family val="3"/>
        <charset val="128"/>
      </rPr>
      <t>より郵送費込</t>
    </r>
    <r>
      <rPr>
        <sz val="11"/>
        <rFont val="Consolas"/>
        <family val="3"/>
      </rPr>
      <t>2000</t>
    </r>
    <rPh sb="0" eb="1">
      <t>ダイ</t>
    </rPh>
    <rPh sb="2" eb="3">
      <t>カン</t>
    </rPh>
    <rPh sb="9" eb="12">
      <t>ユウソウヒ</t>
    </rPh>
    <rPh sb="12" eb="13">
      <t>コミ</t>
    </rPh>
    <phoneticPr fontId="1"/>
  </si>
  <si>
    <r>
      <t>KC</t>
    </r>
    <r>
      <rPr>
        <sz val="11"/>
        <rFont val="游ゴシック Medium"/>
        <family val="3"/>
        <charset val="128"/>
      </rPr>
      <t>デラックス</t>
    </r>
    <r>
      <rPr>
        <sz val="11"/>
        <rFont val="Consolas"/>
        <family val="3"/>
      </rPr>
      <t>/16</t>
    </r>
    <phoneticPr fontId="1"/>
  </si>
  <si>
    <r>
      <rPr>
        <sz val="11"/>
        <rFont val="游ゴシック Medium"/>
        <family val="3"/>
        <charset val="128"/>
      </rPr>
      <t>カッパの三平</t>
    </r>
    <rPh sb="4" eb="6">
      <t>サンペイ</t>
    </rPh>
    <phoneticPr fontId="1"/>
  </si>
  <si>
    <r>
      <rPr>
        <sz val="11"/>
        <rFont val="游ゴシック Medium"/>
        <family val="3"/>
        <charset val="128"/>
      </rPr>
      <t>月刊「ぼくら」連載版･完全復刻</t>
    </r>
    <rPh sb="0" eb="2">
      <t>ゲッカン</t>
    </rPh>
    <rPh sb="7" eb="9">
      <t>レンサイ</t>
    </rPh>
    <rPh sb="9" eb="10">
      <t>バン</t>
    </rPh>
    <rPh sb="11" eb="13">
      <t>カンゼン</t>
    </rPh>
    <rPh sb="13" eb="15">
      <t>フッコク</t>
    </rPh>
    <phoneticPr fontId="1"/>
  </si>
  <si>
    <r>
      <rPr>
        <b/>
        <sz val="11"/>
        <color indexed="33"/>
        <rFont val="游ゴシック Medium"/>
        <family val="3"/>
        <charset val="128"/>
      </rPr>
      <t>カッパの三平</t>
    </r>
    <rPh sb="4" eb="6">
      <t>サンペイ</t>
    </rPh>
    <phoneticPr fontId="1"/>
  </si>
  <si>
    <r>
      <rPr>
        <sz val="11"/>
        <rFont val="游ゴシック Medium"/>
        <family val="3"/>
        <charset val="128"/>
      </rPr>
      <t>成増</t>
    </r>
    <rPh sb="0" eb="2">
      <t>ナリマス</t>
    </rPh>
    <phoneticPr fontId="1"/>
  </si>
  <si>
    <r>
      <rPr>
        <b/>
        <sz val="11"/>
        <color indexed="33"/>
        <rFont val="游ゴシック Medium"/>
        <family val="3"/>
        <charset val="128"/>
      </rPr>
      <t>今昔物語</t>
    </r>
    <rPh sb="0" eb="2">
      <t>コンジャク</t>
    </rPh>
    <rPh sb="2" eb="4">
      <t>モノガタリ</t>
    </rPh>
    <phoneticPr fontId="1"/>
  </si>
  <si>
    <r>
      <rPr>
        <sz val="11"/>
        <rFont val="游ゴシック Medium"/>
        <family val="3"/>
        <charset val="128"/>
      </rPr>
      <t>マンガ日本の古典</t>
    </r>
    <r>
      <rPr>
        <sz val="11"/>
        <rFont val="Consolas"/>
        <family val="3"/>
      </rPr>
      <t>/8</t>
    </r>
    <rPh sb="3" eb="5">
      <t>ニホン</t>
    </rPh>
    <rPh sb="6" eb="8">
      <t>コテン</t>
    </rPh>
    <phoneticPr fontId="1"/>
  </si>
  <si>
    <r>
      <rPr>
        <sz val="11"/>
        <rFont val="游ゴシック Medium"/>
        <family val="3"/>
        <charset val="128"/>
      </rPr>
      <t>マンガ日本の古典</t>
    </r>
    <r>
      <rPr>
        <sz val="11"/>
        <rFont val="Consolas"/>
        <family val="3"/>
      </rPr>
      <t>/9</t>
    </r>
    <rPh sb="3" eb="5">
      <t>ニホン</t>
    </rPh>
    <rPh sb="6" eb="8">
      <t>コテン</t>
    </rPh>
    <phoneticPr fontId="1"/>
  </si>
  <si>
    <r>
      <rPr>
        <sz val="11"/>
        <rFont val="游ゴシック Medium"/>
        <family val="3"/>
        <charset val="128"/>
      </rPr>
      <t>里中満智子</t>
    </r>
    <rPh sb="0" eb="2">
      <t>サトナカ</t>
    </rPh>
    <rPh sb="2" eb="5">
      <t>マチコ</t>
    </rPh>
    <phoneticPr fontId="1"/>
  </si>
  <si>
    <r>
      <rPr>
        <sz val="11"/>
        <rFont val="游ゴシック Medium"/>
        <family val="3"/>
        <charset val="128"/>
      </rPr>
      <t>古事記</t>
    </r>
    <r>
      <rPr>
        <sz val="11"/>
        <rFont val="Consolas"/>
        <family val="3"/>
      </rPr>
      <t>&lt;</t>
    </r>
    <r>
      <rPr>
        <sz val="11"/>
        <rFont val="游ゴシック Medium"/>
        <family val="3"/>
        <charset val="128"/>
      </rPr>
      <t>壱</t>
    </r>
    <r>
      <rPr>
        <sz val="11"/>
        <rFont val="Consolas"/>
        <family val="3"/>
      </rPr>
      <t>&gt;</t>
    </r>
    <rPh sb="0" eb="3">
      <t>コジキ</t>
    </rPh>
    <rPh sb="4" eb="5">
      <t>イチ</t>
    </rPh>
    <phoneticPr fontId="1"/>
  </si>
  <si>
    <r>
      <rPr>
        <sz val="11"/>
        <rFont val="游ゴシック Medium"/>
        <family val="3"/>
        <charset val="128"/>
      </rPr>
      <t>マンガ古典文学</t>
    </r>
    <rPh sb="3" eb="5">
      <t>コテン</t>
    </rPh>
    <rPh sb="5" eb="7">
      <t>ブンガク</t>
    </rPh>
    <phoneticPr fontId="1"/>
  </si>
  <si>
    <r>
      <t>Book Off|</t>
    </r>
    <r>
      <rPr>
        <sz val="11"/>
        <rFont val="游ゴシック Medium"/>
        <family val="3"/>
        <charset val="128"/>
      </rPr>
      <t>古本</t>
    </r>
    <rPh sb="9" eb="11">
      <t>フルホン</t>
    </rPh>
    <phoneticPr fontId="1"/>
  </si>
  <si>
    <r>
      <rPr>
        <sz val="11"/>
        <rFont val="游ゴシック Medium"/>
        <family val="3"/>
        <charset val="128"/>
      </rPr>
      <t>古事記</t>
    </r>
    <r>
      <rPr>
        <sz val="11"/>
        <rFont val="Consolas"/>
        <family val="3"/>
      </rPr>
      <t>&lt;</t>
    </r>
    <r>
      <rPr>
        <sz val="11"/>
        <rFont val="游ゴシック Medium"/>
        <family val="3"/>
        <charset val="128"/>
      </rPr>
      <t>弐</t>
    </r>
    <r>
      <rPr>
        <sz val="11"/>
        <rFont val="Consolas"/>
        <family val="3"/>
      </rPr>
      <t>&gt;</t>
    </r>
    <rPh sb="0" eb="3">
      <t>コジキ</t>
    </rPh>
    <rPh sb="4" eb="5">
      <t>ニ</t>
    </rPh>
    <phoneticPr fontId="1"/>
  </si>
  <si>
    <r>
      <rPr>
        <sz val="11"/>
        <rFont val="游ゴシック Medium"/>
        <family val="3"/>
        <charset val="128"/>
      </rPr>
      <t>創業</t>
    </r>
    <r>
      <rPr>
        <sz val="11"/>
        <rFont val="Consolas"/>
        <family val="3"/>
      </rPr>
      <t>90</t>
    </r>
    <r>
      <rPr>
        <sz val="11"/>
        <rFont val="游ゴシック Medium"/>
        <family val="3"/>
        <charset val="128"/>
      </rPr>
      <t>周年企画</t>
    </r>
    <r>
      <rPr>
        <sz val="11"/>
        <rFont val="Consolas"/>
        <family val="3"/>
      </rPr>
      <t xml:space="preserve"> </t>
    </r>
    <r>
      <rPr>
        <sz val="11"/>
        <rFont val="游ゴシック Medium"/>
        <family val="3"/>
        <charset val="128"/>
      </rPr>
      <t>マンガ古典文学</t>
    </r>
    <rPh sb="0" eb="2">
      <t>ソウギョウ</t>
    </rPh>
    <rPh sb="4" eb="6">
      <t>シュウネン</t>
    </rPh>
    <rPh sb="6" eb="8">
      <t>キカク</t>
    </rPh>
    <rPh sb="12" eb="14">
      <t>コテン</t>
    </rPh>
    <rPh sb="14" eb="16">
      <t>ブンガク</t>
    </rPh>
    <phoneticPr fontId="1"/>
  </si>
  <si>
    <r>
      <t>amazon|</t>
    </r>
    <r>
      <rPr>
        <sz val="11"/>
        <rFont val="游ゴシック Medium"/>
        <family val="3"/>
        <charset val="128"/>
      </rPr>
      <t>エーリターン</t>
    </r>
    <r>
      <rPr>
        <sz val="11"/>
        <rFont val="Consolas"/>
        <family val="3"/>
      </rPr>
      <t>|</t>
    </r>
    <r>
      <rPr>
        <sz val="11"/>
        <rFont val="游ゴシック Medium"/>
        <family val="3"/>
        <charset val="128"/>
      </rPr>
      <t>古本</t>
    </r>
    <rPh sb="14" eb="16">
      <t>フルホン</t>
    </rPh>
    <phoneticPr fontId="1"/>
  </si>
  <si>
    <r>
      <rPr>
        <sz val="11"/>
        <rFont val="游ゴシック Medium"/>
        <family val="3"/>
        <charset val="128"/>
      </rPr>
      <t>ドリヤス工場</t>
    </r>
    <rPh sb="4" eb="6">
      <t>コウジョウ</t>
    </rPh>
    <phoneticPr fontId="1"/>
  </si>
  <si>
    <r>
      <rPr>
        <sz val="11"/>
        <rFont val="游ゴシック Medium"/>
        <family val="3"/>
        <charset val="128"/>
      </rPr>
      <t>有名過ぎる文学作品をだいたい</t>
    </r>
    <r>
      <rPr>
        <sz val="11"/>
        <rFont val="Consolas"/>
        <family val="3"/>
      </rPr>
      <t>10</t>
    </r>
    <r>
      <rPr>
        <sz val="11"/>
        <rFont val="游ゴシック Medium"/>
        <family val="3"/>
        <charset val="128"/>
      </rPr>
      <t>ページくらいの漫画で読む。</t>
    </r>
    <rPh sb="0" eb="2">
      <t>ユウメイ</t>
    </rPh>
    <rPh sb="2" eb="3">
      <t>ス</t>
    </rPh>
    <rPh sb="5" eb="7">
      <t>ブンガク</t>
    </rPh>
    <rPh sb="7" eb="9">
      <t>サクヒン</t>
    </rPh>
    <rPh sb="23" eb="25">
      <t>マンガ</t>
    </rPh>
    <rPh sb="26" eb="27">
      <t>ヨ</t>
    </rPh>
    <phoneticPr fontId="1"/>
  </si>
  <si>
    <r>
      <rPr>
        <sz val="11"/>
        <rFont val="游ゴシック Medium"/>
        <family val="3"/>
        <charset val="128"/>
      </rPr>
      <t>トーチ</t>
    </r>
    <r>
      <rPr>
        <sz val="11"/>
        <rFont val="Consolas"/>
        <family val="3"/>
      </rPr>
      <t>web [</t>
    </r>
    <r>
      <rPr>
        <sz val="11"/>
        <rFont val="游ゴシック Medium"/>
        <family val="3"/>
        <charset val="128"/>
      </rPr>
      <t>初出</t>
    </r>
    <r>
      <rPr>
        <sz val="11"/>
        <rFont val="Consolas"/>
        <family val="3"/>
      </rPr>
      <t>]</t>
    </r>
    <rPh sb="8" eb="10">
      <t>ショシュツ</t>
    </rPh>
    <phoneticPr fontId="1"/>
  </si>
  <si>
    <r>
      <rPr>
        <sz val="11"/>
        <rFont val="游ゴシック Medium"/>
        <family val="3"/>
        <charset val="128"/>
      </rPr>
      <t>リイド社</t>
    </r>
    <rPh sb="3" eb="4">
      <t>シャ</t>
    </rPh>
    <phoneticPr fontId="1"/>
  </si>
  <si>
    <r>
      <rPr>
        <strike/>
        <sz val="11"/>
        <rFont val="游ゴシック Medium"/>
        <family val="3"/>
        <charset val="128"/>
      </rPr>
      <t>最遊記</t>
    </r>
    <rPh sb="0" eb="3">
      <t>サイユウキ</t>
    </rPh>
    <phoneticPr fontId="1"/>
  </si>
  <si>
    <r>
      <rPr>
        <strike/>
        <sz val="11"/>
        <rFont val="游ゴシック Medium"/>
        <family val="3"/>
        <charset val="128"/>
      </rPr>
      <t>ファンタジーコミックス</t>
    </r>
    <phoneticPr fontId="1"/>
  </si>
  <si>
    <r>
      <rPr>
        <strike/>
        <sz val="11"/>
        <rFont val="游ゴシック Medium"/>
        <family val="3"/>
        <charset val="128"/>
      </rPr>
      <t>光芒書店</t>
    </r>
    <rPh sb="0" eb="2">
      <t>コウボウ</t>
    </rPh>
    <rPh sb="2" eb="4">
      <t>ショテン</t>
    </rPh>
    <phoneticPr fontId="1"/>
  </si>
  <si>
    <r>
      <rPr>
        <sz val="11"/>
        <rFont val="游ゴシック Medium"/>
        <family val="3"/>
        <charset val="128"/>
      </rPr>
      <t>村上和彦</t>
    </r>
    <rPh sb="0" eb="2">
      <t>ムラカミ</t>
    </rPh>
    <rPh sb="2" eb="4">
      <t>カズヒコ</t>
    </rPh>
    <phoneticPr fontId="1"/>
  </si>
  <si>
    <r>
      <rPr>
        <b/>
        <sz val="11"/>
        <color indexed="33"/>
        <rFont val="游ゴシック Medium"/>
        <family val="3"/>
        <charset val="128"/>
      </rPr>
      <t>任侠･盃事のすべて</t>
    </r>
    <r>
      <rPr>
        <b/>
        <sz val="11"/>
        <color indexed="33"/>
        <rFont val="Consolas"/>
        <family val="3"/>
      </rPr>
      <t>/</t>
    </r>
    <r>
      <rPr>
        <b/>
        <sz val="11"/>
        <color indexed="33"/>
        <rFont val="游ゴシック Medium"/>
        <family val="3"/>
        <charset val="128"/>
      </rPr>
      <t>第二巻</t>
    </r>
    <r>
      <rPr>
        <b/>
        <sz val="11"/>
        <color indexed="33"/>
        <rFont val="Consolas"/>
        <family val="3"/>
      </rPr>
      <t xml:space="preserve"> </t>
    </r>
    <r>
      <rPr>
        <b/>
        <sz val="11"/>
        <color indexed="33"/>
        <rFont val="游ゴシック Medium"/>
        <family val="3"/>
        <charset val="128"/>
      </rPr>
      <t>義兄弟縁組盃</t>
    </r>
    <rPh sb="0" eb="2">
      <t>ニンキョウ</t>
    </rPh>
    <rPh sb="3" eb="4">
      <t>サカズキ</t>
    </rPh>
    <rPh sb="4" eb="5">
      <t>ゴト</t>
    </rPh>
    <rPh sb="10" eb="11">
      <t>ダイ</t>
    </rPh>
    <rPh sb="11" eb="13">
      <t>ニカン</t>
    </rPh>
    <rPh sb="14" eb="17">
      <t>ギキョウダイ</t>
    </rPh>
    <rPh sb="17" eb="19">
      <t>エングミ</t>
    </rPh>
    <rPh sb="19" eb="20">
      <t>サカズキ</t>
    </rPh>
    <phoneticPr fontId="1"/>
  </si>
  <si>
    <r>
      <rPr>
        <sz val="11"/>
        <rFont val="游ゴシック Medium"/>
        <family val="3"/>
        <charset val="128"/>
      </rPr>
      <t>桃園書房</t>
    </r>
    <rPh sb="0" eb="1">
      <t>トウ</t>
    </rPh>
    <rPh sb="1" eb="2">
      <t>エン</t>
    </rPh>
    <rPh sb="2" eb="4">
      <t>ショボウ</t>
    </rPh>
    <phoneticPr fontId="1"/>
  </si>
  <si>
    <r>
      <rPr>
        <sz val="11"/>
        <rFont val="游ゴシック Medium"/>
        <family val="3"/>
        <charset val="128"/>
      </rPr>
      <t>ムロタニ･ツネ象</t>
    </r>
    <rPh sb="7" eb="8">
      <t>ゾウ</t>
    </rPh>
    <phoneticPr fontId="1"/>
  </si>
  <si>
    <r>
      <rPr>
        <sz val="11"/>
        <rFont val="游ゴシック Medium"/>
        <family val="3"/>
        <charset val="128"/>
      </rPr>
      <t>地獄くん</t>
    </r>
    <r>
      <rPr>
        <sz val="11"/>
        <rFont val="Consolas"/>
        <family val="3"/>
      </rPr>
      <t>/</t>
    </r>
    <r>
      <rPr>
        <sz val="11"/>
        <rFont val="游ゴシック Medium"/>
        <family val="3"/>
        <charset val="128"/>
      </rPr>
      <t>完本ミイラ島</t>
    </r>
    <r>
      <rPr>
        <sz val="11"/>
        <rFont val="Consolas"/>
        <family val="3"/>
      </rPr>
      <t>:</t>
    </r>
    <r>
      <rPr>
        <sz val="11"/>
        <rFont val="游ゴシック Medium"/>
        <family val="3"/>
        <charset val="128"/>
      </rPr>
      <t>併録</t>
    </r>
    <rPh sb="0" eb="2">
      <t>ジゴク</t>
    </rPh>
    <rPh sb="5" eb="6">
      <t>カン</t>
    </rPh>
    <rPh sb="6" eb="7">
      <t>ボン</t>
    </rPh>
    <rPh sb="10" eb="11">
      <t>トウ</t>
    </rPh>
    <rPh sb="12" eb="14">
      <t>ヘイロク</t>
    </rPh>
    <phoneticPr fontId="1"/>
  </si>
  <si>
    <r>
      <t>QJ</t>
    </r>
    <r>
      <rPr>
        <sz val="11"/>
        <rFont val="游ゴシック Medium"/>
        <family val="3"/>
        <charset val="128"/>
      </rPr>
      <t>マンガ選書</t>
    </r>
    <r>
      <rPr>
        <sz val="11"/>
        <rFont val="Consolas"/>
        <family val="3"/>
      </rPr>
      <t>04</t>
    </r>
    <rPh sb="5" eb="7">
      <t>センショ</t>
    </rPh>
    <phoneticPr fontId="1"/>
  </si>
  <si>
    <r>
      <rPr>
        <sz val="11"/>
        <rFont val="游ゴシック Medium"/>
        <family val="3"/>
        <charset val="128"/>
      </rPr>
      <t>山野車輪</t>
    </r>
    <rPh sb="0" eb="2">
      <t>ヤマノ</t>
    </rPh>
    <rPh sb="2" eb="4">
      <t>シャリン</t>
    </rPh>
    <phoneticPr fontId="1"/>
  </si>
  <si>
    <r>
      <rPr>
        <sz val="11"/>
        <rFont val="游ゴシック Medium"/>
        <family val="3"/>
        <charset val="128"/>
      </rPr>
      <t>マンガ</t>
    </r>
    <r>
      <rPr>
        <sz val="11"/>
        <rFont val="Consolas"/>
        <family val="3"/>
      </rPr>
      <t xml:space="preserve"> </t>
    </r>
    <r>
      <rPr>
        <sz val="11"/>
        <rFont val="游ゴシック Medium"/>
        <family val="3"/>
        <charset val="128"/>
      </rPr>
      <t>嫌韓流</t>
    </r>
    <rPh sb="4" eb="7">
      <t>ケンカンリュウ</t>
    </rPh>
    <phoneticPr fontId="1"/>
  </si>
  <si>
    <r>
      <rPr>
        <sz val="11"/>
        <rFont val="游ゴシック Medium"/>
        <family val="3"/>
        <charset val="128"/>
      </rPr>
      <t>晋遊舎</t>
    </r>
    <r>
      <rPr>
        <sz val="11"/>
        <rFont val="Consolas"/>
        <family val="3"/>
      </rPr>
      <t>MOOK</t>
    </r>
    <rPh sb="0" eb="3">
      <t>シンユウシャ</t>
    </rPh>
    <phoneticPr fontId="1"/>
  </si>
  <si>
    <r>
      <rPr>
        <sz val="11"/>
        <rFont val="游ゴシック Medium"/>
        <family val="3"/>
        <charset val="128"/>
      </rPr>
      <t>晋遊舎</t>
    </r>
    <rPh sb="0" eb="3">
      <t>シンユウシャ</t>
    </rPh>
    <phoneticPr fontId="1"/>
  </si>
  <si>
    <r>
      <rPr>
        <sz val="11"/>
        <rFont val="游ゴシック Medium"/>
        <family val="3"/>
        <charset val="128"/>
      </rPr>
      <t>マンガ</t>
    </r>
    <r>
      <rPr>
        <sz val="11"/>
        <rFont val="Consolas"/>
        <family val="3"/>
      </rPr>
      <t xml:space="preserve"> </t>
    </r>
    <r>
      <rPr>
        <sz val="11"/>
        <rFont val="游ゴシック Medium"/>
        <family val="3"/>
        <charset val="128"/>
      </rPr>
      <t>嫌韓流</t>
    </r>
    <r>
      <rPr>
        <sz val="11"/>
        <rFont val="Consolas"/>
        <family val="3"/>
      </rPr>
      <t>2</t>
    </r>
    <rPh sb="4" eb="7">
      <t>ケンカンリュウ</t>
    </rPh>
    <phoneticPr fontId="1"/>
  </si>
  <si>
    <r>
      <rPr>
        <sz val="11"/>
        <rFont val="游ゴシック Medium"/>
        <family val="3"/>
        <charset val="128"/>
      </rPr>
      <t>吉田戦車</t>
    </r>
    <rPh sb="0" eb="2">
      <t>ヨシダ</t>
    </rPh>
    <rPh sb="2" eb="4">
      <t>センシャ</t>
    </rPh>
    <phoneticPr fontId="1"/>
  </si>
  <si>
    <r>
      <rPr>
        <sz val="11"/>
        <rFont val="游ゴシック Medium"/>
        <family val="3"/>
        <charset val="128"/>
      </rPr>
      <t>いじめてくん</t>
    </r>
    <phoneticPr fontId="1"/>
  </si>
  <si>
    <r>
      <rPr>
        <sz val="11"/>
        <rFont val="游ゴシック Medium"/>
        <family val="3"/>
        <charset val="128"/>
      </rPr>
      <t>スコラ</t>
    </r>
    <phoneticPr fontId="1"/>
  </si>
  <si>
    <r>
      <rPr>
        <sz val="11"/>
        <rFont val="游ゴシック Medium"/>
        <family val="3"/>
        <charset val="128"/>
      </rPr>
      <t>タイヤ</t>
    </r>
    <phoneticPr fontId="1"/>
  </si>
  <si>
    <r>
      <rPr>
        <sz val="11"/>
        <rFont val="游ゴシック Medium"/>
        <family val="3"/>
        <charset val="128"/>
      </rPr>
      <t>ちくちくウニウニ</t>
    </r>
    <phoneticPr fontId="1"/>
  </si>
  <si>
    <r>
      <rPr>
        <sz val="11"/>
        <rFont val="游ゴシック Medium"/>
        <family val="3"/>
        <charset val="128"/>
      </rPr>
      <t>樋口清之</t>
    </r>
    <r>
      <rPr>
        <sz val="11"/>
        <rFont val="Consolas"/>
        <family val="3"/>
      </rPr>
      <t>/</t>
    </r>
    <r>
      <rPr>
        <sz val="11"/>
        <rFont val="游ゴシック Medium"/>
        <family val="3"/>
        <charset val="128"/>
      </rPr>
      <t>柳川正実</t>
    </r>
    <rPh sb="0" eb="2">
      <t>ヒグチ</t>
    </rPh>
    <rPh sb="2" eb="4">
      <t>キヨユキ</t>
    </rPh>
    <rPh sb="5" eb="7">
      <t>ヤナガワ</t>
    </rPh>
    <rPh sb="7" eb="9">
      <t>マサミ</t>
    </rPh>
    <phoneticPr fontId="1"/>
  </si>
  <si>
    <r>
      <rPr>
        <sz val="11"/>
        <rFont val="游ゴシック Medium"/>
        <family val="3"/>
        <charset val="128"/>
      </rPr>
      <t>監修</t>
    </r>
    <r>
      <rPr>
        <sz val="11"/>
        <rFont val="Consolas"/>
        <family val="3"/>
      </rPr>
      <t>:</t>
    </r>
    <r>
      <rPr>
        <sz val="11"/>
        <rFont val="游ゴシック Medium"/>
        <family val="3"/>
        <charset val="128"/>
      </rPr>
      <t>国学院大学名誉教授･文学博士</t>
    </r>
    <r>
      <rPr>
        <sz val="11"/>
        <rFont val="Consolas"/>
        <family val="3"/>
      </rPr>
      <t>/</t>
    </r>
    <r>
      <rPr>
        <sz val="11"/>
        <rFont val="游ゴシック Medium"/>
        <family val="3"/>
        <charset val="128"/>
      </rPr>
      <t>指導</t>
    </r>
    <r>
      <rPr>
        <sz val="11"/>
        <rFont val="Consolas"/>
        <family val="3"/>
      </rPr>
      <t>:</t>
    </r>
    <r>
      <rPr>
        <sz val="11"/>
        <rFont val="游ゴシック Medium"/>
        <family val="3"/>
        <charset val="128"/>
      </rPr>
      <t>川崎市立宮前平中学校教諭</t>
    </r>
    <rPh sb="0" eb="2">
      <t>カンシュウ</t>
    </rPh>
    <rPh sb="3" eb="6">
      <t>コクガクイン</t>
    </rPh>
    <rPh sb="6" eb="8">
      <t>ダイガク</t>
    </rPh>
    <rPh sb="8" eb="10">
      <t>メイヨ</t>
    </rPh>
    <rPh sb="10" eb="12">
      <t>キョウジュ</t>
    </rPh>
    <rPh sb="13" eb="15">
      <t>ブンガク</t>
    </rPh>
    <rPh sb="15" eb="17">
      <t>ハクシ</t>
    </rPh>
    <rPh sb="18" eb="20">
      <t>シドウ</t>
    </rPh>
    <rPh sb="21" eb="25">
      <t>カワサキシリツ</t>
    </rPh>
    <rPh sb="25" eb="28">
      <t>ミヤマエダイラ</t>
    </rPh>
    <rPh sb="28" eb="31">
      <t>チュウガッコウ</t>
    </rPh>
    <rPh sb="31" eb="33">
      <t>キョウユ</t>
    </rPh>
    <phoneticPr fontId="1"/>
  </si>
  <si>
    <r>
      <rPr>
        <sz val="11"/>
        <rFont val="游ゴシック Medium"/>
        <family val="3"/>
        <charset val="128"/>
      </rPr>
      <t>ヤマトタケルノミコト</t>
    </r>
    <r>
      <rPr>
        <sz val="11"/>
        <rFont val="Consolas"/>
        <family val="3"/>
      </rPr>
      <t>/</t>
    </r>
    <r>
      <rPr>
        <sz val="11"/>
        <rFont val="游ゴシック Medium"/>
        <family val="3"/>
        <charset val="128"/>
      </rPr>
      <t>神話の中の英雄</t>
    </r>
    <r>
      <rPr>
        <sz val="11"/>
        <rFont val="Consolas"/>
        <family val="3"/>
      </rPr>
      <t>/21</t>
    </r>
    <rPh sb="11" eb="13">
      <t>シンワ</t>
    </rPh>
    <rPh sb="14" eb="15">
      <t>ナカ</t>
    </rPh>
    <rPh sb="16" eb="18">
      <t>エイユウ</t>
    </rPh>
    <phoneticPr fontId="1"/>
  </si>
  <si>
    <r>
      <rPr>
        <sz val="11"/>
        <rFont val="游ゴシック Medium"/>
        <family val="3"/>
        <charset val="128"/>
      </rPr>
      <t>学研まんが</t>
    </r>
    <r>
      <rPr>
        <sz val="11"/>
        <rFont val="Consolas"/>
        <family val="3"/>
      </rPr>
      <t>/</t>
    </r>
    <r>
      <rPr>
        <sz val="11"/>
        <rFont val="游ゴシック Medium"/>
        <family val="3"/>
        <charset val="128"/>
      </rPr>
      <t>人物日本史</t>
    </r>
    <r>
      <rPr>
        <sz val="11"/>
        <rFont val="Consolas"/>
        <family val="3"/>
      </rPr>
      <t>/</t>
    </r>
    <r>
      <rPr>
        <sz val="11"/>
        <rFont val="游ゴシック Medium"/>
        <family val="3"/>
        <charset val="128"/>
      </rPr>
      <t>大和時代</t>
    </r>
    <rPh sb="0" eb="2">
      <t>ガッケン</t>
    </rPh>
    <rPh sb="6" eb="8">
      <t>ジンブツ</t>
    </rPh>
    <rPh sb="8" eb="11">
      <t>ニホンシ</t>
    </rPh>
    <rPh sb="12" eb="14">
      <t>ヤマト</t>
    </rPh>
    <rPh sb="14" eb="16">
      <t>ジダイ</t>
    </rPh>
    <phoneticPr fontId="1"/>
  </si>
  <si>
    <r>
      <rPr>
        <sz val="11"/>
        <rFont val="游ゴシック Medium"/>
        <family val="3"/>
        <charset val="128"/>
      </rPr>
      <t>上原</t>
    </r>
    <r>
      <rPr>
        <sz val="11"/>
        <rFont val="Consolas"/>
        <family val="3"/>
      </rPr>
      <t xml:space="preserve"> </t>
    </r>
    <r>
      <rPr>
        <sz val="11"/>
        <rFont val="游ゴシック Medium"/>
        <family val="3"/>
        <charset val="128"/>
      </rPr>
      <t>和</t>
    </r>
    <r>
      <rPr>
        <sz val="11"/>
        <rFont val="Consolas"/>
        <family val="3"/>
      </rPr>
      <t>/</t>
    </r>
    <r>
      <rPr>
        <sz val="11"/>
        <rFont val="游ゴシック Medium"/>
        <family val="3"/>
        <charset val="128"/>
      </rPr>
      <t>児玉幸多</t>
    </r>
    <rPh sb="0" eb="2">
      <t>ウエハラ</t>
    </rPh>
    <rPh sb="3" eb="4">
      <t>カズ</t>
    </rPh>
    <rPh sb="5" eb="7">
      <t>コダマ</t>
    </rPh>
    <rPh sb="7" eb="9">
      <t>コウタ</t>
    </rPh>
    <phoneticPr fontId="1"/>
  </si>
  <si>
    <r>
      <rPr>
        <sz val="11"/>
        <rFont val="游ゴシック Medium"/>
        <family val="3"/>
        <charset val="128"/>
      </rPr>
      <t>監修</t>
    </r>
    <r>
      <rPr>
        <sz val="11"/>
        <rFont val="Consolas"/>
        <family val="3"/>
      </rPr>
      <t>:</t>
    </r>
    <r>
      <rPr>
        <sz val="11"/>
        <rFont val="游ゴシック Medium"/>
        <family val="3"/>
        <charset val="128"/>
      </rPr>
      <t>成城大学名誉教授</t>
    </r>
    <r>
      <rPr>
        <sz val="11"/>
        <rFont val="Consolas"/>
        <family val="3"/>
      </rPr>
      <t>/</t>
    </r>
    <r>
      <rPr>
        <sz val="11"/>
        <rFont val="游ゴシック Medium"/>
        <family val="3"/>
        <charset val="128"/>
      </rPr>
      <t>総監修</t>
    </r>
    <r>
      <rPr>
        <sz val="11"/>
        <rFont val="Consolas"/>
        <family val="3"/>
      </rPr>
      <t>:</t>
    </r>
    <r>
      <rPr>
        <sz val="11"/>
        <rFont val="游ゴシック Medium"/>
        <family val="3"/>
        <charset val="128"/>
      </rPr>
      <t>学習院大学名誉教授</t>
    </r>
    <rPh sb="0" eb="2">
      <t>カンシュウ</t>
    </rPh>
    <rPh sb="3" eb="5">
      <t>セイジョウ</t>
    </rPh>
    <rPh sb="5" eb="7">
      <t>ダイガク</t>
    </rPh>
    <rPh sb="7" eb="9">
      <t>メイヨ</t>
    </rPh>
    <rPh sb="9" eb="11">
      <t>キョウジュ</t>
    </rPh>
    <rPh sb="12" eb="13">
      <t>ソウ</t>
    </rPh>
    <rPh sb="13" eb="15">
      <t>カンシュウ</t>
    </rPh>
    <rPh sb="16" eb="19">
      <t>ガクシュウイン</t>
    </rPh>
    <rPh sb="19" eb="21">
      <t>ダイガク</t>
    </rPh>
    <rPh sb="21" eb="23">
      <t>メイヨ</t>
    </rPh>
    <rPh sb="23" eb="25">
      <t>キョウジュ</t>
    </rPh>
    <phoneticPr fontId="1"/>
  </si>
  <si>
    <r>
      <rPr>
        <sz val="11"/>
        <rFont val="游ゴシック Medium"/>
        <family val="3"/>
        <charset val="128"/>
      </rPr>
      <t>あおむら純</t>
    </r>
    <rPh sb="4" eb="5">
      <t>ジュン</t>
    </rPh>
    <phoneticPr fontId="1"/>
  </si>
  <si>
    <r>
      <rPr>
        <sz val="11"/>
        <rFont val="游ゴシック Medium"/>
        <family val="3"/>
        <charset val="128"/>
      </rPr>
      <t>まんが</t>
    </r>
    <phoneticPr fontId="1"/>
  </si>
  <si>
    <r>
      <rPr>
        <sz val="11"/>
        <rFont val="游ゴシック Medium"/>
        <family val="3"/>
        <charset val="128"/>
      </rPr>
      <t>ドラえもん</t>
    </r>
    <r>
      <rPr>
        <sz val="11"/>
        <rFont val="Consolas"/>
        <family val="3"/>
      </rPr>
      <t xml:space="preserve"> </t>
    </r>
    <r>
      <rPr>
        <sz val="11"/>
        <rFont val="游ゴシック Medium"/>
        <family val="3"/>
        <charset val="128"/>
      </rPr>
      <t>人物日本の歴史</t>
    </r>
    <r>
      <rPr>
        <sz val="11"/>
        <rFont val="Consolas"/>
        <family val="3"/>
      </rPr>
      <t xml:space="preserve"> </t>
    </r>
    <r>
      <rPr>
        <sz val="11"/>
        <rFont val="游ゴシック Medium"/>
        <family val="3"/>
        <charset val="128"/>
      </rPr>
      <t>聖徳太子</t>
    </r>
    <r>
      <rPr>
        <sz val="11"/>
        <rFont val="Consolas"/>
        <family val="3"/>
      </rPr>
      <t>/</t>
    </r>
    <r>
      <rPr>
        <sz val="11"/>
        <rFont val="游ゴシック Medium"/>
        <family val="3"/>
        <charset val="128"/>
      </rPr>
      <t>理想の国をめざした政治家</t>
    </r>
    <r>
      <rPr>
        <sz val="11"/>
        <rFont val="Consolas"/>
        <family val="3"/>
      </rPr>
      <t>/</t>
    </r>
    <r>
      <rPr>
        <sz val="11"/>
        <rFont val="游ゴシック Medium"/>
        <family val="3"/>
        <charset val="128"/>
      </rPr>
      <t>飛鳥時代</t>
    </r>
    <rPh sb="6" eb="8">
      <t>ジンブツ</t>
    </rPh>
    <rPh sb="8" eb="10">
      <t>ニホン</t>
    </rPh>
    <rPh sb="11" eb="13">
      <t>レキシ</t>
    </rPh>
    <rPh sb="14" eb="18">
      <t>ショウトクタイシ</t>
    </rPh>
    <rPh sb="19" eb="21">
      <t>リソウ</t>
    </rPh>
    <rPh sb="22" eb="23">
      <t>クニ</t>
    </rPh>
    <rPh sb="28" eb="31">
      <t>セイジカ</t>
    </rPh>
    <rPh sb="32" eb="34">
      <t>アスカ</t>
    </rPh>
    <rPh sb="34" eb="36">
      <t>ジダイ</t>
    </rPh>
    <phoneticPr fontId="1"/>
  </si>
  <si>
    <r>
      <rPr>
        <sz val="11"/>
        <rFont val="游ゴシック Medium"/>
        <family val="3"/>
        <charset val="128"/>
      </rPr>
      <t>小学館版</t>
    </r>
    <r>
      <rPr>
        <sz val="11"/>
        <rFont val="Consolas"/>
        <family val="3"/>
      </rPr>
      <t>/</t>
    </r>
    <r>
      <rPr>
        <sz val="11"/>
        <rFont val="游ゴシック Medium"/>
        <family val="3"/>
        <charset val="128"/>
      </rPr>
      <t>学習まんが</t>
    </r>
    <rPh sb="0" eb="3">
      <t>ショウガッカン</t>
    </rPh>
    <rPh sb="3" eb="4">
      <t>バン</t>
    </rPh>
    <rPh sb="5" eb="7">
      <t>ガクシュウ</t>
    </rPh>
    <phoneticPr fontId="1"/>
  </si>
  <si>
    <r>
      <rPr>
        <sz val="11"/>
        <rFont val="游ゴシック Medium"/>
        <family val="3"/>
        <charset val="128"/>
      </rPr>
      <t>小和田哲男</t>
    </r>
    <r>
      <rPr>
        <sz val="11"/>
        <rFont val="Consolas"/>
        <family val="3"/>
      </rPr>
      <t>/</t>
    </r>
    <r>
      <rPr>
        <sz val="11"/>
        <rFont val="游ゴシック Medium"/>
        <family val="3"/>
        <charset val="128"/>
      </rPr>
      <t>児玉幸多</t>
    </r>
    <rPh sb="0" eb="3">
      <t>オワダ</t>
    </rPh>
    <rPh sb="3" eb="5">
      <t>テツオ</t>
    </rPh>
    <rPh sb="6" eb="8">
      <t>コダマ</t>
    </rPh>
    <rPh sb="8" eb="10">
      <t>コウタ</t>
    </rPh>
    <phoneticPr fontId="1"/>
  </si>
  <si>
    <r>
      <rPr>
        <sz val="11"/>
        <rFont val="游ゴシック Medium"/>
        <family val="3"/>
        <charset val="128"/>
      </rPr>
      <t>監修</t>
    </r>
    <r>
      <rPr>
        <sz val="11"/>
        <rFont val="Consolas"/>
        <family val="3"/>
      </rPr>
      <t>:</t>
    </r>
    <r>
      <rPr>
        <sz val="11"/>
        <rFont val="游ゴシック Medium"/>
        <family val="3"/>
        <charset val="128"/>
      </rPr>
      <t>静岡大学教授</t>
    </r>
    <r>
      <rPr>
        <sz val="11"/>
        <rFont val="Consolas"/>
        <family val="3"/>
      </rPr>
      <t>/</t>
    </r>
    <r>
      <rPr>
        <sz val="11"/>
        <rFont val="游ゴシック Medium"/>
        <family val="3"/>
        <charset val="128"/>
      </rPr>
      <t>総監修</t>
    </r>
    <r>
      <rPr>
        <sz val="11"/>
        <rFont val="Consolas"/>
        <family val="3"/>
      </rPr>
      <t>:</t>
    </r>
    <r>
      <rPr>
        <sz val="11"/>
        <rFont val="游ゴシック Medium"/>
        <family val="3"/>
        <charset val="128"/>
      </rPr>
      <t>学習院大学名誉教授</t>
    </r>
    <rPh sb="0" eb="2">
      <t>カンシュウ</t>
    </rPh>
    <rPh sb="3" eb="5">
      <t>シズオカ</t>
    </rPh>
    <rPh sb="5" eb="7">
      <t>ダイガク</t>
    </rPh>
    <rPh sb="7" eb="9">
      <t>キョウジュ</t>
    </rPh>
    <rPh sb="10" eb="11">
      <t>ソウ</t>
    </rPh>
    <rPh sb="11" eb="13">
      <t>カンシュウ</t>
    </rPh>
    <rPh sb="14" eb="17">
      <t>ガクシュウイン</t>
    </rPh>
    <rPh sb="17" eb="19">
      <t>ダイガク</t>
    </rPh>
    <rPh sb="19" eb="21">
      <t>メイヨ</t>
    </rPh>
    <rPh sb="21" eb="23">
      <t>キョウジュ</t>
    </rPh>
    <phoneticPr fontId="1"/>
  </si>
  <si>
    <r>
      <rPr>
        <sz val="11"/>
        <rFont val="游ゴシック Medium"/>
        <family val="3"/>
        <charset val="128"/>
      </rPr>
      <t>小井土繁</t>
    </r>
    <rPh sb="0" eb="3">
      <t>コイド</t>
    </rPh>
    <rPh sb="3" eb="4">
      <t>シゲル</t>
    </rPh>
    <phoneticPr fontId="1"/>
  </si>
  <si>
    <r>
      <rPr>
        <sz val="11"/>
        <rFont val="游ゴシック Medium"/>
        <family val="3"/>
        <charset val="128"/>
      </rPr>
      <t>ドラえもん</t>
    </r>
    <r>
      <rPr>
        <sz val="11"/>
        <rFont val="Consolas"/>
        <family val="3"/>
      </rPr>
      <t xml:space="preserve"> </t>
    </r>
    <r>
      <rPr>
        <sz val="11"/>
        <rFont val="游ゴシック Medium"/>
        <family val="3"/>
        <charset val="128"/>
      </rPr>
      <t>人物日本の歴史</t>
    </r>
    <r>
      <rPr>
        <sz val="11"/>
        <rFont val="Consolas"/>
        <family val="3"/>
      </rPr>
      <t xml:space="preserve"> </t>
    </r>
    <r>
      <rPr>
        <sz val="11"/>
        <rFont val="游ゴシック Medium"/>
        <family val="3"/>
        <charset val="128"/>
      </rPr>
      <t>織田信長</t>
    </r>
    <r>
      <rPr>
        <sz val="11"/>
        <rFont val="Consolas"/>
        <family val="3"/>
      </rPr>
      <t>/</t>
    </r>
    <r>
      <rPr>
        <sz val="11"/>
        <rFont val="游ゴシック Medium"/>
        <family val="3"/>
        <charset val="128"/>
      </rPr>
      <t>天下統一をめざした風雲児</t>
    </r>
    <r>
      <rPr>
        <sz val="11"/>
        <rFont val="Consolas"/>
        <family val="3"/>
      </rPr>
      <t>/</t>
    </r>
    <r>
      <rPr>
        <sz val="11"/>
        <rFont val="游ゴシック Medium"/>
        <family val="3"/>
        <charset val="128"/>
      </rPr>
      <t>戦国時代</t>
    </r>
    <r>
      <rPr>
        <sz val="11"/>
        <rFont val="Consolas"/>
        <family val="3"/>
      </rPr>
      <t xml:space="preserve"> </t>
    </r>
    <r>
      <rPr>
        <sz val="11"/>
        <rFont val="游ゴシック Medium"/>
        <family val="3"/>
        <charset val="128"/>
      </rPr>
      <t>安土桃山時代</t>
    </r>
    <rPh sb="6" eb="8">
      <t>ジンブツ</t>
    </rPh>
    <rPh sb="8" eb="10">
      <t>ニホン</t>
    </rPh>
    <rPh sb="11" eb="13">
      <t>レキシ</t>
    </rPh>
    <rPh sb="14" eb="16">
      <t>オダ</t>
    </rPh>
    <rPh sb="16" eb="18">
      <t>ノブナガ</t>
    </rPh>
    <rPh sb="19" eb="21">
      <t>テンカ</t>
    </rPh>
    <rPh sb="21" eb="23">
      <t>トウイツ</t>
    </rPh>
    <rPh sb="28" eb="31">
      <t>フウウンジ</t>
    </rPh>
    <rPh sb="32" eb="34">
      <t>センゴク</t>
    </rPh>
    <rPh sb="34" eb="36">
      <t>ジダイ</t>
    </rPh>
    <rPh sb="37" eb="39">
      <t>アヅチ</t>
    </rPh>
    <rPh sb="39" eb="41">
      <t>モモヤマ</t>
    </rPh>
    <rPh sb="41" eb="42">
      <t>トキ</t>
    </rPh>
    <rPh sb="42" eb="43">
      <t>ダイ</t>
    </rPh>
    <phoneticPr fontId="1"/>
  </si>
  <si>
    <r>
      <rPr>
        <sz val="11"/>
        <rFont val="游ゴシック Medium"/>
        <family val="3"/>
        <charset val="128"/>
      </rPr>
      <t>飛鳥井雅道</t>
    </r>
    <r>
      <rPr>
        <sz val="11"/>
        <rFont val="Consolas"/>
        <family val="3"/>
      </rPr>
      <t>/</t>
    </r>
    <r>
      <rPr>
        <sz val="11"/>
        <rFont val="游ゴシック Medium"/>
        <family val="3"/>
        <charset val="128"/>
      </rPr>
      <t>児玉幸多</t>
    </r>
    <rPh sb="0" eb="2">
      <t>アスカ</t>
    </rPh>
    <rPh sb="2" eb="3">
      <t>セイ</t>
    </rPh>
    <rPh sb="3" eb="5">
      <t>マサミチ</t>
    </rPh>
    <rPh sb="6" eb="8">
      <t>コダマ</t>
    </rPh>
    <rPh sb="8" eb="10">
      <t>コウタ</t>
    </rPh>
    <phoneticPr fontId="1"/>
  </si>
  <si>
    <r>
      <rPr>
        <sz val="11"/>
        <rFont val="游ゴシック Medium"/>
        <family val="3"/>
        <charset val="128"/>
      </rPr>
      <t>監修</t>
    </r>
    <r>
      <rPr>
        <sz val="11"/>
        <rFont val="Consolas"/>
        <family val="3"/>
      </rPr>
      <t>:</t>
    </r>
    <r>
      <rPr>
        <sz val="11"/>
        <rFont val="游ゴシック Medium"/>
        <family val="3"/>
        <charset val="128"/>
      </rPr>
      <t>京都大学人文科学研究所教授</t>
    </r>
    <r>
      <rPr>
        <sz val="11"/>
        <rFont val="Consolas"/>
        <family val="3"/>
      </rPr>
      <t>/</t>
    </r>
    <r>
      <rPr>
        <sz val="11"/>
        <rFont val="游ゴシック Medium"/>
        <family val="3"/>
        <charset val="128"/>
      </rPr>
      <t>総監修</t>
    </r>
    <r>
      <rPr>
        <sz val="11"/>
        <rFont val="Consolas"/>
        <family val="3"/>
      </rPr>
      <t>:</t>
    </r>
    <r>
      <rPr>
        <sz val="11"/>
        <rFont val="游ゴシック Medium"/>
        <family val="3"/>
        <charset val="128"/>
      </rPr>
      <t>学習院大学名誉教授</t>
    </r>
    <rPh sb="0" eb="2">
      <t>カンシュウ</t>
    </rPh>
    <rPh sb="3" eb="5">
      <t>キョウト</t>
    </rPh>
    <rPh sb="5" eb="7">
      <t>ダイガク</t>
    </rPh>
    <rPh sb="7" eb="9">
      <t>ジンブン</t>
    </rPh>
    <rPh sb="9" eb="11">
      <t>カガク</t>
    </rPh>
    <rPh sb="11" eb="14">
      <t>ケンキュウショ</t>
    </rPh>
    <rPh sb="14" eb="16">
      <t>キョウジュ</t>
    </rPh>
    <rPh sb="17" eb="18">
      <t>ソウ</t>
    </rPh>
    <rPh sb="18" eb="20">
      <t>カンシュウ</t>
    </rPh>
    <rPh sb="21" eb="24">
      <t>ガクシュウイン</t>
    </rPh>
    <rPh sb="24" eb="26">
      <t>ダイガク</t>
    </rPh>
    <rPh sb="26" eb="28">
      <t>メイヨ</t>
    </rPh>
    <rPh sb="28" eb="30">
      <t>キョウジュ</t>
    </rPh>
    <phoneticPr fontId="1"/>
  </si>
  <si>
    <r>
      <rPr>
        <sz val="11"/>
        <rFont val="游ゴシック Medium"/>
        <family val="3"/>
        <charset val="128"/>
      </rPr>
      <t>ドラえもん</t>
    </r>
    <r>
      <rPr>
        <sz val="11"/>
        <rFont val="Consolas"/>
        <family val="3"/>
      </rPr>
      <t xml:space="preserve"> </t>
    </r>
    <r>
      <rPr>
        <sz val="11"/>
        <rFont val="游ゴシック Medium"/>
        <family val="3"/>
        <charset val="128"/>
      </rPr>
      <t>人物日本の歴史</t>
    </r>
    <r>
      <rPr>
        <sz val="11"/>
        <rFont val="Consolas"/>
        <family val="3"/>
      </rPr>
      <t xml:space="preserve"> </t>
    </r>
    <r>
      <rPr>
        <sz val="11"/>
        <rFont val="游ゴシック Medium"/>
        <family val="3"/>
        <charset val="128"/>
      </rPr>
      <t>坂本龍馬</t>
    </r>
    <r>
      <rPr>
        <sz val="11"/>
        <rFont val="Consolas"/>
        <family val="3"/>
      </rPr>
      <t>/</t>
    </r>
    <r>
      <rPr>
        <sz val="11"/>
        <rFont val="游ゴシック Medium"/>
        <family val="3"/>
        <charset val="128"/>
      </rPr>
      <t>大政奉還を実現させた志士</t>
    </r>
    <r>
      <rPr>
        <sz val="11"/>
        <rFont val="Consolas"/>
        <family val="3"/>
      </rPr>
      <t>/</t>
    </r>
    <r>
      <rPr>
        <sz val="11"/>
        <rFont val="游ゴシック Medium"/>
        <family val="3"/>
        <charset val="128"/>
      </rPr>
      <t>江戸時代末期</t>
    </r>
    <rPh sb="6" eb="8">
      <t>ジンブツ</t>
    </rPh>
    <rPh sb="8" eb="10">
      <t>ニホン</t>
    </rPh>
    <rPh sb="11" eb="13">
      <t>レキシ</t>
    </rPh>
    <rPh sb="14" eb="18">
      <t>サカモトリョウマ</t>
    </rPh>
    <rPh sb="19" eb="23">
      <t>タイセイホウカン</t>
    </rPh>
    <rPh sb="24" eb="26">
      <t>ジツゲン</t>
    </rPh>
    <rPh sb="29" eb="31">
      <t>シシ</t>
    </rPh>
    <rPh sb="32" eb="34">
      <t>エド</t>
    </rPh>
    <rPh sb="34" eb="36">
      <t>ジダイ</t>
    </rPh>
    <rPh sb="36" eb="38">
      <t>マッキ</t>
    </rPh>
    <phoneticPr fontId="1"/>
  </si>
  <si>
    <r>
      <rPr>
        <sz val="11"/>
        <rFont val="游ゴシック Medium"/>
        <family val="3"/>
        <charset val="128"/>
      </rPr>
      <t>監修</t>
    </r>
    <r>
      <rPr>
        <sz val="11"/>
        <rFont val="Consolas"/>
        <family val="3"/>
      </rPr>
      <t>:</t>
    </r>
    <r>
      <rPr>
        <sz val="11"/>
        <rFont val="游ゴシック Medium"/>
        <family val="3"/>
        <charset val="128"/>
      </rPr>
      <t>明治大学名誉教授</t>
    </r>
    <rPh sb="0" eb="2">
      <t>カンシュウ</t>
    </rPh>
    <rPh sb="3" eb="5">
      <t>メイジ</t>
    </rPh>
    <rPh sb="5" eb="7">
      <t>ダイガク</t>
    </rPh>
    <rPh sb="7" eb="9">
      <t>メイヨ</t>
    </rPh>
    <rPh sb="9" eb="11">
      <t>キョウジュ</t>
    </rPh>
    <phoneticPr fontId="1"/>
  </si>
  <si>
    <r>
      <rPr>
        <sz val="11"/>
        <rFont val="游ゴシック Medium"/>
        <family val="3"/>
        <charset val="128"/>
      </rPr>
      <t>さとう光</t>
    </r>
    <rPh sb="3" eb="4">
      <t>ヒカル</t>
    </rPh>
    <phoneticPr fontId="1"/>
  </si>
  <si>
    <r>
      <rPr>
        <sz val="11"/>
        <rFont val="游ゴシック Medium"/>
        <family val="3"/>
        <charset val="128"/>
      </rPr>
      <t>ドラえもんのびっくり日本の歴史</t>
    </r>
    <r>
      <rPr>
        <sz val="11"/>
        <rFont val="Consolas"/>
        <family val="3"/>
      </rPr>
      <t xml:space="preserve"> </t>
    </r>
    <r>
      <rPr>
        <sz val="11"/>
        <rFont val="游ゴシック Medium"/>
        <family val="3"/>
        <charset val="128"/>
      </rPr>
      <t>遺跡・大建築編</t>
    </r>
    <r>
      <rPr>
        <sz val="11"/>
        <rFont val="Consolas"/>
        <family val="3"/>
      </rPr>
      <t xml:space="preserve"> 1 </t>
    </r>
    <r>
      <rPr>
        <sz val="11"/>
        <rFont val="游ゴシック Medium"/>
        <family val="3"/>
        <charset val="128"/>
      </rPr>
      <t>岩宿遺跡から平城京</t>
    </r>
    <r>
      <rPr>
        <sz val="11"/>
        <rFont val="Consolas"/>
        <family val="3"/>
      </rPr>
      <t>&lt;</t>
    </r>
    <r>
      <rPr>
        <sz val="11"/>
        <rFont val="游ゴシック Medium"/>
        <family val="3"/>
        <charset val="128"/>
      </rPr>
      <t>旧石器時代から奈良時代まで</t>
    </r>
    <r>
      <rPr>
        <sz val="11"/>
        <rFont val="Consolas"/>
        <family val="3"/>
      </rPr>
      <t>&gt;</t>
    </r>
    <rPh sb="10" eb="12">
      <t>ニホン</t>
    </rPh>
    <rPh sb="13" eb="15">
      <t>レキシ</t>
    </rPh>
    <rPh sb="16" eb="18">
      <t>イセキ</t>
    </rPh>
    <rPh sb="19" eb="22">
      <t>ダイケンチク</t>
    </rPh>
    <rPh sb="22" eb="23">
      <t>ヘン</t>
    </rPh>
    <rPh sb="26" eb="28">
      <t>イワジュク</t>
    </rPh>
    <rPh sb="28" eb="30">
      <t>イセキ</t>
    </rPh>
    <rPh sb="32" eb="35">
      <t>ヘイジョウキョウ</t>
    </rPh>
    <rPh sb="43" eb="45">
      <t>ナラ</t>
    </rPh>
    <rPh sb="45" eb="47">
      <t>ジダイ</t>
    </rPh>
    <phoneticPr fontId="1"/>
  </si>
  <si>
    <r>
      <rPr>
        <sz val="11"/>
        <rFont val="游ゴシック Medium"/>
        <family val="3"/>
        <charset val="128"/>
      </rPr>
      <t>監修</t>
    </r>
    <r>
      <rPr>
        <sz val="11"/>
        <rFont val="Consolas"/>
        <family val="3"/>
      </rPr>
      <t>:</t>
    </r>
    <r>
      <rPr>
        <sz val="11"/>
        <rFont val="游ゴシック Medium"/>
        <family val="3"/>
        <charset val="128"/>
      </rPr>
      <t>中央大学教授</t>
    </r>
    <rPh sb="0" eb="2">
      <t>カンシュウ</t>
    </rPh>
    <rPh sb="3" eb="5">
      <t>チュウオウ</t>
    </rPh>
    <rPh sb="5" eb="7">
      <t>ダイガク</t>
    </rPh>
    <rPh sb="7" eb="9">
      <t>キョウジュ</t>
    </rPh>
    <phoneticPr fontId="1"/>
  </si>
  <si>
    <r>
      <rPr>
        <sz val="11"/>
        <rFont val="游ゴシック Medium"/>
        <family val="3"/>
        <charset val="128"/>
      </rPr>
      <t>田中道明</t>
    </r>
    <rPh sb="0" eb="2">
      <t>タナカ</t>
    </rPh>
    <rPh sb="2" eb="4">
      <t>ミチアキ</t>
    </rPh>
    <phoneticPr fontId="1"/>
  </si>
  <si>
    <r>
      <rPr>
        <sz val="11"/>
        <rFont val="游ゴシック Medium"/>
        <family val="3"/>
        <charset val="128"/>
      </rPr>
      <t>ドラえもんのびっくり日本の歴史</t>
    </r>
    <r>
      <rPr>
        <sz val="11"/>
        <rFont val="Consolas"/>
        <family val="3"/>
      </rPr>
      <t xml:space="preserve"> </t>
    </r>
    <r>
      <rPr>
        <sz val="11"/>
        <rFont val="游ゴシック Medium"/>
        <family val="3"/>
        <charset val="128"/>
      </rPr>
      <t>遺跡・大建築編</t>
    </r>
    <r>
      <rPr>
        <sz val="11"/>
        <rFont val="Consolas"/>
        <family val="3"/>
      </rPr>
      <t xml:space="preserve"> 2 </t>
    </r>
    <r>
      <rPr>
        <sz val="11"/>
        <rFont val="游ゴシック Medium"/>
        <family val="3"/>
        <charset val="128"/>
      </rPr>
      <t>平安京から堺の町</t>
    </r>
    <r>
      <rPr>
        <sz val="11"/>
        <rFont val="Consolas"/>
        <family val="3"/>
      </rPr>
      <t>&lt;</t>
    </r>
    <r>
      <rPr>
        <sz val="11"/>
        <rFont val="游ゴシック Medium"/>
        <family val="3"/>
        <charset val="128"/>
      </rPr>
      <t>平安時代から室町時代まで</t>
    </r>
    <r>
      <rPr>
        <sz val="11"/>
        <rFont val="Consolas"/>
        <family val="3"/>
      </rPr>
      <t>&gt;</t>
    </r>
    <rPh sb="10" eb="12">
      <t>ニホン</t>
    </rPh>
    <rPh sb="13" eb="15">
      <t>レキシ</t>
    </rPh>
    <rPh sb="16" eb="18">
      <t>イセキ</t>
    </rPh>
    <rPh sb="19" eb="22">
      <t>ダイケンチク</t>
    </rPh>
    <rPh sb="22" eb="23">
      <t>ヘン</t>
    </rPh>
    <rPh sb="26" eb="29">
      <t>ヘイアンキョウ</t>
    </rPh>
    <rPh sb="31" eb="32">
      <t>サカイ</t>
    </rPh>
    <rPh sb="33" eb="34">
      <t>マチ</t>
    </rPh>
    <rPh sb="35" eb="37">
      <t>ヘイアン</t>
    </rPh>
    <rPh sb="37" eb="39">
      <t>ジダイ</t>
    </rPh>
    <rPh sb="41" eb="43">
      <t>ムロマチ</t>
    </rPh>
    <rPh sb="43" eb="45">
      <t>ジダイ</t>
    </rPh>
    <phoneticPr fontId="1"/>
  </si>
  <si>
    <r>
      <rPr>
        <sz val="11"/>
        <rFont val="游ゴシック Medium"/>
        <family val="3"/>
        <charset val="128"/>
      </rPr>
      <t>監修</t>
    </r>
    <r>
      <rPr>
        <sz val="11"/>
        <rFont val="Consolas"/>
        <family val="3"/>
      </rPr>
      <t>:</t>
    </r>
    <r>
      <rPr>
        <sz val="11"/>
        <rFont val="游ゴシック Medium"/>
        <family val="3"/>
        <charset val="128"/>
      </rPr>
      <t>学習院大学名誉教授</t>
    </r>
    <rPh sb="0" eb="2">
      <t>カンシュウ</t>
    </rPh>
    <rPh sb="3" eb="6">
      <t>ガクシュウイン</t>
    </rPh>
    <rPh sb="6" eb="8">
      <t>ダイガク</t>
    </rPh>
    <rPh sb="8" eb="10">
      <t>メイヨ</t>
    </rPh>
    <rPh sb="10" eb="12">
      <t>キョウジュ</t>
    </rPh>
    <phoneticPr fontId="1"/>
  </si>
  <si>
    <r>
      <rPr>
        <sz val="11"/>
        <rFont val="游ゴシック Medium"/>
        <family val="3"/>
        <charset val="128"/>
      </rPr>
      <t>ドラえもんのびっくり日本の歴史</t>
    </r>
    <r>
      <rPr>
        <sz val="11"/>
        <rFont val="Consolas"/>
        <family val="3"/>
      </rPr>
      <t xml:space="preserve"> </t>
    </r>
    <r>
      <rPr>
        <sz val="11"/>
        <rFont val="游ゴシック Medium"/>
        <family val="3"/>
        <charset val="128"/>
      </rPr>
      <t>遺跡・大建築編</t>
    </r>
    <r>
      <rPr>
        <sz val="11"/>
        <rFont val="Consolas"/>
        <family val="3"/>
      </rPr>
      <t xml:space="preserve"> 3 </t>
    </r>
    <r>
      <rPr>
        <sz val="11"/>
        <rFont val="游ゴシック Medium"/>
        <family val="3"/>
        <charset val="128"/>
      </rPr>
      <t>安土城から国会議事堂</t>
    </r>
    <r>
      <rPr>
        <sz val="11"/>
        <rFont val="Consolas"/>
        <family val="3"/>
      </rPr>
      <t>&lt;</t>
    </r>
    <r>
      <rPr>
        <sz val="11"/>
        <rFont val="游ゴシック Medium"/>
        <family val="3"/>
        <charset val="128"/>
      </rPr>
      <t>戦国時代から近代</t>
    </r>
    <r>
      <rPr>
        <sz val="11"/>
        <rFont val="Consolas"/>
        <family val="3"/>
      </rPr>
      <t>&gt;</t>
    </r>
    <rPh sb="10" eb="12">
      <t>ニホン</t>
    </rPh>
    <rPh sb="13" eb="15">
      <t>レキシ</t>
    </rPh>
    <rPh sb="16" eb="18">
      <t>イセキ</t>
    </rPh>
    <rPh sb="19" eb="22">
      <t>ダイケンチク</t>
    </rPh>
    <rPh sb="22" eb="23">
      <t>ヘン</t>
    </rPh>
    <rPh sb="26" eb="29">
      <t>アヅチジョウ</t>
    </rPh>
    <rPh sb="31" eb="33">
      <t>コッカイ</t>
    </rPh>
    <rPh sb="33" eb="36">
      <t>ギジドウ</t>
    </rPh>
    <rPh sb="37" eb="39">
      <t>センゴク</t>
    </rPh>
    <rPh sb="39" eb="41">
      <t>ジダイ</t>
    </rPh>
    <rPh sb="43" eb="45">
      <t>キンダイ</t>
    </rPh>
    <phoneticPr fontId="1"/>
  </si>
  <si>
    <r>
      <rPr>
        <sz val="11"/>
        <rFont val="游ゴシック Medium"/>
        <family val="3"/>
        <charset val="128"/>
      </rPr>
      <t>武光</t>
    </r>
    <r>
      <rPr>
        <sz val="11"/>
        <rFont val="Consolas"/>
        <family val="3"/>
      </rPr>
      <t xml:space="preserve"> </t>
    </r>
    <r>
      <rPr>
        <sz val="11"/>
        <rFont val="游ゴシック Medium"/>
        <family val="3"/>
        <charset val="128"/>
      </rPr>
      <t>誠</t>
    </r>
    <rPh sb="0" eb="2">
      <t>タケミツ</t>
    </rPh>
    <rPh sb="3" eb="4">
      <t>マコト</t>
    </rPh>
    <phoneticPr fontId="1"/>
  </si>
  <si>
    <r>
      <rPr>
        <sz val="11"/>
        <rFont val="游ゴシック Medium"/>
        <family val="3"/>
        <charset val="128"/>
      </rPr>
      <t>監修</t>
    </r>
    <r>
      <rPr>
        <sz val="11"/>
        <rFont val="Consolas"/>
        <family val="3"/>
      </rPr>
      <t>:</t>
    </r>
    <r>
      <rPr>
        <sz val="11"/>
        <rFont val="游ゴシック Medium"/>
        <family val="3"/>
        <charset val="128"/>
      </rPr>
      <t>明治学院大学教授</t>
    </r>
    <rPh sb="0" eb="2">
      <t>カンシュウ</t>
    </rPh>
    <rPh sb="3" eb="5">
      <t>メイジ</t>
    </rPh>
    <rPh sb="5" eb="7">
      <t>ガクイン</t>
    </rPh>
    <rPh sb="7" eb="9">
      <t>ダイガク</t>
    </rPh>
    <rPh sb="9" eb="11">
      <t>キョウジュ</t>
    </rPh>
    <phoneticPr fontId="1"/>
  </si>
  <si>
    <r>
      <rPr>
        <sz val="11"/>
        <rFont val="游ゴシック Medium"/>
        <family val="3"/>
        <charset val="128"/>
      </rPr>
      <t>ドラえもんのびっくり日本の歴史</t>
    </r>
    <r>
      <rPr>
        <sz val="11"/>
        <rFont val="Consolas"/>
        <family val="3"/>
      </rPr>
      <t xml:space="preserve"> </t>
    </r>
    <r>
      <rPr>
        <sz val="11"/>
        <rFont val="游ゴシック Medium"/>
        <family val="3"/>
        <charset val="128"/>
      </rPr>
      <t>戦乱・大事件編</t>
    </r>
    <r>
      <rPr>
        <sz val="11"/>
        <rFont val="Consolas"/>
        <family val="3"/>
      </rPr>
      <t xml:space="preserve"> 1 </t>
    </r>
    <r>
      <rPr>
        <sz val="11"/>
        <rFont val="游ゴシック Medium"/>
        <family val="3"/>
        <charset val="128"/>
      </rPr>
      <t>石器の始まりから壇ノ浦の戦い</t>
    </r>
    <r>
      <rPr>
        <sz val="11"/>
        <rFont val="Consolas"/>
        <family val="3"/>
      </rPr>
      <t>&lt;</t>
    </r>
    <r>
      <rPr>
        <sz val="11"/>
        <rFont val="游ゴシック Medium"/>
        <family val="3"/>
        <charset val="128"/>
      </rPr>
      <t>旧石器時代から平安時代まで</t>
    </r>
    <r>
      <rPr>
        <sz val="11"/>
        <rFont val="Consolas"/>
        <family val="3"/>
      </rPr>
      <t>&gt;</t>
    </r>
    <rPh sb="10" eb="12">
      <t>ニホン</t>
    </rPh>
    <rPh sb="13" eb="15">
      <t>レキシ</t>
    </rPh>
    <rPh sb="16" eb="18">
      <t>センラン</t>
    </rPh>
    <rPh sb="19" eb="22">
      <t>ダイジケン</t>
    </rPh>
    <rPh sb="22" eb="23">
      <t>ヘン</t>
    </rPh>
    <rPh sb="26" eb="28">
      <t>セッキ</t>
    </rPh>
    <rPh sb="29" eb="30">
      <t>ハジ</t>
    </rPh>
    <rPh sb="34" eb="35">
      <t>ダン</t>
    </rPh>
    <rPh sb="36" eb="37">
      <t>ウラ</t>
    </rPh>
    <rPh sb="38" eb="39">
      <t>タタカ</t>
    </rPh>
    <rPh sb="41" eb="44">
      <t>キュウセッキ</t>
    </rPh>
    <rPh sb="44" eb="46">
      <t>ジダイ</t>
    </rPh>
    <rPh sb="48" eb="50">
      <t>ヘイアン</t>
    </rPh>
    <rPh sb="50" eb="52">
      <t>ジダイ</t>
    </rPh>
    <phoneticPr fontId="1"/>
  </si>
  <si>
    <r>
      <rPr>
        <sz val="11"/>
        <rFont val="游ゴシック Medium"/>
        <family val="3"/>
        <charset val="128"/>
      </rPr>
      <t>ドラえもんのびっくり日本の歴史</t>
    </r>
    <r>
      <rPr>
        <sz val="11"/>
        <rFont val="Consolas"/>
        <family val="3"/>
      </rPr>
      <t xml:space="preserve"> </t>
    </r>
    <r>
      <rPr>
        <sz val="11"/>
        <rFont val="游ゴシック Medium"/>
        <family val="3"/>
        <charset val="128"/>
      </rPr>
      <t>戦乱・大事件編</t>
    </r>
    <r>
      <rPr>
        <sz val="11"/>
        <rFont val="Consolas"/>
        <family val="3"/>
      </rPr>
      <t xml:space="preserve"> 2 </t>
    </r>
    <r>
      <rPr>
        <sz val="11"/>
        <rFont val="游ゴシック Medium"/>
        <family val="3"/>
        <charset val="128"/>
      </rPr>
      <t>源頼朝の戦いから関ヶ原の戦い</t>
    </r>
    <r>
      <rPr>
        <sz val="11"/>
        <rFont val="Consolas"/>
        <family val="3"/>
      </rPr>
      <t>&lt;</t>
    </r>
    <r>
      <rPr>
        <sz val="11"/>
        <rFont val="游ゴシック Medium"/>
        <family val="3"/>
        <charset val="128"/>
      </rPr>
      <t>鎌倉時代から安土桃山時代まで</t>
    </r>
    <r>
      <rPr>
        <sz val="11"/>
        <rFont val="Consolas"/>
        <family val="3"/>
      </rPr>
      <t>&gt;</t>
    </r>
    <rPh sb="10" eb="12">
      <t>ニホン</t>
    </rPh>
    <rPh sb="13" eb="15">
      <t>レキシ</t>
    </rPh>
    <rPh sb="16" eb="18">
      <t>センラン</t>
    </rPh>
    <rPh sb="19" eb="22">
      <t>ダイジケン</t>
    </rPh>
    <rPh sb="22" eb="23">
      <t>ヘン</t>
    </rPh>
    <rPh sb="26" eb="29">
      <t>ミナモトノヨリトモ</t>
    </rPh>
    <rPh sb="30" eb="31">
      <t>タタカ</t>
    </rPh>
    <rPh sb="34" eb="37">
      <t>セキガハラ</t>
    </rPh>
    <rPh sb="38" eb="39">
      <t>タタカ</t>
    </rPh>
    <rPh sb="41" eb="43">
      <t>カマクラ</t>
    </rPh>
    <rPh sb="43" eb="45">
      <t>ジダイ</t>
    </rPh>
    <rPh sb="47" eb="49">
      <t>アヅチ</t>
    </rPh>
    <rPh sb="49" eb="51">
      <t>モモヤマ</t>
    </rPh>
    <rPh sb="51" eb="53">
      <t>ジダイ</t>
    </rPh>
    <phoneticPr fontId="1"/>
  </si>
  <si>
    <r>
      <rPr>
        <sz val="11"/>
        <rFont val="游ゴシック Medium"/>
        <family val="3"/>
        <charset val="128"/>
      </rPr>
      <t>さいとうはるお</t>
    </r>
    <phoneticPr fontId="1"/>
  </si>
  <si>
    <r>
      <rPr>
        <sz val="11"/>
        <rFont val="游ゴシック Medium"/>
        <family val="3"/>
        <charset val="128"/>
      </rPr>
      <t>ドラえもんのびっくり日本の歴史</t>
    </r>
    <r>
      <rPr>
        <sz val="11"/>
        <rFont val="Consolas"/>
        <family val="3"/>
      </rPr>
      <t xml:space="preserve"> </t>
    </r>
    <r>
      <rPr>
        <sz val="11"/>
        <rFont val="游ゴシック Medium"/>
        <family val="3"/>
        <charset val="128"/>
      </rPr>
      <t>戦乱・大事件編</t>
    </r>
    <r>
      <rPr>
        <sz val="11"/>
        <rFont val="Consolas"/>
        <family val="3"/>
      </rPr>
      <t xml:space="preserve"> 3 </t>
    </r>
    <r>
      <rPr>
        <sz val="11"/>
        <rFont val="游ゴシック Medium"/>
        <family val="3"/>
        <charset val="128"/>
      </rPr>
      <t>慶長遣欧使節から明治維新</t>
    </r>
    <r>
      <rPr>
        <sz val="11"/>
        <rFont val="Consolas"/>
        <family val="3"/>
      </rPr>
      <t>&lt;</t>
    </r>
    <r>
      <rPr>
        <sz val="11"/>
        <rFont val="游ゴシック Medium"/>
        <family val="3"/>
        <charset val="128"/>
      </rPr>
      <t>江戸時代</t>
    </r>
    <r>
      <rPr>
        <sz val="11"/>
        <rFont val="Consolas"/>
        <family val="3"/>
      </rPr>
      <t>&gt;</t>
    </r>
    <rPh sb="10" eb="12">
      <t>ニホン</t>
    </rPh>
    <rPh sb="13" eb="15">
      <t>レキシ</t>
    </rPh>
    <rPh sb="16" eb="18">
      <t>センラン</t>
    </rPh>
    <rPh sb="19" eb="22">
      <t>ダイジケン</t>
    </rPh>
    <rPh sb="22" eb="23">
      <t>ヘン</t>
    </rPh>
    <rPh sb="26" eb="28">
      <t>ケイチョウ</t>
    </rPh>
    <rPh sb="28" eb="30">
      <t>ケンオウ</t>
    </rPh>
    <rPh sb="30" eb="32">
      <t>シセツ</t>
    </rPh>
    <rPh sb="34" eb="36">
      <t>メイジ</t>
    </rPh>
    <rPh sb="36" eb="38">
      <t>イシン</t>
    </rPh>
    <rPh sb="39" eb="41">
      <t>エド</t>
    </rPh>
    <rPh sb="41" eb="43">
      <t>ジダイ</t>
    </rPh>
    <phoneticPr fontId="1"/>
  </si>
  <si>
    <r>
      <rPr>
        <sz val="11"/>
        <rFont val="游ゴシック Medium"/>
        <family val="3"/>
        <charset val="128"/>
      </rPr>
      <t>日本の歴史</t>
    </r>
    <r>
      <rPr>
        <sz val="11"/>
        <rFont val="Consolas"/>
        <family val="3"/>
      </rPr>
      <t xml:space="preserve"> 5 </t>
    </r>
    <r>
      <rPr>
        <sz val="11"/>
        <rFont val="游ゴシック Medium"/>
        <family val="3"/>
        <charset val="128"/>
      </rPr>
      <t>貴族のさかえ</t>
    </r>
    <r>
      <rPr>
        <sz val="11"/>
        <rFont val="Consolas"/>
        <family val="3"/>
      </rPr>
      <t xml:space="preserve"> </t>
    </r>
    <r>
      <rPr>
        <sz val="11"/>
        <rFont val="游ゴシック Medium"/>
        <family val="3"/>
        <charset val="128"/>
      </rPr>
      <t>平安時代中期・後期</t>
    </r>
    <rPh sb="0" eb="2">
      <t>ニホン</t>
    </rPh>
    <rPh sb="3" eb="5">
      <t>レキシ</t>
    </rPh>
    <rPh sb="8" eb="10">
      <t>キゾク</t>
    </rPh>
    <rPh sb="15" eb="17">
      <t>ヘイアン</t>
    </rPh>
    <rPh sb="17" eb="19">
      <t>ジダイ</t>
    </rPh>
    <rPh sb="19" eb="21">
      <t>チュウキ</t>
    </rPh>
    <rPh sb="22" eb="24">
      <t>コウキ</t>
    </rPh>
    <phoneticPr fontId="1"/>
  </si>
  <si>
    <r>
      <rPr>
        <sz val="11"/>
        <rFont val="游ゴシック Medium"/>
        <family val="3"/>
        <charset val="128"/>
      </rPr>
      <t>小学館版</t>
    </r>
    <r>
      <rPr>
        <sz val="11"/>
        <rFont val="Consolas"/>
        <family val="3"/>
      </rPr>
      <t>/</t>
    </r>
    <r>
      <rPr>
        <sz val="11"/>
        <rFont val="游ゴシック Medium"/>
        <family val="3"/>
        <charset val="128"/>
      </rPr>
      <t>学習まんが</t>
    </r>
    <r>
      <rPr>
        <sz val="11"/>
        <rFont val="Consolas"/>
        <family val="3"/>
      </rPr>
      <t>/</t>
    </r>
    <r>
      <rPr>
        <sz val="11"/>
        <rFont val="游ゴシック Medium"/>
        <family val="3"/>
        <charset val="128"/>
      </rPr>
      <t>少年少女</t>
    </r>
    <rPh sb="0" eb="3">
      <t>ショウガッカン</t>
    </rPh>
    <rPh sb="3" eb="4">
      <t>バン</t>
    </rPh>
    <rPh sb="5" eb="7">
      <t>ガクシュウ</t>
    </rPh>
    <rPh sb="11" eb="13">
      <t>ショウネン</t>
    </rPh>
    <rPh sb="13" eb="15">
      <t>ショウジョ</t>
    </rPh>
    <phoneticPr fontId="1"/>
  </si>
  <si>
    <r>
      <rPr>
        <sz val="11"/>
        <rFont val="游ゴシック Medium"/>
        <family val="3"/>
        <charset val="128"/>
      </rPr>
      <t>藤子不二雄</t>
    </r>
    <rPh sb="0" eb="5">
      <t>フジコフジオ</t>
    </rPh>
    <phoneticPr fontId="1"/>
  </si>
  <si>
    <r>
      <rPr>
        <sz val="11"/>
        <rFont val="游ゴシック Medium"/>
        <family val="3"/>
        <charset val="128"/>
      </rPr>
      <t>キャラ</t>
    </r>
    <phoneticPr fontId="1"/>
  </si>
  <si>
    <r>
      <rPr>
        <sz val="11"/>
        <rFont val="游ゴシック Medium"/>
        <family val="3"/>
        <charset val="128"/>
      </rPr>
      <t>日能研</t>
    </r>
    <rPh sb="0" eb="3">
      <t>ニチノウケン</t>
    </rPh>
    <phoneticPr fontId="1"/>
  </si>
  <si>
    <r>
      <rPr>
        <sz val="11"/>
        <rFont val="游ゴシック Medium"/>
        <family val="3"/>
        <charset val="128"/>
      </rPr>
      <t>ドラえもんの社会科おもしろ攻略</t>
    </r>
    <r>
      <rPr>
        <sz val="11"/>
        <rFont val="Consolas"/>
        <family val="3"/>
      </rPr>
      <t xml:space="preserve"> </t>
    </r>
    <r>
      <rPr>
        <sz val="11"/>
        <rFont val="游ゴシック Medium"/>
        <family val="3"/>
        <charset val="128"/>
      </rPr>
      <t>日本各地の自然とくらし</t>
    </r>
    <rPh sb="6" eb="9">
      <t>シャカイカ</t>
    </rPh>
    <rPh sb="13" eb="15">
      <t>コウリャク</t>
    </rPh>
    <rPh sb="16" eb="18">
      <t>ニッポン</t>
    </rPh>
    <rPh sb="18" eb="20">
      <t>カクチ</t>
    </rPh>
    <rPh sb="21" eb="23">
      <t>シゼン</t>
    </rPh>
    <phoneticPr fontId="1"/>
  </si>
  <si>
    <r>
      <rPr>
        <sz val="11"/>
        <rFont val="游ゴシック Medium"/>
        <family val="3"/>
        <charset val="128"/>
      </rPr>
      <t>ドラえもんの学習シリーズ</t>
    </r>
    <rPh sb="6" eb="8">
      <t>ガクシュウ</t>
    </rPh>
    <phoneticPr fontId="1"/>
  </si>
  <si>
    <r>
      <rPr>
        <sz val="11"/>
        <rFont val="游ゴシック Medium"/>
        <family val="3"/>
        <charset val="128"/>
      </rPr>
      <t>ドラえもんの理科おもしろ攻略</t>
    </r>
    <r>
      <rPr>
        <sz val="11"/>
        <rFont val="Consolas"/>
        <family val="3"/>
      </rPr>
      <t xml:space="preserve"> </t>
    </r>
    <r>
      <rPr>
        <sz val="11"/>
        <rFont val="游ゴシック Medium"/>
        <family val="3"/>
        <charset val="128"/>
      </rPr>
      <t>理科実験</t>
    </r>
    <r>
      <rPr>
        <sz val="11"/>
        <rFont val="Consolas"/>
        <family val="3"/>
      </rPr>
      <t>Q&amp;A</t>
    </r>
    <rPh sb="6" eb="8">
      <t>リカ</t>
    </rPh>
    <rPh sb="12" eb="14">
      <t>コウリャク</t>
    </rPh>
    <rPh sb="15" eb="17">
      <t>リカ</t>
    </rPh>
    <rPh sb="17" eb="19">
      <t>ジッケン</t>
    </rPh>
    <rPh sb="19" eb="20">
      <t>キュー</t>
    </rPh>
    <rPh sb="20" eb="21">
      <t>アンド</t>
    </rPh>
    <rPh sb="21" eb="22">
      <t>エー</t>
    </rPh>
    <phoneticPr fontId="1"/>
  </si>
  <si>
    <r>
      <rPr>
        <sz val="11"/>
        <rFont val="游ゴシック Medium"/>
        <family val="3"/>
        <charset val="128"/>
      </rPr>
      <t>小堀夏世</t>
    </r>
    <rPh sb="0" eb="2">
      <t>コボリ</t>
    </rPh>
    <rPh sb="2" eb="4">
      <t>ナツヨ</t>
    </rPh>
    <phoneticPr fontId="1"/>
  </si>
  <si>
    <r>
      <rPr>
        <sz val="11"/>
        <rFont val="游ゴシック Medium"/>
        <family val="3"/>
        <charset val="128"/>
      </rPr>
      <t>栗岩英雄</t>
    </r>
    <rPh sb="0" eb="2">
      <t>クリイワ</t>
    </rPh>
    <rPh sb="2" eb="4">
      <t>ヒデオ</t>
    </rPh>
    <phoneticPr fontId="1"/>
  </si>
  <si>
    <r>
      <rPr>
        <sz val="11"/>
        <rFont val="游ゴシック Medium"/>
        <family val="3"/>
        <charset val="128"/>
      </rPr>
      <t>著</t>
    </r>
    <r>
      <rPr>
        <sz val="11"/>
        <rFont val="Consolas"/>
        <family val="3"/>
      </rPr>
      <t>:</t>
    </r>
    <r>
      <rPr>
        <sz val="11"/>
        <rFont val="游ゴシック Medium"/>
        <family val="3"/>
        <charset val="128"/>
      </rPr>
      <t>教育技術研究所顧問</t>
    </r>
    <rPh sb="0" eb="1">
      <t>チョ</t>
    </rPh>
    <rPh sb="2" eb="4">
      <t>キョウイク</t>
    </rPh>
    <rPh sb="4" eb="6">
      <t>ギジュツ</t>
    </rPh>
    <rPh sb="6" eb="9">
      <t>ケンキュウショ</t>
    </rPh>
    <rPh sb="9" eb="11">
      <t>コモン</t>
    </rPh>
    <phoneticPr fontId="1"/>
  </si>
  <si>
    <r>
      <rPr>
        <sz val="11"/>
        <rFont val="游ゴシック Medium"/>
        <family val="3"/>
        <charset val="128"/>
      </rPr>
      <t>ドラえもんの国語おもしろ攻略</t>
    </r>
    <r>
      <rPr>
        <sz val="11"/>
        <rFont val="Consolas"/>
        <family val="3"/>
      </rPr>
      <t xml:space="preserve"> </t>
    </r>
    <r>
      <rPr>
        <sz val="11"/>
        <rFont val="游ゴシック Medium"/>
        <family val="3"/>
        <charset val="128"/>
      </rPr>
      <t>改訂新版</t>
    </r>
    <r>
      <rPr>
        <sz val="11"/>
        <rFont val="Consolas"/>
        <family val="3"/>
      </rPr>
      <t xml:space="preserve"> </t>
    </r>
    <r>
      <rPr>
        <sz val="11"/>
        <rFont val="游ゴシック Medium"/>
        <family val="3"/>
        <charset val="128"/>
      </rPr>
      <t>ことわざ辞典</t>
    </r>
    <rPh sb="6" eb="8">
      <t>コクゴ</t>
    </rPh>
    <rPh sb="12" eb="14">
      <t>コウリャク</t>
    </rPh>
    <rPh sb="15" eb="17">
      <t>カイテイ</t>
    </rPh>
    <rPh sb="17" eb="19">
      <t>シンパン</t>
    </rPh>
    <rPh sb="24" eb="26">
      <t>ジテン</t>
    </rPh>
    <phoneticPr fontId="1"/>
  </si>
  <si>
    <r>
      <rPr>
        <sz val="11"/>
        <rFont val="游ゴシック Medium"/>
        <family val="3"/>
        <charset val="128"/>
      </rPr>
      <t>鈴木敬信</t>
    </r>
    <r>
      <rPr>
        <sz val="11"/>
        <rFont val="Consolas"/>
        <family val="3"/>
      </rPr>
      <t>,</t>
    </r>
    <r>
      <rPr>
        <sz val="11"/>
        <rFont val="游ゴシック Medium"/>
        <family val="3"/>
        <charset val="128"/>
      </rPr>
      <t>古川晴男</t>
    </r>
    <r>
      <rPr>
        <sz val="11"/>
        <rFont val="Consolas"/>
        <family val="3"/>
      </rPr>
      <t>,</t>
    </r>
    <r>
      <rPr>
        <sz val="11"/>
        <rFont val="游ゴシック Medium"/>
        <family val="3"/>
        <charset val="128"/>
      </rPr>
      <t>鹿沼茂三郎</t>
    </r>
    <rPh sb="0" eb="2">
      <t>スズキ</t>
    </rPh>
    <rPh sb="2" eb="4">
      <t>タカノブ</t>
    </rPh>
    <rPh sb="5" eb="7">
      <t>フルカワ</t>
    </rPh>
    <rPh sb="7" eb="9">
      <t>ハルオ</t>
    </rPh>
    <rPh sb="10" eb="12">
      <t>カヌマ</t>
    </rPh>
    <rPh sb="12" eb="15">
      <t>シゲサブロウ</t>
    </rPh>
    <phoneticPr fontId="1"/>
  </si>
  <si>
    <r>
      <rPr>
        <sz val="11"/>
        <rFont val="游ゴシック Medium"/>
        <family val="3"/>
        <charset val="128"/>
      </rPr>
      <t>監修</t>
    </r>
    <r>
      <rPr>
        <sz val="11"/>
        <rFont val="Consolas"/>
        <family val="3"/>
      </rPr>
      <t>,</t>
    </r>
    <r>
      <rPr>
        <sz val="11"/>
        <rFont val="游ゴシック Medium"/>
        <family val="3"/>
        <charset val="128"/>
      </rPr>
      <t>理学博士</t>
    </r>
    <rPh sb="0" eb="2">
      <t>カンシュウ</t>
    </rPh>
    <rPh sb="3" eb="5">
      <t>リガク</t>
    </rPh>
    <rPh sb="5" eb="7">
      <t>ハクシ</t>
    </rPh>
    <phoneticPr fontId="1"/>
  </si>
  <si>
    <r>
      <rPr>
        <sz val="11"/>
        <rFont val="游ゴシック Medium"/>
        <family val="3"/>
        <charset val="128"/>
      </rPr>
      <t>寺尾知文</t>
    </r>
    <rPh sb="0" eb="2">
      <t>テラオ</t>
    </rPh>
    <rPh sb="2" eb="4">
      <t>トモフミ</t>
    </rPh>
    <phoneticPr fontId="1"/>
  </si>
  <si>
    <r>
      <rPr>
        <sz val="11"/>
        <rFont val="游ゴシック Medium"/>
        <family val="3"/>
        <charset val="128"/>
      </rPr>
      <t>漫画</t>
    </r>
    <rPh sb="0" eb="2">
      <t>マンガ</t>
    </rPh>
    <phoneticPr fontId="1"/>
  </si>
  <si>
    <r>
      <rPr>
        <sz val="11"/>
        <rFont val="游ゴシック Medium"/>
        <family val="3"/>
        <charset val="128"/>
      </rPr>
      <t>光・音・熱の魔術師</t>
    </r>
    <r>
      <rPr>
        <sz val="8"/>
        <rFont val="Consolas"/>
        <family val="3"/>
      </rPr>
      <t xml:space="preserve"> </t>
    </r>
    <r>
      <rPr>
        <sz val="8"/>
        <rFont val="游ゴシック Medium"/>
        <family val="3"/>
        <charset val="128"/>
      </rPr>
      <t>光と音と熱</t>
    </r>
    <rPh sb="0" eb="1">
      <t>ヒカリ</t>
    </rPh>
    <rPh sb="2" eb="3">
      <t>オト</t>
    </rPh>
    <rPh sb="4" eb="5">
      <t>ネツ</t>
    </rPh>
    <rPh sb="6" eb="9">
      <t>マジュツシ</t>
    </rPh>
    <rPh sb="10" eb="11">
      <t>ヒカリ</t>
    </rPh>
    <rPh sb="12" eb="13">
      <t>オト</t>
    </rPh>
    <rPh sb="14" eb="15">
      <t>ネツ</t>
    </rPh>
    <phoneticPr fontId="1"/>
  </si>
  <si>
    <r>
      <rPr>
        <sz val="11"/>
        <rFont val="游ゴシック Medium"/>
        <family val="3"/>
        <charset val="128"/>
      </rPr>
      <t>なぜなぜ理科学習漫画</t>
    </r>
    <rPh sb="4" eb="6">
      <t>リカ</t>
    </rPh>
    <rPh sb="6" eb="8">
      <t>ガクシュウ</t>
    </rPh>
    <rPh sb="8" eb="10">
      <t>マンガ</t>
    </rPh>
    <phoneticPr fontId="1"/>
  </si>
  <si>
    <r>
      <rPr>
        <sz val="11"/>
        <rFont val="游ゴシック Medium"/>
        <family val="3"/>
        <charset val="128"/>
      </rPr>
      <t>秀樹実家</t>
    </r>
    <r>
      <rPr>
        <sz val="11"/>
        <rFont val="Consolas"/>
        <family val="3"/>
      </rPr>
      <t>/</t>
    </r>
    <r>
      <rPr>
        <sz val="11"/>
        <rFont val="游ゴシック Medium"/>
        <family val="3"/>
        <charset val="128"/>
      </rPr>
      <t>サンタクロースのプレゼント</t>
    </r>
    <rPh sb="0" eb="2">
      <t>ヒデキ</t>
    </rPh>
    <rPh sb="2" eb="4">
      <t>ジッカ</t>
    </rPh>
    <phoneticPr fontId="1"/>
  </si>
  <si>
    <r>
      <rPr>
        <sz val="11"/>
        <rFont val="游ゴシック Medium"/>
        <family val="3"/>
        <charset val="128"/>
      </rPr>
      <t>山内竜臣</t>
    </r>
    <rPh sb="0" eb="2">
      <t>ヤマウチ</t>
    </rPh>
    <rPh sb="2" eb="4">
      <t>タツオミ</t>
    </rPh>
    <phoneticPr fontId="1"/>
  </si>
  <si>
    <r>
      <rPr>
        <sz val="11"/>
        <rFont val="游ゴシック Medium"/>
        <family val="3"/>
        <charset val="128"/>
      </rPr>
      <t>機械の実験室</t>
    </r>
    <rPh sb="0" eb="2">
      <t>キカイ</t>
    </rPh>
    <rPh sb="3" eb="6">
      <t>ジッケンシツ</t>
    </rPh>
    <phoneticPr fontId="1"/>
  </si>
  <si>
    <r>
      <rPr>
        <sz val="11"/>
        <rFont val="游ゴシック Medium"/>
        <family val="3"/>
        <charset val="128"/>
      </rPr>
      <t>自然と原子の驚異</t>
    </r>
    <rPh sb="0" eb="2">
      <t>シゼン</t>
    </rPh>
    <rPh sb="3" eb="5">
      <t>ゲンシ</t>
    </rPh>
    <rPh sb="6" eb="8">
      <t>キョウイ</t>
    </rPh>
    <phoneticPr fontId="1"/>
  </si>
  <si>
    <r>
      <rPr>
        <sz val="11"/>
        <rFont val="游ゴシック Medium"/>
        <family val="3"/>
        <charset val="128"/>
      </rPr>
      <t>鏑木政岐</t>
    </r>
    <r>
      <rPr>
        <sz val="11"/>
        <rFont val="Consolas"/>
        <family val="3"/>
      </rPr>
      <t>/</t>
    </r>
    <r>
      <rPr>
        <sz val="11"/>
        <rFont val="游ゴシック Medium"/>
        <family val="3"/>
        <charset val="128"/>
      </rPr>
      <t>伴憲三郎</t>
    </r>
    <r>
      <rPr>
        <sz val="11"/>
        <rFont val="Consolas"/>
        <family val="3"/>
      </rPr>
      <t>/</t>
    </r>
    <r>
      <rPr>
        <sz val="11"/>
        <rFont val="游ゴシック Medium"/>
        <family val="3"/>
        <charset val="128"/>
      </rPr>
      <t>鮫谷陸雄</t>
    </r>
    <rPh sb="0" eb="2">
      <t>カブラギ</t>
    </rPh>
    <rPh sb="2" eb="4">
      <t>マサキ</t>
    </rPh>
    <rPh sb="5" eb="6">
      <t>バン</t>
    </rPh>
    <rPh sb="6" eb="9">
      <t>ケンザブロウ</t>
    </rPh>
    <rPh sb="10" eb="12">
      <t>サメヤ</t>
    </rPh>
    <rPh sb="12" eb="14">
      <t>リクオ</t>
    </rPh>
    <phoneticPr fontId="1"/>
  </si>
  <si>
    <r>
      <rPr>
        <sz val="11"/>
        <rFont val="游ゴシック Medium"/>
        <family val="3"/>
        <charset val="128"/>
      </rPr>
      <t>監修</t>
    </r>
    <r>
      <rPr>
        <sz val="11"/>
        <rFont val="Consolas"/>
        <family val="3"/>
      </rPr>
      <t>,</t>
    </r>
    <r>
      <rPr>
        <sz val="11"/>
        <rFont val="游ゴシック Medium"/>
        <family val="3"/>
        <charset val="128"/>
      </rPr>
      <t>理学博士</t>
    </r>
    <r>
      <rPr>
        <sz val="11"/>
        <rFont val="Consolas"/>
        <family val="3"/>
      </rPr>
      <t>,</t>
    </r>
    <r>
      <rPr>
        <sz val="11"/>
        <rFont val="游ゴシック Medium"/>
        <family val="3"/>
        <charset val="128"/>
      </rPr>
      <t>東京大学名誉教授</t>
    </r>
    <r>
      <rPr>
        <sz val="11"/>
        <rFont val="Consolas"/>
        <family val="3"/>
      </rPr>
      <t>/</t>
    </r>
    <r>
      <rPr>
        <sz val="11"/>
        <rFont val="游ゴシック Medium"/>
        <family val="3"/>
        <charset val="128"/>
      </rPr>
      <t>立案</t>
    </r>
    <r>
      <rPr>
        <sz val="11"/>
        <rFont val="Consolas"/>
        <family val="3"/>
      </rPr>
      <t>,</t>
    </r>
    <r>
      <rPr>
        <sz val="11"/>
        <rFont val="游ゴシック Medium"/>
        <family val="3"/>
        <charset val="128"/>
      </rPr>
      <t>学芸大附属世田谷小学校教諭</t>
    </r>
    <r>
      <rPr>
        <sz val="11"/>
        <rFont val="Consolas"/>
        <family val="3"/>
      </rPr>
      <t>/</t>
    </r>
    <r>
      <rPr>
        <sz val="11"/>
        <rFont val="游ゴシック Medium"/>
        <family val="3"/>
        <charset val="128"/>
      </rPr>
      <t>立案</t>
    </r>
    <r>
      <rPr>
        <sz val="11"/>
        <rFont val="Consolas"/>
        <family val="3"/>
      </rPr>
      <t>,</t>
    </r>
    <r>
      <rPr>
        <sz val="11"/>
        <rFont val="游ゴシック Medium"/>
        <family val="3"/>
        <charset val="128"/>
      </rPr>
      <t>保谷市立東伏見小学校教諭</t>
    </r>
    <rPh sb="0" eb="2">
      <t>カンシュウ</t>
    </rPh>
    <rPh sb="3" eb="5">
      <t>リガク</t>
    </rPh>
    <rPh sb="5" eb="7">
      <t>ハクシ</t>
    </rPh>
    <rPh sb="8" eb="10">
      <t>トウキョウ</t>
    </rPh>
    <rPh sb="10" eb="12">
      <t>ダイガク</t>
    </rPh>
    <rPh sb="12" eb="14">
      <t>メイヨ</t>
    </rPh>
    <rPh sb="14" eb="16">
      <t>キョウジュ</t>
    </rPh>
    <rPh sb="17" eb="19">
      <t>リツアン</t>
    </rPh>
    <rPh sb="20" eb="22">
      <t>ガクゲイ</t>
    </rPh>
    <rPh sb="22" eb="24">
      <t>オオツキ</t>
    </rPh>
    <rPh sb="24" eb="25">
      <t>ゾク</t>
    </rPh>
    <rPh sb="25" eb="28">
      <t>セタガヤ</t>
    </rPh>
    <rPh sb="28" eb="31">
      <t>ショウガッコウ</t>
    </rPh>
    <rPh sb="31" eb="33">
      <t>キョウユ</t>
    </rPh>
    <rPh sb="34" eb="36">
      <t>リツアン</t>
    </rPh>
    <rPh sb="37" eb="41">
      <t>ホウヤシリツ</t>
    </rPh>
    <rPh sb="41" eb="44">
      <t>ヒガシフシミ</t>
    </rPh>
    <rPh sb="44" eb="47">
      <t>ショウガッコウ</t>
    </rPh>
    <rPh sb="47" eb="49">
      <t>キョウユ</t>
    </rPh>
    <phoneticPr fontId="1"/>
  </si>
  <si>
    <r>
      <rPr>
        <sz val="11"/>
        <rFont val="游ゴシック Medium"/>
        <family val="3"/>
        <charset val="128"/>
      </rPr>
      <t>若月てつ</t>
    </r>
    <rPh sb="0" eb="2">
      <t>ワカツキ</t>
    </rPh>
    <phoneticPr fontId="1"/>
  </si>
  <si>
    <r>
      <rPr>
        <sz val="11"/>
        <rFont val="游ゴシック Medium"/>
        <family val="3"/>
        <charset val="128"/>
      </rPr>
      <t>大宇宙をさぐる</t>
    </r>
    <rPh sb="0" eb="3">
      <t>ダイウチュウ</t>
    </rPh>
    <phoneticPr fontId="1"/>
  </si>
  <si>
    <r>
      <rPr>
        <sz val="11"/>
        <rFont val="游ゴシック Medium"/>
        <family val="3"/>
        <charset val="128"/>
      </rPr>
      <t>なぜなぜ宇宙学習漫画</t>
    </r>
    <rPh sb="4" eb="6">
      <t>ウチュウ</t>
    </rPh>
    <rPh sb="6" eb="8">
      <t>ガクシュウ</t>
    </rPh>
    <rPh sb="8" eb="10">
      <t>マンガ</t>
    </rPh>
    <phoneticPr fontId="1"/>
  </si>
  <si>
    <r>
      <rPr>
        <sz val="11"/>
        <rFont val="游ゴシック Medium"/>
        <family val="3"/>
        <charset val="128"/>
      </rPr>
      <t>手製</t>
    </r>
    <rPh sb="0" eb="2">
      <t>テセイ</t>
    </rPh>
    <phoneticPr fontId="1"/>
  </si>
  <si>
    <r>
      <rPr>
        <sz val="11"/>
        <rFont val="游ゴシック Medium"/>
        <family val="3"/>
        <charset val="128"/>
      </rPr>
      <t>夜野</t>
    </r>
    <r>
      <rPr>
        <sz val="11"/>
        <rFont val="Consolas"/>
        <family val="3"/>
      </rPr>
      <t xml:space="preserve"> </t>
    </r>
    <r>
      <rPr>
        <sz val="11"/>
        <rFont val="游ゴシック Medium"/>
        <family val="3"/>
        <charset val="128"/>
      </rPr>
      <t>ムクロジ</t>
    </r>
    <rPh sb="0" eb="2">
      <t>ヨルノ</t>
    </rPh>
    <phoneticPr fontId="1"/>
  </si>
  <si>
    <r>
      <rPr>
        <sz val="11"/>
        <rFont val="游ゴシック Medium"/>
        <family val="3"/>
        <charset val="128"/>
      </rPr>
      <t>トイレくんと死刑囚</t>
    </r>
    <rPh sb="6" eb="9">
      <t>シケイシュウ</t>
    </rPh>
    <phoneticPr fontId="1"/>
  </si>
  <si>
    <r>
      <rPr>
        <sz val="11"/>
        <rFont val="游ゴシック Medium"/>
        <family val="3"/>
        <charset val="128"/>
      </rPr>
      <t>えび</t>
    </r>
    <phoneticPr fontId="1"/>
  </si>
  <si>
    <r>
      <rPr>
        <sz val="11"/>
        <rFont val="游ゴシック Medium"/>
        <family val="3"/>
        <charset val="128"/>
      </rPr>
      <t>コピー用紙</t>
    </r>
    <rPh sb="3" eb="5">
      <t>ヨウシ</t>
    </rPh>
    <phoneticPr fontId="1"/>
  </si>
  <si>
    <r>
      <rPr>
        <sz val="11"/>
        <rFont val="游ゴシック Medium"/>
        <family val="3"/>
        <charset val="128"/>
      </rPr>
      <t>矢野達人</t>
    </r>
    <rPh sb="0" eb="2">
      <t>ヤノ</t>
    </rPh>
    <rPh sb="2" eb="4">
      <t>タツト</t>
    </rPh>
    <phoneticPr fontId="1"/>
  </si>
  <si>
    <r>
      <rPr>
        <sz val="11"/>
        <rFont val="游ゴシック Medium"/>
        <family val="3"/>
        <charset val="128"/>
      </rPr>
      <t>あもい潤</t>
    </r>
    <rPh sb="3" eb="4">
      <t>ジュン</t>
    </rPh>
    <phoneticPr fontId="1"/>
  </si>
  <si>
    <r>
      <rPr>
        <sz val="11"/>
        <rFont val="游ゴシック Medium"/>
        <family val="3"/>
        <charset val="128"/>
      </rPr>
      <t>カスミン</t>
    </r>
    <phoneticPr fontId="1"/>
  </si>
  <si>
    <r>
      <rPr>
        <strike/>
        <sz val="11"/>
        <rFont val="游ゴシック Medium"/>
        <family val="3"/>
        <charset val="128"/>
      </rPr>
      <t>岡野玲子</t>
    </r>
    <rPh sb="0" eb="2">
      <t>オカノ</t>
    </rPh>
    <rPh sb="2" eb="4">
      <t>レイコ</t>
    </rPh>
    <phoneticPr fontId="1"/>
  </si>
  <si>
    <r>
      <rPr>
        <b/>
        <strike/>
        <sz val="11"/>
        <color indexed="33"/>
        <rFont val="游ゴシック Medium"/>
        <family val="3"/>
        <charset val="128"/>
      </rPr>
      <t>ファンシィダンス</t>
    </r>
    <phoneticPr fontId="1"/>
  </si>
  <si>
    <r>
      <rPr>
        <sz val="11"/>
        <rFont val="游ゴシック Medium"/>
        <family val="3"/>
        <charset val="128"/>
      </rPr>
      <t>神谷</t>
    </r>
    <r>
      <rPr>
        <sz val="11"/>
        <rFont val="Consolas"/>
        <family val="3"/>
      </rPr>
      <t xml:space="preserve"> </t>
    </r>
    <r>
      <rPr>
        <sz val="11"/>
        <rFont val="游ゴシック Medium"/>
        <family val="3"/>
        <charset val="128"/>
      </rPr>
      <t>悠</t>
    </r>
    <rPh sb="0" eb="2">
      <t>カミヤ</t>
    </rPh>
    <rPh sb="3" eb="4">
      <t>ユウ</t>
    </rPh>
    <phoneticPr fontId="1"/>
  </si>
  <si>
    <r>
      <rPr>
        <sz val="11"/>
        <rFont val="游ゴシック Medium"/>
        <family val="3"/>
        <charset val="128"/>
      </rPr>
      <t>魔王の刻</t>
    </r>
    <rPh sb="0" eb="2">
      <t>マオウ</t>
    </rPh>
    <rPh sb="3" eb="4">
      <t>トキ</t>
    </rPh>
    <phoneticPr fontId="1"/>
  </si>
  <si>
    <r>
      <rPr>
        <sz val="11"/>
        <rFont val="游ゴシック Medium"/>
        <family val="3"/>
        <charset val="128"/>
      </rPr>
      <t>花とゆめ</t>
    </r>
    <r>
      <rPr>
        <sz val="11"/>
        <rFont val="Consolas"/>
        <family val="3"/>
      </rPr>
      <t>COMICS</t>
    </r>
    <rPh sb="0" eb="1">
      <t>ハナ</t>
    </rPh>
    <phoneticPr fontId="1"/>
  </si>
  <si>
    <r>
      <rPr>
        <sz val="11"/>
        <rFont val="游ゴシック Medium"/>
        <family val="3"/>
        <charset val="128"/>
      </rPr>
      <t>白泉社</t>
    </r>
    <rPh sb="0" eb="3">
      <t>ハクセンシャ</t>
    </rPh>
    <phoneticPr fontId="1"/>
  </si>
  <si>
    <r>
      <rPr>
        <sz val="11"/>
        <rFont val="游ゴシック Medium"/>
        <family val="3"/>
        <charset val="128"/>
      </rPr>
      <t>おまけに付けてくれた</t>
    </r>
    <rPh sb="4" eb="5">
      <t>ツ</t>
    </rPh>
    <phoneticPr fontId="1"/>
  </si>
  <si>
    <r>
      <rPr>
        <strike/>
        <sz val="11"/>
        <rFont val="游ゴシック Medium"/>
        <family val="3"/>
        <charset val="128"/>
      </rPr>
      <t>川原</t>
    </r>
    <r>
      <rPr>
        <strike/>
        <sz val="11"/>
        <rFont val="Consolas"/>
        <family val="3"/>
      </rPr>
      <t xml:space="preserve"> </t>
    </r>
    <r>
      <rPr>
        <strike/>
        <sz val="11"/>
        <rFont val="游ゴシック Medium"/>
        <family val="3"/>
        <charset val="128"/>
      </rPr>
      <t>泉</t>
    </r>
    <rPh sb="0" eb="2">
      <t>カワハラ</t>
    </rPh>
    <rPh sb="3" eb="4">
      <t>イズミ</t>
    </rPh>
    <phoneticPr fontId="1"/>
  </si>
  <si>
    <r>
      <rPr>
        <strike/>
        <sz val="11"/>
        <rFont val="游ゴシック Medium"/>
        <family val="3"/>
        <charset val="128"/>
      </rPr>
      <t>メイプル戦記</t>
    </r>
    <r>
      <rPr>
        <strike/>
        <sz val="11"/>
        <rFont val="Consolas"/>
        <family val="3"/>
      </rPr>
      <t>etc.</t>
    </r>
    <rPh sb="4" eb="6">
      <t>センキ</t>
    </rPh>
    <phoneticPr fontId="1"/>
  </si>
  <si>
    <r>
      <rPr>
        <sz val="11"/>
        <rFont val="游ゴシック Medium"/>
        <family val="3"/>
        <charset val="128"/>
      </rPr>
      <t>久米田康治</t>
    </r>
    <rPh sb="0" eb="3">
      <t>クメタ</t>
    </rPh>
    <rPh sb="3" eb="5">
      <t>コウジ</t>
    </rPh>
    <phoneticPr fontId="1"/>
  </si>
  <si>
    <r>
      <rPr>
        <sz val="11"/>
        <rFont val="游ゴシック Medium"/>
        <family val="3"/>
        <charset val="128"/>
      </rPr>
      <t>かってに改蔵</t>
    </r>
    <rPh sb="4" eb="6">
      <t>カイゾウ</t>
    </rPh>
    <phoneticPr fontId="1"/>
  </si>
  <si>
    <r>
      <rPr>
        <sz val="11"/>
        <rFont val="游ゴシック Medium"/>
        <family val="3"/>
        <charset val="128"/>
      </rPr>
      <t>少年サンデーコミックス</t>
    </r>
    <rPh sb="0" eb="2">
      <t>ショウネン</t>
    </rPh>
    <phoneticPr fontId="1"/>
  </si>
  <si>
    <r>
      <rPr>
        <strike/>
        <sz val="11"/>
        <rFont val="游ゴシック Medium"/>
        <family val="3"/>
        <charset val="128"/>
      </rPr>
      <t>久米田康治</t>
    </r>
    <rPh sb="0" eb="3">
      <t>クメタ</t>
    </rPh>
    <rPh sb="3" eb="5">
      <t>コウジ</t>
    </rPh>
    <phoneticPr fontId="1"/>
  </si>
  <si>
    <r>
      <rPr>
        <strike/>
        <sz val="11"/>
        <rFont val="游ゴシック Medium"/>
        <family val="3"/>
        <charset val="128"/>
      </rPr>
      <t>さよなら絶望先生</t>
    </r>
    <rPh sb="4" eb="6">
      <t>ゼツボウ</t>
    </rPh>
    <rPh sb="6" eb="8">
      <t>センセイ</t>
    </rPh>
    <phoneticPr fontId="1"/>
  </si>
  <si>
    <r>
      <rPr>
        <strike/>
        <sz val="11"/>
        <rFont val="游ゴシック Medium"/>
        <family val="3"/>
        <charset val="128"/>
      </rPr>
      <t>少年マガジンコミックス</t>
    </r>
    <rPh sb="0" eb="2">
      <t>ショウネン</t>
    </rPh>
    <phoneticPr fontId="1"/>
  </si>
  <si>
    <r>
      <rPr>
        <strike/>
        <sz val="11"/>
        <rFont val="游ゴシック Medium"/>
        <family val="3"/>
        <charset val="128"/>
      </rPr>
      <t>まほが全巻セットを購入したため売却</t>
    </r>
    <rPh sb="3" eb="5">
      <t>ゼンカン</t>
    </rPh>
    <rPh sb="9" eb="11">
      <t>コウニュウ</t>
    </rPh>
    <rPh sb="15" eb="17">
      <t>バイキャク</t>
    </rPh>
    <phoneticPr fontId="1"/>
  </si>
  <si>
    <r>
      <rPr>
        <sz val="11"/>
        <rFont val="游ゴシック Medium"/>
        <family val="3"/>
        <charset val="128"/>
      </rPr>
      <t>さよなら絶望先生</t>
    </r>
    <rPh sb="4" eb="6">
      <t>ゼツボウ</t>
    </rPh>
    <rPh sb="6" eb="8">
      <t>センセイ</t>
    </rPh>
    <phoneticPr fontId="1"/>
  </si>
  <si>
    <r>
      <t>2020</t>
    </r>
    <r>
      <rPr>
        <sz val="11"/>
        <rFont val="游ゴシック Medium"/>
        <family val="3"/>
        <charset val="128"/>
      </rPr>
      <t>頃</t>
    </r>
    <r>
      <rPr>
        <sz val="11"/>
        <rFont val="Consolas"/>
        <family val="3"/>
      </rPr>
      <t>?</t>
    </r>
    <rPh sb="4" eb="5">
      <t>コロ</t>
    </rPh>
    <phoneticPr fontId="1"/>
  </si>
  <si>
    <r>
      <rPr>
        <sz val="11"/>
        <rFont val="游ゴシック Medium"/>
        <family val="3"/>
        <charset val="128"/>
      </rPr>
      <t>まほ購入</t>
    </r>
    <rPh sb="2" eb="4">
      <t>コウニュウ</t>
    </rPh>
    <phoneticPr fontId="1"/>
  </si>
  <si>
    <r>
      <rPr>
        <sz val="11"/>
        <rFont val="游ゴシック Medium"/>
        <family val="3"/>
        <charset val="128"/>
      </rPr>
      <t>太陽の戦士ポカポカ</t>
    </r>
    <rPh sb="0" eb="2">
      <t>タイヨウ</t>
    </rPh>
    <rPh sb="3" eb="5">
      <t>センシ</t>
    </rPh>
    <phoneticPr fontId="1"/>
  </si>
  <si>
    <r>
      <rPr>
        <sz val="11"/>
        <rFont val="游ゴシック Medium"/>
        <family val="3"/>
        <charset val="128"/>
      </rPr>
      <t>佐々木倫子</t>
    </r>
    <rPh sb="0" eb="3">
      <t>ササキ</t>
    </rPh>
    <phoneticPr fontId="1"/>
  </si>
  <si>
    <r>
      <rPr>
        <sz val="11"/>
        <rFont val="游ゴシック Medium"/>
        <family val="3"/>
        <charset val="128"/>
      </rPr>
      <t>動物のお医者さん</t>
    </r>
    <rPh sb="0" eb="2">
      <t>ドウブツ</t>
    </rPh>
    <rPh sb="3" eb="6">
      <t>オイシャ</t>
    </rPh>
    <phoneticPr fontId="1"/>
  </si>
  <si>
    <r>
      <rPr>
        <sz val="11"/>
        <rFont val="游ゴシック Medium"/>
        <family val="3"/>
        <charset val="128"/>
      </rPr>
      <t>売り払ったが中古でまた買った</t>
    </r>
    <rPh sb="0" eb="1">
      <t>ウ</t>
    </rPh>
    <rPh sb="2" eb="3">
      <t>ハラ</t>
    </rPh>
    <rPh sb="6" eb="8">
      <t>チュウコ</t>
    </rPh>
    <rPh sb="11" eb="12">
      <t>カ</t>
    </rPh>
    <phoneticPr fontId="1"/>
  </si>
  <si>
    <r>
      <t>(8</t>
    </r>
    <r>
      <rPr>
        <sz val="11"/>
        <rFont val="游ゴシック Medium"/>
        <family val="3"/>
        <charset val="128"/>
      </rPr>
      <t>を例に</t>
    </r>
    <r>
      <rPr>
        <sz val="11"/>
        <rFont val="Consolas"/>
        <family val="3"/>
      </rPr>
      <t>)4-04-713613-1</t>
    </r>
    <rPh sb="3" eb="4">
      <t>レイ</t>
    </rPh>
    <phoneticPr fontId="1"/>
  </si>
  <si>
    <r>
      <rPr>
        <sz val="11"/>
        <rFont val="游ゴシック Medium"/>
        <family val="3"/>
        <charset val="128"/>
      </rPr>
      <t>吉崎</t>
    </r>
    <r>
      <rPr>
        <sz val="11"/>
        <rFont val="Consolas"/>
        <family val="3"/>
      </rPr>
      <t xml:space="preserve"> </t>
    </r>
    <r>
      <rPr>
        <sz val="11"/>
        <rFont val="游ゴシック Medium"/>
        <family val="3"/>
        <charset val="128"/>
      </rPr>
      <t>観音</t>
    </r>
    <rPh sb="0" eb="2">
      <t>ヨシザキ</t>
    </rPh>
    <rPh sb="3" eb="5">
      <t>ミネ</t>
    </rPh>
    <phoneticPr fontId="1"/>
  </si>
  <si>
    <r>
      <rPr>
        <sz val="11"/>
        <rFont val="游ゴシック Medium"/>
        <family val="3"/>
        <charset val="128"/>
      </rPr>
      <t>ケロロ軍曹</t>
    </r>
    <r>
      <rPr>
        <sz val="11"/>
        <rFont val="Consolas"/>
        <family val="3"/>
      </rPr>
      <t xml:space="preserve"> 01 - 32 (11.5</t>
    </r>
    <r>
      <rPr>
        <sz val="11"/>
        <rFont val="游ゴシック Medium"/>
        <family val="3"/>
        <charset val="128"/>
      </rPr>
      <t>付</t>
    </r>
    <r>
      <rPr>
        <sz val="11"/>
        <rFont val="Consolas"/>
        <family val="3"/>
      </rPr>
      <t>)</t>
    </r>
    <rPh sb="3" eb="5">
      <t>グンソウ</t>
    </rPh>
    <rPh sb="19" eb="20">
      <t>ツキ</t>
    </rPh>
    <phoneticPr fontId="1"/>
  </si>
  <si>
    <r>
      <t>KADOKAWA COMICS A|KCA21-14</t>
    </r>
    <r>
      <rPr>
        <sz val="11"/>
        <rFont val="游ゴシック Medium"/>
        <family val="3"/>
        <charset val="128"/>
      </rPr>
      <t>とか</t>
    </r>
    <phoneticPr fontId="1"/>
  </si>
  <si>
    <r>
      <rPr>
        <sz val="11"/>
        <rFont val="游ゴシック Medium"/>
        <family val="3"/>
        <charset val="128"/>
      </rPr>
      <t>まほが購入</t>
    </r>
    <rPh sb="3" eb="5">
      <t>コウニュウ</t>
    </rPh>
    <phoneticPr fontId="1"/>
  </si>
  <si>
    <r>
      <rPr>
        <sz val="11"/>
        <rFont val="游ゴシック Medium"/>
        <family val="3"/>
        <charset val="128"/>
      </rPr>
      <t>まほが購入</t>
    </r>
    <rPh sb="3" eb="5">
      <t>コウニュウカンメ</t>
    </rPh>
    <phoneticPr fontId="1"/>
  </si>
  <si>
    <r>
      <rPr>
        <sz val="11"/>
        <rFont val="游ゴシック Medium"/>
        <family val="3"/>
        <charset val="128"/>
      </rPr>
      <t>ケロロ軍曹</t>
    </r>
    <r>
      <rPr>
        <sz val="11"/>
        <rFont val="Consolas"/>
        <family val="3"/>
      </rPr>
      <t xml:space="preserve"> 33</t>
    </r>
    <rPh sb="3" eb="5">
      <t>グンソウ</t>
    </rPh>
    <phoneticPr fontId="1"/>
  </si>
  <si>
    <r>
      <rPr>
        <sz val="11"/>
        <rFont val="游ゴシック Medium"/>
        <family val="3"/>
        <charset val="128"/>
      </rPr>
      <t>完全監修</t>
    </r>
    <rPh sb="0" eb="4">
      <t>カンゼンカンシュウ</t>
    </rPh>
    <phoneticPr fontId="1"/>
  </si>
  <si>
    <r>
      <rPr>
        <sz val="11"/>
        <rFont val="游ゴシック Medium"/>
        <family val="3"/>
        <charset val="128"/>
      </rPr>
      <t>ケロロ軍曹</t>
    </r>
    <r>
      <rPr>
        <sz val="11"/>
        <rFont val="Consolas"/>
        <family val="3"/>
      </rPr>
      <t xml:space="preserve"> 22.5 "K"-FILE </t>
    </r>
    <r>
      <rPr>
        <sz val="11"/>
        <rFont val="游ゴシック Medium"/>
        <family val="3"/>
        <charset val="128"/>
      </rPr>
      <t>公式ガイドブック</t>
    </r>
    <rPh sb="3" eb="5">
      <t>グンソウ</t>
    </rPh>
    <rPh sb="20" eb="22">
      <t>コウシキ</t>
    </rPh>
    <phoneticPr fontId="1"/>
  </si>
  <si>
    <r>
      <rPr>
        <sz val="11"/>
        <rFont val="游ゴシック Medium"/>
        <family val="3"/>
        <charset val="128"/>
      </rPr>
      <t>士土</t>
    </r>
    <r>
      <rPr>
        <sz val="11"/>
        <rFont val="Consolas"/>
        <family val="3"/>
      </rPr>
      <t xml:space="preserve"> </t>
    </r>
    <r>
      <rPr>
        <sz val="11"/>
        <rFont val="游ゴシック Medium"/>
        <family val="3"/>
        <charset val="128"/>
      </rPr>
      <t>幽太郎</t>
    </r>
    <rPh sb="0" eb="2">
      <t>シド</t>
    </rPh>
    <rPh sb="3" eb="6">
      <t>ユウタロウ</t>
    </rPh>
    <phoneticPr fontId="1"/>
  </si>
  <si>
    <r>
      <rPr>
        <sz val="11"/>
        <rFont val="游ゴシック Medium"/>
        <family val="3"/>
        <charset val="128"/>
      </rPr>
      <t>超ケロロ軍曹</t>
    </r>
    <r>
      <rPr>
        <sz val="11"/>
        <rFont val="Consolas"/>
        <family val="3"/>
      </rPr>
      <t xml:space="preserve">UC </t>
    </r>
    <r>
      <rPr>
        <sz val="11"/>
        <rFont val="游ゴシック Medium"/>
        <family val="3"/>
        <charset val="128"/>
      </rPr>
      <t>ウルトラクール</t>
    </r>
    <r>
      <rPr>
        <sz val="11"/>
        <rFont val="Consolas"/>
        <family val="3"/>
      </rPr>
      <t xml:space="preserve"> 01 </t>
    </r>
    <r>
      <rPr>
        <sz val="11"/>
        <rFont val="游ゴシック Medium"/>
        <family val="3"/>
        <charset val="128"/>
      </rPr>
      <t>激闘</t>
    </r>
    <r>
      <rPr>
        <sz val="11"/>
        <rFont val="Consolas"/>
        <family val="3"/>
      </rPr>
      <t xml:space="preserve"> !! </t>
    </r>
    <r>
      <rPr>
        <sz val="11"/>
        <rFont val="游ゴシック Medium"/>
        <family val="3"/>
        <charset val="128"/>
      </rPr>
      <t>ケロロロボ大決戦</t>
    </r>
    <rPh sb="0" eb="1">
      <t>チョウ</t>
    </rPh>
    <rPh sb="4" eb="6">
      <t>グンソウ</t>
    </rPh>
    <rPh sb="20" eb="22">
      <t>ゲキトウ</t>
    </rPh>
    <rPh sb="31" eb="34">
      <t>ダイケッセン</t>
    </rPh>
    <phoneticPr fontId="1"/>
  </si>
  <si>
    <r>
      <t xml:space="preserve">BANDAI SPIRITS </t>
    </r>
    <r>
      <rPr>
        <sz val="11"/>
        <rFont val="游ゴシック Medium"/>
        <family val="3"/>
        <charset val="128"/>
      </rPr>
      <t>企画協力</t>
    </r>
    <rPh sb="15" eb="17">
      <t>キカク</t>
    </rPh>
    <rPh sb="17" eb="19">
      <t>キョウリョク</t>
    </rPh>
    <phoneticPr fontId="1"/>
  </si>
  <si>
    <r>
      <rPr>
        <sz val="11"/>
        <rFont val="游ゴシック Medium"/>
        <family val="3"/>
        <charset val="128"/>
      </rPr>
      <t>超ケロロ軍曹</t>
    </r>
    <r>
      <rPr>
        <sz val="11"/>
        <rFont val="Consolas"/>
        <family val="3"/>
      </rPr>
      <t xml:space="preserve">UC </t>
    </r>
    <r>
      <rPr>
        <sz val="11"/>
        <rFont val="游ゴシック Medium"/>
        <family val="3"/>
        <charset val="128"/>
      </rPr>
      <t>ウルトラクール</t>
    </r>
    <r>
      <rPr>
        <sz val="11"/>
        <rFont val="Consolas"/>
        <family val="3"/>
      </rPr>
      <t xml:space="preserve"> 02 </t>
    </r>
    <r>
      <rPr>
        <sz val="11"/>
        <rFont val="游ゴシック Medium"/>
        <family val="3"/>
        <charset val="128"/>
      </rPr>
      <t>激闘</t>
    </r>
    <r>
      <rPr>
        <sz val="11"/>
        <rFont val="Consolas"/>
        <family val="3"/>
      </rPr>
      <t xml:space="preserve"> !! </t>
    </r>
    <r>
      <rPr>
        <sz val="11"/>
        <rFont val="游ゴシック Medium"/>
        <family val="3"/>
        <charset val="128"/>
      </rPr>
      <t>ケロロロボ大決戦</t>
    </r>
    <rPh sb="0" eb="1">
      <t>チョウ</t>
    </rPh>
    <rPh sb="4" eb="6">
      <t>グンソウ</t>
    </rPh>
    <rPh sb="20" eb="22">
      <t>ゲキトウ</t>
    </rPh>
    <rPh sb="31" eb="34">
      <t>ダイケッセン</t>
    </rPh>
    <phoneticPr fontId="1"/>
  </si>
  <si>
    <r>
      <rPr>
        <sz val="11"/>
        <rFont val="游ゴシック Medium"/>
        <family val="3"/>
        <charset val="128"/>
      </rPr>
      <t>原作・絵</t>
    </r>
    <rPh sb="0" eb="2">
      <t>ゲンサク</t>
    </rPh>
    <rPh sb="3" eb="4">
      <t>エ</t>
    </rPh>
    <phoneticPr fontId="1"/>
  </si>
  <si>
    <r>
      <rPr>
        <sz val="11"/>
        <rFont val="游ゴシック Medium"/>
        <family val="3"/>
        <charset val="128"/>
      </rPr>
      <t>あすか</t>
    </r>
    <r>
      <rPr>
        <sz val="11"/>
        <rFont val="Consolas"/>
        <family val="3"/>
      </rPr>
      <t xml:space="preserve"> </t>
    </r>
    <r>
      <rPr>
        <sz val="11"/>
        <rFont val="游ゴシック Medium"/>
        <family val="3"/>
        <charset val="128"/>
      </rPr>
      <t>正太</t>
    </r>
    <rPh sb="4" eb="6">
      <t>ショウタ</t>
    </rPh>
    <phoneticPr fontId="1"/>
  </si>
  <si>
    <r>
      <rPr>
        <sz val="11"/>
        <rFont val="游ゴシック Medium"/>
        <family val="3"/>
        <charset val="128"/>
      </rPr>
      <t>ケロロ軍曹</t>
    </r>
    <r>
      <rPr>
        <sz val="11"/>
        <rFont val="Consolas"/>
        <family val="3"/>
      </rPr>
      <t xml:space="preserve"> </t>
    </r>
    <r>
      <rPr>
        <sz val="11"/>
        <rFont val="游ゴシック Medium"/>
        <family val="3"/>
        <charset val="128"/>
      </rPr>
      <t>小節侵略</t>
    </r>
    <r>
      <rPr>
        <sz val="11"/>
        <rFont val="Consolas"/>
        <family val="3"/>
      </rPr>
      <t xml:space="preserve"> ! </t>
    </r>
    <r>
      <rPr>
        <sz val="11"/>
        <rFont val="游ゴシック Medium"/>
        <family val="3"/>
        <charset val="128"/>
      </rPr>
      <t>愛爆発</t>
    </r>
    <r>
      <rPr>
        <sz val="11"/>
        <rFont val="Consolas"/>
        <family val="3"/>
      </rPr>
      <t xml:space="preserve"> ! </t>
    </r>
    <r>
      <rPr>
        <sz val="11"/>
        <rFont val="游ゴシック Medium"/>
        <family val="3"/>
        <charset val="128"/>
      </rPr>
      <t>地球消滅</t>
    </r>
    <r>
      <rPr>
        <sz val="11"/>
        <rFont val="Consolas"/>
        <family val="3"/>
      </rPr>
      <t>5</t>
    </r>
    <r>
      <rPr>
        <sz val="11"/>
        <rFont val="游ゴシック Medium"/>
        <family val="3"/>
        <charset val="128"/>
      </rPr>
      <t>秒前</t>
    </r>
    <r>
      <rPr>
        <sz val="11"/>
        <rFont val="Consolas"/>
        <family val="3"/>
      </rPr>
      <t xml:space="preserve"> !!</t>
    </r>
    <rPh sb="3" eb="5">
      <t>グンソウ</t>
    </rPh>
    <rPh sb="6" eb="8">
      <t>ショウセツ</t>
    </rPh>
    <rPh sb="8" eb="10">
      <t>シンリャク</t>
    </rPh>
    <rPh sb="13" eb="14">
      <t>アイ</t>
    </rPh>
    <rPh sb="14" eb="16">
      <t>バクハツ</t>
    </rPh>
    <rPh sb="19" eb="21">
      <t>チキュウ</t>
    </rPh>
    <rPh sb="21" eb="23">
      <t>ショウメツ</t>
    </rPh>
    <rPh sb="24" eb="26">
      <t>ビョウマエ</t>
    </rPh>
    <phoneticPr fontId="1"/>
  </si>
  <si>
    <r>
      <rPr>
        <sz val="11"/>
        <rFont val="游ゴシック Medium"/>
        <family val="3"/>
        <charset val="128"/>
      </rPr>
      <t>角川つばさ文庫</t>
    </r>
    <r>
      <rPr>
        <sz val="11"/>
        <rFont val="Consolas"/>
        <family val="3"/>
      </rPr>
      <t xml:space="preserve"> C </t>
    </r>
    <r>
      <rPr>
        <sz val="11"/>
        <rFont val="游ゴシック Medium"/>
        <family val="3"/>
        <charset val="128"/>
      </rPr>
      <t>け</t>
    </r>
    <r>
      <rPr>
        <sz val="11"/>
        <rFont val="Consolas"/>
        <family val="3"/>
      </rPr>
      <t xml:space="preserve"> 1-2</t>
    </r>
    <rPh sb="0" eb="2">
      <t>カドカワ</t>
    </rPh>
    <rPh sb="5" eb="7">
      <t>ブンコ</t>
    </rPh>
    <phoneticPr fontId="1"/>
  </si>
  <si>
    <r>
      <rPr>
        <sz val="11"/>
        <rFont val="游ゴシック Medium"/>
        <family val="3"/>
        <charset val="128"/>
      </rPr>
      <t>伊豆</t>
    </r>
    <r>
      <rPr>
        <sz val="11"/>
        <rFont val="Consolas"/>
        <family val="3"/>
      </rPr>
      <t xml:space="preserve"> </t>
    </r>
    <r>
      <rPr>
        <sz val="11"/>
        <rFont val="游ゴシック Medium"/>
        <family val="3"/>
        <charset val="128"/>
      </rPr>
      <t>平成</t>
    </r>
    <rPh sb="0" eb="2">
      <t>イズノ</t>
    </rPh>
    <rPh sb="3" eb="5">
      <t>ヒラナリ</t>
    </rPh>
    <phoneticPr fontId="1"/>
  </si>
  <si>
    <r>
      <rPr>
        <sz val="11"/>
        <rFont val="游ゴシック Medium"/>
        <family val="3"/>
        <charset val="128"/>
      </rPr>
      <t>ケロロ軍曹</t>
    </r>
    <r>
      <rPr>
        <sz val="11"/>
        <rFont val="Consolas"/>
        <family val="3"/>
      </rPr>
      <t xml:space="preserve"> </t>
    </r>
    <r>
      <rPr>
        <sz val="11"/>
        <rFont val="游ゴシック Medium"/>
        <family val="3"/>
        <charset val="128"/>
      </rPr>
      <t>小節侵略</t>
    </r>
    <r>
      <rPr>
        <sz val="11"/>
        <rFont val="Consolas"/>
        <family val="3"/>
      </rPr>
      <t xml:space="preserve"> ! </t>
    </r>
    <r>
      <rPr>
        <sz val="11"/>
        <rFont val="游ゴシック Medium"/>
        <family val="3"/>
        <charset val="128"/>
      </rPr>
      <t>深海のプリンスであります</t>
    </r>
    <r>
      <rPr>
        <sz val="11"/>
        <rFont val="Consolas"/>
        <family val="3"/>
      </rPr>
      <t xml:space="preserve"> !</t>
    </r>
    <rPh sb="3" eb="5">
      <t>グンソウ</t>
    </rPh>
    <rPh sb="6" eb="8">
      <t>ショウセツ</t>
    </rPh>
    <rPh sb="8" eb="10">
      <t>シンリャク</t>
    </rPh>
    <rPh sb="13" eb="15">
      <t>シンカイ</t>
    </rPh>
    <phoneticPr fontId="1"/>
  </si>
  <si>
    <r>
      <rPr>
        <sz val="11"/>
        <rFont val="游ゴシック Medium"/>
        <family val="3"/>
        <charset val="128"/>
      </rPr>
      <t>サンライズ</t>
    </r>
    <r>
      <rPr>
        <sz val="11"/>
        <rFont val="Consolas"/>
        <family val="3"/>
      </rPr>
      <t xml:space="preserve"> : </t>
    </r>
    <r>
      <rPr>
        <sz val="11"/>
        <rFont val="游ゴシック Medium"/>
        <family val="3"/>
        <charset val="128"/>
      </rPr>
      <t>監修</t>
    </r>
    <rPh sb="8" eb="10">
      <t>カンシュウ</t>
    </rPh>
    <phoneticPr fontId="1"/>
  </si>
  <si>
    <r>
      <rPr>
        <sz val="11"/>
        <rFont val="游ゴシック Medium"/>
        <family val="3"/>
        <charset val="128"/>
      </rPr>
      <t>ケロロ軍曹</t>
    </r>
    <r>
      <rPr>
        <sz val="11"/>
        <rFont val="Consolas"/>
        <family val="3"/>
      </rPr>
      <t xml:space="preserve"> </t>
    </r>
    <r>
      <rPr>
        <sz val="11"/>
        <rFont val="游ゴシック Medium"/>
        <family val="3"/>
        <charset val="128"/>
      </rPr>
      <t>小節侵略</t>
    </r>
    <r>
      <rPr>
        <sz val="11"/>
        <rFont val="Consolas"/>
        <family val="3"/>
      </rPr>
      <t xml:space="preserve"> ! </t>
    </r>
    <r>
      <rPr>
        <sz val="11"/>
        <rFont val="游ゴシック Medium"/>
        <family val="3"/>
        <charset val="128"/>
      </rPr>
      <t>ケロロ対ケロロ</t>
    </r>
    <r>
      <rPr>
        <sz val="11"/>
        <rFont val="Consolas"/>
        <family val="3"/>
      </rPr>
      <t xml:space="preserve"> </t>
    </r>
    <r>
      <rPr>
        <sz val="11"/>
        <rFont val="游ゴシック Medium"/>
        <family val="3"/>
        <charset val="128"/>
      </rPr>
      <t>天空大決戦であります</t>
    </r>
    <r>
      <rPr>
        <sz val="11"/>
        <rFont val="Consolas"/>
        <family val="3"/>
      </rPr>
      <t xml:space="preserve"> !</t>
    </r>
    <rPh sb="3" eb="5">
      <t>グンソウ</t>
    </rPh>
    <rPh sb="6" eb="8">
      <t>ショウセツ</t>
    </rPh>
    <rPh sb="8" eb="10">
      <t>シンリャク</t>
    </rPh>
    <rPh sb="16" eb="17">
      <t>タイ</t>
    </rPh>
    <rPh sb="21" eb="23">
      <t>テンクウ</t>
    </rPh>
    <rPh sb="23" eb="26">
      <t>ダイケッセン</t>
    </rPh>
    <phoneticPr fontId="1"/>
  </si>
  <si>
    <r>
      <rPr>
        <sz val="11"/>
        <rFont val="游ゴシック Medium"/>
        <family val="3"/>
        <charset val="128"/>
      </rPr>
      <t>超劇場版</t>
    </r>
    <r>
      <rPr>
        <sz val="11"/>
        <rFont val="Consolas"/>
        <family val="3"/>
      </rPr>
      <t xml:space="preserve"> </t>
    </r>
    <r>
      <rPr>
        <sz val="11"/>
        <rFont val="游ゴシック Medium"/>
        <family val="3"/>
        <charset val="128"/>
      </rPr>
      <t>ケロロ軍曹</t>
    </r>
    <r>
      <rPr>
        <sz val="11"/>
        <rFont val="Consolas"/>
        <family val="3"/>
      </rPr>
      <t xml:space="preserve"> 3 </t>
    </r>
    <r>
      <rPr>
        <sz val="11"/>
        <rFont val="游ゴシック Medium"/>
        <family val="3"/>
        <charset val="128"/>
      </rPr>
      <t>ケロロ対ケロロ</t>
    </r>
    <r>
      <rPr>
        <sz val="11"/>
        <rFont val="Consolas"/>
        <family val="3"/>
      </rPr>
      <t xml:space="preserve"> </t>
    </r>
    <r>
      <rPr>
        <sz val="11"/>
        <rFont val="游ゴシック Medium"/>
        <family val="3"/>
        <charset val="128"/>
      </rPr>
      <t>天空大決戦であります</t>
    </r>
    <r>
      <rPr>
        <sz val="11"/>
        <rFont val="Consolas"/>
        <family val="3"/>
      </rPr>
      <t xml:space="preserve"> ! </t>
    </r>
    <r>
      <rPr>
        <sz val="11"/>
        <rFont val="游ゴシック Medium"/>
        <family val="3"/>
        <charset val="128"/>
      </rPr>
      <t>公式ガイドブック</t>
    </r>
    <rPh sb="0" eb="4">
      <t>チョウゲキジョウバン</t>
    </rPh>
    <rPh sb="8" eb="10">
      <t>グンソウ</t>
    </rPh>
    <rPh sb="16" eb="17">
      <t>タイ</t>
    </rPh>
    <rPh sb="21" eb="23">
      <t>テンクウ</t>
    </rPh>
    <rPh sb="23" eb="26">
      <t>ダイケッセン</t>
    </rPh>
    <rPh sb="34" eb="36">
      <t>コウシキ</t>
    </rPh>
    <phoneticPr fontId="1"/>
  </si>
  <si>
    <r>
      <rPr>
        <sz val="11"/>
        <rFont val="游ゴシック Medium"/>
        <family val="3"/>
        <charset val="128"/>
      </rPr>
      <t>角川書店</t>
    </r>
    <r>
      <rPr>
        <sz val="11"/>
        <rFont val="Consolas"/>
        <family val="3"/>
      </rPr>
      <t>|</t>
    </r>
    <r>
      <rPr>
        <sz val="11"/>
        <rFont val="游ゴシック Medium"/>
        <family val="3"/>
        <charset val="128"/>
      </rPr>
      <t>角川映画</t>
    </r>
    <r>
      <rPr>
        <sz val="11"/>
        <rFont val="Consolas"/>
        <family val="3"/>
      </rPr>
      <t>|</t>
    </r>
    <r>
      <rPr>
        <sz val="11"/>
        <rFont val="游ゴシック Medium"/>
        <family val="3"/>
        <charset val="128"/>
      </rPr>
      <t>サンライズ</t>
    </r>
    <r>
      <rPr>
        <sz val="11"/>
        <rFont val="Consolas"/>
        <family val="3"/>
      </rPr>
      <t>|</t>
    </r>
    <r>
      <rPr>
        <sz val="11"/>
        <rFont val="游ゴシック Medium"/>
        <family val="3"/>
        <charset val="128"/>
      </rPr>
      <t>テレビ東京</t>
    </r>
    <r>
      <rPr>
        <sz val="11"/>
        <rFont val="Consolas"/>
        <family val="3"/>
      </rPr>
      <t>|NAS</t>
    </r>
    <phoneticPr fontId="1"/>
  </si>
  <si>
    <r>
      <rPr>
        <sz val="11"/>
        <rFont val="游ゴシック Medium"/>
        <family val="3"/>
        <charset val="128"/>
      </rPr>
      <t>まほが購入</t>
    </r>
    <r>
      <rPr>
        <sz val="11"/>
        <rFont val="Consolas"/>
        <family val="3"/>
      </rPr>
      <t>|DVD</t>
    </r>
    <r>
      <rPr>
        <sz val="11"/>
        <rFont val="游ゴシック Medium"/>
        <family val="3"/>
        <charset val="128"/>
      </rPr>
      <t>なし</t>
    </r>
    <phoneticPr fontId="1"/>
  </si>
  <si>
    <r>
      <rPr>
        <sz val="11"/>
        <rFont val="游ゴシック Medium"/>
        <family val="3"/>
        <charset val="128"/>
      </rPr>
      <t>山岸凉子</t>
    </r>
    <rPh sb="0" eb="2">
      <t>ヤマギシ</t>
    </rPh>
    <rPh sb="2" eb="4">
      <t>リョウコ</t>
    </rPh>
    <phoneticPr fontId="1"/>
  </si>
  <si>
    <r>
      <rPr>
        <sz val="11"/>
        <rFont val="游ゴシック Medium"/>
        <family val="3"/>
        <charset val="128"/>
      </rPr>
      <t>ヤマトタケル</t>
    </r>
    <phoneticPr fontId="1"/>
  </si>
  <si>
    <r>
      <rPr>
        <sz val="11"/>
        <rFont val="游ゴシック Medium"/>
        <family val="3"/>
        <charset val="128"/>
      </rPr>
      <t>山岸凉子スペシャルセレクション</t>
    </r>
    <r>
      <rPr>
        <sz val="11"/>
        <rFont val="Consolas"/>
        <family val="3"/>
      </rPr>
      <t>X</t>
    </r>
    <rPh sb="0" eb="2">
      <t>ヤマギシ</t>
    </rPh>
    <rPh sb="2" eb="4">
      <t>リョウコ</t>
    </rPh>
    <phoneticPr fontId="1"/>
  </si>
  <si>
    <r>
      <rPr>
        <sz val="11"/>
        <rFont val="游ゴシック Medium"/>
        <family val="3"/>
        <charset val="128"/>
      </rPr>
      <t>潮出版社</t>
    </r>
    <rPh sb="0" eb="1">
      <t>ウシオ</t>
    </rPh>
    <rPh sb="1" eb="3">
      <t>シュッパン</t>
    </rPh>
    <rPh sb="3" eb="4">
      <t>シャ</t>
    </rPh>
    <phoneticPr fontId="1"/>
  </si>
  <si>
    <r>
      <rPr>
        <sz val="11"/>
        <rFont val="游ゴシック Medium"/>
        <family val="3"/>
        <charset val="128"/>
      </rPr>
      <t>アッカンベー</t>
    </r>
    <r>
      <rPr>
        <sz val="11"/>
        <rFont val="Consolas"/>
        <family val="3"/>
      </rPr>
      <t>!!</t>
    </r>
    <r>
      <rPr>
        <sz val="11"/>
        <rFont val="游ゴシック Medium"/>
        <family val="3"/>
        <charset val="128"/>
      </rPr>
      <t>チャーリー・ブラウン</t>
    </r>
    <r>
      <rPr>
        <sz val="11"/>
        <rFont val="Consolas"/>
        <family val="3"/>
      </rPr>
      <t>/Nyahh! Nyahh! Charlie Brown</t>
    </r>
    <phoneticPr fontId="1"/>
  </si>
  <si>
    <r>
      <rPr>
        <sz val="11"/>
        <rFont val="游ゴシック Medium"/>
        <family val="3"/>
        <charset val="128"/>
      </rPr>
      <t>鬼子母神古本市</t>
    </r>
    <rPh sb="0" eb="4">
      <t>キシボジン</t>
    </rPh>
    <rPh sb="4" eb="6">
      <t>フルホン</t>
    </rPh>
    <rPh sb="6" eb="7">
      <t>イチ</t>
    </rPh>
    <phoneticPr fontId="1"/>
  </si>
  <si>
    <r>
      <rPr>
        <sz val="11"/>
        <rFont val="游ゴシック Medium"/>
        <family val="3"/>
        <charset val="128"/>
      </rPr>
      <t>紡木たく</t>
    </r>
    <rPh sb="0" eb="2">
      <t>ツムギ</t>
    </rPh>
    <phoneticPr fontId="1"/>
  </si>
  <si>
    <r>
      <rPr>
        <sz val="11"/>
        <rFont val="游ゴシック Medium"/>
        <family val="3"/>
        <charset val="128"/>
      </rPr>
      <t>あの夏が海にいる</t>
    </r>
    <rPh sb="2" eb="3">
      <t>ナツ</t>
    </rPh>
    <rPh sb="4" eb="5">
      <t>ウミ</t>
    </rPh>
    <phoneticPr fontId="1"/>
  </si>
  <si>
    <r>
      <rPr>
        <sz val="11"/>
        <rFont val="游ゴシック Medium"/>
        <family val="3"/>
        <charset val="128"/>
      </rPr>
      <t>ホットロード</t>
    </r>
    <phoneticPr fontId="1"/>
  </si>
  <si>
    <r>
      <rPr>
        <sz val="11"/>
        <rFont val="游ゴシック Medium"/>
        <family val="3"/>
        <charset val="128"/>
      </rPr>
      <t>机をステージに</t>
    </r>
    <rPh sb="0" eb="1">
      <t>ツクエ</t>
    </rPh>
    <phoneticPr fontId="1"/>
  </si>
  <si>
    <r>
      <rPr>
        <sz val="11"/>
        <rFont val="游ゴシック Medium"/>
        <family val="3"/>
        <charset val="128"/>
      </rPr>
      <t>瞬きもせず</t>
    </r>
    <rPh sb="0" eb="1">
      <t>マタタ</t>
    </rPh>
    <phoneticPr fontId="1"/>
  </si>
  <si>
    <r>
      <rPr>
        <sz val="11"/>
        <rFont val="游ゴシック Medium"/>
        <family val="3"/>
        <charset val="128"/>
      </rPr>
      <t>アポロの歌</t>
    </r>
    <rPh sb="4" eb="5">
      <t>ウタ</t>
    </rPh>
    <phoneticPr fontId="1"/>
  </si>
  <si>
    <r>
      <rPr>
        <sz val="11"/>
        <rFont val="游ゴシック Medium"/>
        <family val="3"/>
        <charset val="128"/>
      </rPr>
      <t>少年キング</t>
    </r>
    <rPh sb="0" eb="2">
      <t>ショウネン</t>
    </rPh>
    <phoneticPr fontId="1"/>
  </si>
  <si>
    <r>
      <t>2007/09/</t>
    </r>
    <r>
      <rPr>
        <sz val="11"/>
        <rFont val="游ゴシック Medium"/>
        <family val="3"/>
        <charset val="128"/>
      </rPr>
      <t>上旬</t>
    </r>
    <rPh sb="8" eb="10">
      <t>ジョウジュン</t>
    </rPh>
    <phoneticPr fontId="1"/>
  </si>
  <si>
    <r>
      <rPr>
        <sz val="11"/>
        <rFont val="游ゴシック Medium"/>
        <family val="3"/>
        <charset val="128"/>
      </rPr>
      <t>アポロの歌</t>
    </r>
    <r>
      <rPr>
        <sz val="11"/>
        <rFont val="Consolas"/>
        <family val="3"/>
      </rPr>
      <t>/</t>
    </r>
    <r>
      <rPr>
        <sz val="11"/>
        <rFont val="游ゴシック Medium"/>
        <family val="3"/>
        <charset val="128"/>
      </rPr>
      <t>がらくたの詩</t>
    </r>
    <rPh sb="4" eb="5">
      <t>ウタ</t>
    </rPh>
    <rPh sb="11" eb="12">
      <t>ウタ</t>
    </rPh>
    <phoneticPr fontId="1"/>
  </si>
  <si>
    <r>
      <rPr>
        <sz val="11"/>
        <rFont val="游ゴシック Medium"/>
        <family val="3"/>
        <charset val="128"/>
      </rPr>
      <t>少年キング</t>
    </r>
    <r>
      <rPr>
        <sz val="11"/>
        <rFont val="Consolas"/>
        <family val="3"/>
      </rPr>
      <t>/</t>
    </r>
    <r>
      <rPr>
        <sz val="11"/>
        <rFont val="游ゴシック Medium"/>
        <family val="3"/>
        <charset val="128"/>
      </rPr>
      <t>少年サンデー</t>
    </r>
    <rPh sb="0" eb="2">
      <t>ショウネン</t>
    </rPh>
    <rPh sb="6" eb="8">
      <t>ショウネン</t>
    </rPh>
    <phoneticPr fontId="1"/>
  </si>
  <si>
    <r>
      <rPr>
        <sz val="11"/>
        <rFont val="游ゴシック Medium"/>
        <family val="3"/>
        <charset val="128"/>
      </rPr>
      <t>ジャングル大帝</t>
    </r>
    <rPh sb="5" eb="7">
      <t>タイテイ</t>
    </rPh>
    <phoneticPr fontId="1"/>
  </si>
  <si>
    <r>
      <rPr>
        <sz val="11"/>
        <rFont val="游ゴシック Medium"/>
        <family val="3"/>
        <charset val="128"/>
      </rPr>
      <t>手塚治虫</t>
    </r>
    <r>
      <rPr>
        <sz val="11"/>
        <rFont val="Consolas"/>
        <family val="3"/>
      </rPr>
      <t xml:space="preserve"> </t>
    </r>
    <r>
      <rPr>
        <sz val="11"/>
        <rFont val="游ゴシック Medium"/>
        <family val="3"/>
        <charset val="128"/>
      </rPr>
      <t>漫画全集</t>
    </r>
    <rPh sb="0" eb="2">
      <t>テヅカ</t>
    </rPh>
    <rPh sb="2" eb="4">
      <t>オサム</t>
    </rPh>
    <rPh sb="5" eb="7">
      <t>マンガ</t>
    </rPh>
    <rPh sb="7" eb="9">
      <t>ゼンシュウ</t>
    </rPh>
    <phoneticPr fontId="1"/>
  </si>
  <si>
    <r>
      <rPr>
        <sz val="11"/>
        <rFont val="游ゴシック Medium"/>
        <family val="3"/>
        <charset val="128"/>
      </rPr>
      <t>空気の底</t>
    </r>
    <rPh sb="0" eb="2">
      <t>クウキ</t>
    </rPh>
    <rPh sb="3" eb="4">
      <t>ソコ</t>
    </rPh>
    <phoneticPr fontId="1"/>
  </si>
  <si>
    <r>
      <rPr>
        <sz val="11"/>
        <rFont val="游ゴシック Medium"/>
        <family val="3"/>
        <charset val="128"/>
      </rPr>
      <t>手塚治虫恐怖連作短編集</t>
    </r>
    <rPh sb="0" eb="2">
      <t>テヅカ</t>
    </rPh>
    <rPh sb="2" eb="4">
      <t>オサム</t>
    </rPh>
    <rPh sb="4" eb="6">
      <t>キョウフ</t>
    </rPh>
    <rPh sb="6" eb="8">
      <t>レンサク</t>
    </rPh>
    <rPh sb="8" eb="11">
      <t>タンペンシュウ</t>
    </rPh>
    <phoneticPr fontId="1"/>
  </si>
  <si>
    <r>
      <rPr>
        <sz val="11"/>
        <rFont val="游ゴシック Medium"/>
        <family val="3"/>
        <charset val="128"/>
      </rPr>
      <t>秋田書店</t>
    </r>
    <rPh sb="0" eb="2">
      <t>アキタ</t>
    </rPh>
    <rPh sb="2" eb="4">
      <t>ショテン</t>
    </rPh>
    <phoneticPr fontId="1"/>
  </si>
  <si>
    <r>
      <rPr>
        <strike/>
        <sz val="11"/>
        <rFont val="游ゴシック Medium"/>
        <family val="3"/>
        <charset val="128"/>
      </rPr>
      <t>猫十字社</t>
    </r>
    <rPh sb="0" eb="1">
      <t>ネコ</t>
    </rPh>
    <rPh sb="1" eb="3">
      <t>ジュウジ</t>
    </rPh>
    <rPh sb="3" eb="4">
      <t>シャ</t>
    </rPh>
    <phoneticPr fontId="1"/>
  </si>
  <si>
    <r>
      <rPr>
        <b/>
        <strike/>
        <sz val="11"/>
        <color indexed="33"/>
        <rFont val="游ゴシック Medium"/>
        <family val="3"/>
        <charset val="128"/>
      </rPr>
      <t>県立御陀仏高校</t>
    </r>
    <rPh sb="0" eb="2">
      <t>ケンリツ</t>
    </rPh>
    <rPh sb="2" eb="3">
      <t>ミ</t>
    </rPh>
    <rPh sb="3" eb="5">
      <t>ダブツ</t>
    </rPh>
    <rPh sb="5" eb="7">
      <t>コウコウ</t>
    </rPh>
    <phoneticPr fontId="1"/>
  </si>
  <si>
    <r>
      <rPr>
        <strike/>
        <sz val="11"/>
        <rFont val="游ゴシック Medium"/>
        <family val="3"/>
        <charset val="128"/>
      </rPr>
      <t>幻獣の國物語</t>
    </r>
    <rPh sb="0" eb="2">
      <t>ゲンジュウ</t>
    </rPh>
    <rPh sb="3" eb="4">
      <t>クニ</t>
    </rPh>
    <rPh sb="4" eb="6">
      <t>モノガタリ</t>
    </rPh>
    <phoneticPr fontId="1"/>
  </si>
  <si>
    <r>
      <rPr>
        <strike/>
        <sz val="11"/>
        <rFont val="游ゴシック Medium"/>
        <family val="3"/>
        <charset val="128"/>
      </rPr>
      <t>主婦と生活社</t>
    </r>
    <rPh sb="0" eb="2">
      <t>シュフ</t>
    </rPh>
    <rPh sb="3" eb="5">
      <t>セイカツ</t>
    </rPh>
    <rPh sb="5" eb="6">
      <t>シャ</t>
    </rPh>
    <phoneticPr fontId="1"/>
  </si>
  <si>
    <r>
      <rPr>
        <sz val="11"/>
        <rFont val="游ゴシック Medium"/>
        <family val="3"/>
        <charset val="128"/>
      </rPr>
      <t>猫十字社</t>
    </r>
    <rPh sb="0" eb="1">
      <t>ネコ</t>
    </rPh>
    <rPh sb="1" eb="3">
      <t>ジュウジ</t>
    </rPh>
    <rPh sb="3" eb="4">
      <t>シャ</t>
    </rPh>
    <phoneticPr fontId="1"/>
  </si>
  <si>
    <r>
      <rPr>
        <b/>
        <sz val="11"/>
        <color indexed="33"/>
        <rFont val="游ゴシック Medium"/>
        <family val="3"/>
        <charset val="128"/>
      </rPr>
      <t>黒のもんもん組</t>
    </r>
    <rPh sb="0" eb="1">
      <t>クロ</t>
    </rPh>
    <rPh sb="6" eb="7">
      <t>グミ</t>
    </rPh>
    <phoneticPr fontId="1"/>
  </si>
  <si>
    <r>
      <rPr>
        <sz val="11"/>
        <rFont val="游ゴシック Medium"/>
        <family val="3"/>
        <charset val="128"/>
      </rPr>
      <t>小さなお茶会</t>
    </r>
    <rPh sb="0" eb="1">
      <t>チイ</t>
    </rPh>
    <rPh sb="3" eb="6">
      <t>オチャカイ</t>
    </rPh>
    <phoneticPr fontId="1"/>
  </si>
  <si>
    <r>
      <rPr>
        <sz val="11"/>
        <rFont val="游ゴシック Medium"/>
        <family val="3"/>
        <charset val="128"/>
      </rPr>
      <t>主婦と生活社</t>
    </r>
    <rPh sb="0" eb="2">
      <t>シュフ</t>
    </rPh>
    <rPh sb="3" eb="5">
      <t>セイカツ</t>
    </rPh>
    <rPh sb="5" eb="6">
      <t>シャ</t>
    </rPh>
    <phoneticPr fontId="1"/>
  </si>
  <si>
    <r>
      <rPr>
        <sz val="11"/>
        <rFont val="游ゴシック Medium"/>
        <family val="3"/>
        <charset val="128"/>
      </rPr>
      <t>けら・えいこ</t>
    </r>
    <phoneticPr fontId="1"/>
  </si>
  <si>
    <r>
      <rPr>
        <sz val="11"/>
        <rFont val="游ゴシック Medium"/>
        <family val="3"/>
        <charset val="128"/>
      </rPr>
      <t>あたしンち</t>
    </r>
    <phoneticPr fontId="1"/>
  </si>
  <si>
    <r>
      <rPr>
        <sz val="11"/>
        <rFont val="游ゴシック Medium"/>
        <family val="3"/>
        <charset val="128"/>
      </rPr>
      <t>ママレード・カンパニー</t>
    </r>
    <phoneticPr fontId="1"/>
  </si>
  <si>
    <r>
      <rPr>
        <sz val="11"/>
        <rFont val="游ゴシック Medium"/>
        <family val="3"/>
        <charset val="128"/>
      </rPr>
      <t>ドラえもんの地球人パスポート</t>
    </r>
    <rPh sb="6" eb="8">
      <t>チキュウ</t>
    </rPh>
    <rPh sb="8" eb="9">
      <t>ジン</t>
    </rPh>
    <phoneticPr fontId="1"/>
  </si>
  <si>
    <r>
      <rPr>
        <sz val="11"/>
        <rFont val="游ゴシック Medium"/>
        <family val="3"/>
        <charset val="128"/>
      </rPr>
      <t>小学四年生</t>
    </r>
    <r>
      <rPr>
        <sz val="11"/>
        <rFont val="Consolas"/>
        <family val="3"/>
      </rPr>
      <t>7</t>
    </r>
    <r>
      <rPr>
        <sz val="11"/>
        <rFont val="游ゴシック Medium"/>
        <family val="3"/>
        <charset val="128"/>
      </rPr>
      <t>月号付録</t>
    </r>
    <rPh sb="0" eb="2">
      <t>ショウガク</t>
    </rPh>
    <rPh sb="2" eb="5">
      <t>ヨネンセイ</t>
    </rPh>
    <rPh sb="6" eb="8">
      <t>ガツゴウ</t>
    </rPh>
    <rPh sb="8" eb="10">
      <t>フロク</t>
    </rPh>
    <phoneticPr fontId="1"/>
  </si>
  <si>
    <r>
      <rPr>
        <sz val="11"/>
        <rFont val="游ゴシック Medium"/>
        <family val="3"/>
        <charset val="128"/>
      </rPr>
      <t>和田慎二</t>
    </r>
    <rPh sb="0" eb="2">
      <t>ワダ</t>
    </rPh>
    <rPh sb="2" eb="4">
      <t>シンジ</t>
    </rPh>
    <phoneticPr fontId="1"/>
  </si>
  <si>
    <r>
      <rPr>
        <sz val="11"/>
        <rFont val="游ゴシック Medium"/>
        <family val="3"/>
        <charset val="128"/>
      </rPr>
      <t>明日香子守歌</t>
    </r>
    <rPh sb="0" eb="3">
      <t>アスカ</t>
    </rPh>
    <rPh sb="3" eb="6">
      <t>ララバイ</t>
    </rPh>
    <phoneticPr fontId="1"/>
  </si>
  <si>
    <r>
      <rPr>
        <sz val="11"/>
        <rFont val="游ゴシック Medium"/>
        <family val="3"/>
        <charset val="128"/>
      </rPr>
      <t>赤塚不二夫</t>
    </r>
    <rPh sb="0" eb="2">
      <t>アカツカ</t>
    </rPh>
    <rPh sb="2" eb="5">
      <t>フジオ</t>
    </rPh>
    <phoneticPr fontId="1"/>
  </si>
  <si>
    <r>
      <rPr>
        <sz val="11"/>
        <rFont val="游ゴシック Medium"/>
        <family val="3"/>
        <charset val="128"/>
      </rPr>
      <t>バカ田大学なのだ</t>
    </r>
    <r>
      <rPr>
        <sz val="11"/>
        <rFont val="Consolas"/>
        <family val="3"/>
      </rPr>
      <t>!?</t>
    </r>
    <rPh sb="2" eb="3">
      <t>ダ</t>
    </rPh>
    <rPh sb="3" eb="5">
      <t>ダイガク</t>
    </rPh>
    <phoneticPr fontId="1"/>
  </si>
  <si>
    <r>
      <rPr>
        <sz val="11"/>
        <rFont val="游ゴシック Medium"/>
        <family val="3"/>
        <charset val="128"/>
      </rPr>
      <t>天才バカボン</t>
    </r>
    <rPh sb="0" eb="2">
      <t>テンサイ</t>
    </rPh>
    <phoneticPr fontId="1"/>
  </si>
  <si>
    <r>
      <rPr>
        <sz val="11"/>
        <rFont val="游ゴシック Medium"/>
        <family val="3"/>
        <charset val="128"/>
      </rPr>
      <t>いがらしゆみこ</t>
    </r>
    <phoneticPr fontId="1"/>
  </si>
  <si>
    <r>
      <rPr>
        <sz val="11"/>
        <rFont val="游ゴシック Medium"/>
        <family val="3"/>
        <charset val="128"/>
      </rPr>
      <t>とはずがたり</t>
    </r>
    <phoneticPr fontId="1"/>
  </si>
  <si>
    <r>
      <rPr>
        <sz val="11"/>
        <rFont val="游ゴシック Medium"/>
        <family val="3"/>
        <charset val="128"/>
      </rPr>
      <t>マンガ日本の古典</t>
    </r>
    <r>
      <rPr>
        <sz val="11"/>
        <rFont val="Consolas"/>
        <family val="3"/>
      </rPr>
      <t>/13</t>
    </r>
    <rPh sb="3" eb="5">
      <t>ニホン</t>
    </rPh>
    <rPh sb="6" eb="8">
      <t>コテン</t>
    </rPh>
    <phoneticPr fontId="1"/>
  </si>
  <si>
    <r>
      <rPr>
        <sz val="11"/>
        <rFont val="游ゴシック Medium"/>
        <family val="3"/>
        <charset val="128"/>
      </rPr>
      <t>中公文庫</t>
    </r>
    <r>
      <rPr>
        <sz val="11"/>
        <rFont val="Consolas"/>
        <family val="3"/>
      </rPr>
      <t>/</t>
    </r>
    <r>
      <rPr>
        <sz val="11"/>
        <rFont val="游ゴシック Medium"/>
        <family val="3"/>
        <charset val="128"/>
      </rPr>
      <t>中央公論新社</t>
    </r>
    <r>
      <rPr>
        <sz val="11"/>
        <rFont val="Consolas"/>
        <family val="3"/>
      </rPr>
      <t>/</t>
    </r>
    <r>
      <rPr>
        <sz val="11"/>
        <rFont val="游ゴシック Medium"/>
        <family val="3"/>
        <charset val="128"/>
      </rPr>
      <t>中央公論社</t>
    </r>
    <rPh sb="12" eb="17">
      <t>チュウオウコウロンシャ</t>
    </rPh>
    <phoneticPr fontId="1"/>
  </si>
  <si>
    <r>
      <rPr>
        <sz val="11"/>
        <rFont val="游ゴシック Medium"/>
        <family val="3"/>
        <charset val="128"/>
      </rPr>
      <t>池田理代子</t>
    </r>
    <rPh sb="0" eb="2">
      <t>イケダ</t>
    </rPh>
    <rPh sb="2" eb="5">
      <t>リヨコ</t>
    </rPh>
    <phoneticPr fontId="1"/>
  </si>
  <si>
    <r>
      <rPr>
        <sz val="11"/>
        <rFont val="游ゴシック Medium"/>
        <family val="3"/>
        <charset val="128"/>
      </rPr>
      <t>トロワイヤ</t>
    </r>
    <r>
      <rPr>
        <sz val="11"/>
        <rFont val="Consolas"/>
        <family val="3"/>
      </rPr>
      <t xml:space="preserve">, </t>
    </r>
    <r>
      <rPr>
        <sz val="11"/>
        <rFont val="游ゴシック Medium"/>
        <family val="3"/>
        <charset val="128"/>
      </rPr>
      <t>アンリ</t>
    </r>
    <phoneticPr fontId="1"/>
  </si>
  <si>
    <r>
      <rPr>
        <sz val="11"/>
        <rFont val="游ゴシック Medium"/>
        <family val="3"/>
        <charset val="128"/>
      </rPr>
      <t>女帝エカテリーナ</t>
    </r>
    <rPh sb="0" eb="2">
      <t>ジョテイ</t>
    </rPh>
    <phoneticPr fontId="1"/>
  </si>
  <si>
    <r>
      <rPr>
        <sz val="11"/>
        <rFont val="游ゴシック Medium"/>
        <family val="3"/>
        <charset val="128"/>
      </rPr>
      <t>中公文庫</t>
    </r>
    <r>
      <rPr>
        <sz val="11"/>
        <rFont val="Consolas"/>
        <family val="3"/>
      </rPr>
      <t>/</t>
    </r>
    <r>
      <rPr>
        <sz val="11"/>
        <rFont val="游ゴシック Medium"/>
        <family val="3"/>
        <charset val="128"/>
      </rPr>
      <t>中央公論新社</t>
    </r>
    <r>
      <rPr>
        <sz val="11"/>
        <rFont val="Consolas"/>
        <family val="3"/>
      </rPr>
      <t>Comic</t>
    </r>
    <r>
      <rPr>
        <sz val="11"/>
        <rFont val="游ゴシック Medium"/>
        <family val="3"/>
        <charset val="128"/>
      </rPr>
      <t>版</t>
    </r>
    <r>
      <rPr>
        <sz val="11"/>
        <rFont val="Consolas"/>
        <family val="3"/>
      </rPr>
      <t>/</t>
    </r>
    <r>
      <rPr>
        <sz val="11"/>
        <rFont val="游ゴシック Medium"/>
        <family val="3"/>
        <charset val="128"/>
      </rPr>
      <t>中央公論社</t>
    </r>
    <rPh sb="11" eb="16">
      <t>コミック</t>
    </rPh>
    <rPh sb="16" eb="17">
      <t>バン</t>
    </rPh>
    <rPh sb="18" eb="23">
      <t>チュウオウコウロンシャ</t>
    </rPh>
    <phoneticPr fontId="1"/>
  </si>
  <si>
    <r>
      <rPr>
        <sz val="11"/>
        <rFont val="游ゴシック Medium"/>
        <family val="3"/>
        <charset val="128"/>
      </rPr>
      <t>うそつきな唇</t>
    </r>
    <r>
      <rPr>
        <sz val="11"/>
        <rFont val="Consolas"/>
        <family val="3"/>
      </rPr>
      <t>/Lips That Lie</t>
    </r>
    <rPh sb="5" eb="6">
      <t>クチビル</t>
    </rPh>
    <phoneticPr fontId="1"/>
  </si>
  <si>
    <r>
      <rPr>
        <sz val="11"/>
        <rFont val="游ゴシック Medium"/>
        <family val="3"/>
        <charset val="128"/>
      </rPr>
      <t>富士見台駅前の本屋</t>
    </r>
    <rPh sb="0" eb="4">
      <t>フジミダイ</t>
    </rPh>
    <rPh sb="4" eb="6">
      <t>エキマエ</t>
    </rPh>
    <rPh sb="7" eb="9">
      <t>ホンヤ</t>
    </rPh>
    <phoneticPr fontId="1"/>
  </si>
  <si>
    <r>
      <rPr>
        <sz val="11"/>
        <rFont val="游ゴシック Medium"/>
        <family val="3"/>
        <charset val="128"/>
      </rPr>
      <t>クレヨンしんちゃん⑦</t>
    </r>
    <phoneticPr fontId="1"/>
  </si>
  <si>
    <r>
      <rPr>
        <sz val="11"/>
        <rFont val="游ゴシック Medium"/>
        <family val="3"/>
        <charset val="128"/>
      </rPr>
      <t>⑦</t>
    </r>
    <r>
      <rPr>
        <sz val="11"/>
        <rFont val="Consolas"/>
        <family val="3"/>
      </rPr>
      <t>/</t>
    </r>
    <r>
      <rPr>
        <sz val="11"/>
        <rFont val="游ゴシック Medium"/>
        <family val="3"/>
        <charset val="128"/>
      </rPr>
      <t>名作シリーズ</t>
    </r>
    <rPh sb="2" eb="4">
      <t>メイサク</t>
    </rPh>
    <phoneticPr fontId="1"/>
  </si>
  <si>
    <r>
      <rPr>
        <sz val="11"/>
        <rFont val="游ゴシック Medium"/>
        <family val="3"/>
        <charset val="128"/>
      </rPr>
      <t>双葉文庫</t>
    </r>
    <r>
      <rPr>
        <sz val="11"/>
        <rFont val="Consolas"/>
        <family val="3"/>
      </rPr>
      <t>/</t>
    </r>
    <r>
      <rPr>
        <sz val="11"/>
        <rFont val="游ゴシック Medium"/>
        <family val="3"/>
        <charset val="128"/>
      </rPr>
      <t>双葉社</t>
    </r>
    <rPh sb="0" eb="4">
      <t>フタバブンコ</t>
    </rPh>
    <rPh sb="5" eb="8">
      <t>フタバシャ</t>
    </rPh>
    <phoneticPr fontId="1"/>
  </si>
  <si>
    <r>
      <rPr>
        <sz val="11"/>
        <rFont val="游ゴシック Medium"/>
        <family val="3"/>
        <charset val="128"/>
      </rPr>
      <t>ファンダメンタル</t>
    </r>
    <phoneticPr fontId="1"/>
  </si>
  <si>
    <r>
      <rPr>
        <sz val="11"/>
        <rFont val="游ゴシック Medium"/>
        <family val="3"/>
        <charset val="128"/>
      </rPr>
      <t>愛のせいかしら</t>
    </r>
    <rPh sb="0" eb="1">
      <t>アイ</t>
    </rPh>
    <phoneticPr fontId="1"/>
  </si>
  <si>
    <r>
      <t xml:space="preserve">1993/09 </t>
    </r>
    <r>
      <rPr>
        <sz val="11"/>
        <rFont val="游ゴシック Medium"/>
        <family val="3"/>
        <charset val="128"/>
      </rPr>
      <t>青林堂</t>
    </r>
    <r>
      <rPr>
        <sz val="11"/>
        <rFont val="Consolas"/>
        <family val="3"/>
      </rPr>
      <t>,1998/11</t>
    </r>
    <rPh sb="8" eb="10">
      <t>セイリン</t>
    </rPh>
    <rPh sb="10" eb="11">
      <t>ドウ</t>
    </rPh>
    <phoneticPr fontId="1"/>
  </si>
  <si>
    <r>
      <rPr>
        <sz val="11"/>
        <rFont val="游ゴシック Medium"/>
        <family val="3"/>
        <charset val="128"/>
      </rPr>
      <t>文春文庫</t>
    </r>
    <r>
      <rPr>
        <sz val="11"/>
        <rFont val="Consolas"/>
        <family val="3"/>
      </rPr>
      <t>/</t>
    </r>
    <r>
      <rPr>
        <sz val="11"/>
        <rFont val="游ゴシック Medium"/>
        <family val="3"/>
        <charset val="128"/>
      </rPr>
      <t>文藝春秋</t>
    </r>
    <rPh sb="0" eb="4">
      <t>ブンシュンブンコ</t>
    </rPh>
    <rPh sb="5" eb="7">
      <t>ブンゲイ</t>
    </rPh>
    <rPh sb="7" eb="9">
      <t>シュンジュウ</t>
    </rPh>
    <phoneticPr fontId="1"/>
  </si>
  <si>
    <r>
      <rPr>
        <strike/>
        <sz val="11"/>
        <rFont val="游ゴシック Medium"/>
        <family val="3"/>
        <charset val="128"/>
      </rPr>
      <t>楳津かずお</t>
    </r>
    <rPh sb="0" eb="2">
      <t>ウメヅ</t>
    </rPh>
    <phoneticPr fontId="1"/>
  </si>
  <si>
    <r>
      <rPr>
        <strike/>
        <sz val="11"/>
        <rFont val="游ゴシック Medium"/>
        <family val="3"/>
        <charset val="128"/>
      </rPr>
      <t>おろち</t>
    </r>
    <phoneticPr fontId="1"/>
  </si>
  <si>
    <r>
      <rPr>
        <strike/>
        <sz val="11"/>
        <rFont val="游ゴシック Medium"/>
        <family val="3"/>
        <charset val="128"/>
      </rPr>
      <t>秋田文庫</t>
    </r>
    <rPh sb="0" eb="2">
      <t>アキタ</t>
    </rPh>
    <rPh sb="2" eb="4">
      <t>ブンコ</t>
    </rPh>
    <phoneticPr fontId="1"/>
  </si>
  <si>
    <r>
      <rPr>
        <strike/>
        <sz val="11"/>
        <rFont val="游ゴシック Medium"/>
        <family val="3"/>
        <charset val="128"/>
      </rPr>
      <t>恐怖</t>
    </r>
    <rPh sb="0" eb="2">
      <t>キョウフ</t>
    </rPh>
    <phoneticPr fontId="1"/>
  </si>
  <si>
    <r>
      <rPr>
        <sz val="11"/>
        <rFont val="游ゴシック Medium"/>
        <family val="3"/>
        <charset val="128"/>
      </rPr>
      <t>楳津かずお</t>
    </r>
    <rPh sb="0" eb="2">
      <t>ウメツ</t>
    </rPh>
    <phoneticPr fontId="1"/>
  </si>
  <si>
    <r>
      <rPr>
        <sz val="11"/>
        <rFont val="游ゴシック Medium"/>
        <family val="3"/>
        <charset val="128"/>
      </rPr>
      <t>漂流教室</t>
    </r>
    <rPh sb="0" eb="4">
      <t>ヒョウリュウキョウシツ</t>
    </rPh>
    <phoneticPr fontId="1"/>
  </si>
  <si>
    <r>
      <rPr>
        <sz val="11"/>
        <rFont val="游ゴシック Medium"/>
        <family val="3"/>
        <charset val="128"/>
      </rPr>
      <t>小学館文庫</t>
    </r>
    <rPh sb="0" eb="3">
      <t>ショウガクカン</t>
    </rPh>
    <rPh sb="3" eb="5">
      <t>ブンコ</t>
    </rPh>
    <phoneticPr fontId="1"/>
  </si>
  <si>
    <r>
      <rPr>
        <sz val="11"/>
        <rFont val="游ゴシック Medium"/>
        <family val="3"/>
        <charset val="128"/>
      </rPr>
      <t>すすめ</t>
    </r>
    <r>
      <rPr>
        <sz val="11"/>
        <rFont val="Consolas"/>
        <family val="3"/>
      </rPr>
      <t>!!</t>
    </r>
    <r>
      <rPr>
        <sz val="11"/>
        <rFont val="游ゴシック Medium"/>
        <family val="3"/>
        <charset val="128"/>
      </rPr>
      <t>パイレーツ</t>
    </r>
    <phoneticPr fontId="1"/>
  </si>
  <si>
    <r>
      <rPr>
        <sz val="11"/>
        <rFont val="游ゴシック Medium"/>
        <family val="3"/>
        <charset val="128"/>
      </rPr>
      <t>ストップ</t>
    </r>
    <r>
      <rPr>
        <sz val="11"/>
        <rFont val="Consolas"/>
        <family val="3"/>
      </rPr>
      <t>!!</t>
    </r>
    <r>
      <rPr>
        <sz val="11"/>
        <rFont val="游ゴシック Medium"/>
        <family val="3"/>
        <charset val="128"/>
      </rPr>
      <t>ひばりくん！</t>
    </r>
    <phoneticPr fontId="1"/>
  </si>
  <si>
    <r>
      <rPr>
        <sz val="11"/>
        <rFont val="游ゴシック Medium"/>
        <family val="3"/>
        <charset val="128"/>
      </rPr>
      <t>双葉文庫</t>
    </r>
    <rPh sb="0" eb="2">
      <t>フタバ</t>
    </rPh>
    <rPh sb="2" eb="4">
      <t>ブンコ</t>
    </rPh>
    <phoneticPr fontId="1"/>
  </si>
  <si>
    <r>
      <rPr>
        <sz val="11"/>
        <rFont val="游ゴシック Medium"/>
        <family val="3"/>
        <charset val="128"/>
      </rPr>
      <t>江口寿史の爆発ディナーショー</t>
    </r>
    <rPh sb="0" eb="2">
      <t>エグチ</t>
    </rPh>
    <rPh sb="2" eb="4">
      <t>ヒサシ</t>
    </rPh>
    <rPh sb="5" eb="7">
      <t>バクハツ</t>
    </rPh>
    <phoneticPr fontId="1"/>
  </si>
  <si>
    <r>
      <rPr>
        <sz val="11"/>
        <rFont val="游ゴシック Medium"/>
        <family val="3"/>
        <charset val="128"/>
      </rPr>
      <t>名作</t>
    </r>
    <r>
      <rPr>
        <sz val="11"/>
        <rFont val="Consolas"/>
        <family val="3"/>
      </rPr>
      <t>Series</t>
    </r>
    <rPh sb="0" eb="2">
      <t>メイサク</t>
    </rPh>
    <rPh sb="2" eb="8">
      <t>シリーズ</t>
    </rPh>
    <phoneticPr fontId="1"/>
  </si>
  <si>
    <r>
      <rPr>
        <sz val="11"/>
        <rFont val="游ゴシック Medium"/>
        <family val="3"/>
        <charset val="128"/>
      </rPr>
      <t>岡田純子</t>
    </r>
    <rPh sb="0" eb="2">
      <t>オカダ</t>
    </rPh>
    <rPh sb="2" eb="4">
      <t>ジュンコ</t>
    </rPh>
    <phoneticPr fontId="1"/>
  </si>
  <si>
    <r>
      <rPr>
        <sz val="11"/>
        <rFont val="游ゴシック Medium"/>
        <family val="3"/>
        <charset val="128"/>
      </rPr>
      <t>まんが</t>
    </r>
    <r>
      <rPr>
        <sz val="11"/>
        <rFont val="Consolas"/>
        <family val="3"/>
      </rPr>
      <t xml:space="preserve"> </t>
    </r>
    <r>
      <rPr>
        <sz val="11"/>
        <rFont val="游ゴシック Medium"/>
        <family val="3"/>
        <charset val="128"/>
      </rPr>
      <t>グリム童話</t>
    </r>
    <r>
      <rPr>
        <sz val="11"/>
        <rFont val="Consolas"/>
        <family val="3"/>
      </rPr>
      <t xml:space="preserve"> </t>
    </r>
    <r>
      <rPr>
        <sz val="11"/>
        <rFont val="游ゴシック Medium"/>
        <family val="3"/>
        <charset val="128"/>
      </rPr>
      <t>吉原</t>
    </r>
    <r>
      <rPr>
        <sz val="11"/>
        <rFont val="Consolas"/>
        <family val="3"/>
      </rPr>
      <t xml:space="preserve"> </t>
    </r>
    <r>
      <rPr>
        <sz val="11"/>
        <rFont val="游ゴシック Medium"/>
        <family val="3"/>
        <charset val="128"/>
      </rPr>
      <t>華の乱</t>
    </r>
    <rPh sb="7" eb="9">
      <t>ドウワ</t>
    </rPh>
    <rPh sb="10" eb="12">
      <t>ヨシワラ</t>
    </rPh>
    <rPh sb="13" eb="14">
      <t>ハナ</t>
    </rPh>
    <rPh sb="15" eb="16">
      <t>ラン</t>
    </rPh>
    <phoneticPr fontId="1"/>
  </si>
  <si>
    <r>
      <rPr>
        <sz val="11"/>
        <rFont val="游ゴシック Medium"/>
        <family val="3"/>
        <charset val="128"/>
      </rPr>
      <t>まんが</t>
    </r>
    <r>
      <rPr>
        <sz val="11"/>
        <rFont val="Consolas"/>
        <family val="3"/>
      </rPr>
      <t xml:space="preserve"> </t>
    </r>
    <r>
      <rPr>
        <sz val="11"/>
        <rFont val="游ゴシック Medium"/>
        <family val="3"/>
        <charset val="128"/>
      </rPr>
      <t>グリム童話</t>
    </r>
    <r>
      <rPr>
        <sz val="11"/>
        <rFont val="Consolas"/>
        <family val="3"/>
      </rPr>
      <t xml:space="preserve"> </t>
    </r>
    <r>
      <rPr>
        <sz val="11"/>
        <rFont val="游ゴシック Medium"/>
        <family val="3"/>
        <charset val="128"/>
      </rPr>
      <t>吉原</t>
    </r>
    <r>
      <rPr>
        <sz val="11"/>
        <rFont val="Consolas"/>
        <family val="3"/>
      </rPr>
      <t xml:space="preserve"> </t>
    </r>
    <r>
      <rPr>
        <sz val="11"/>
        <rFont val="游ゴシック Medium"/>
        <family val="3"/>
        <charset val="128"/>
      </rPr>
      <t>華の乱</t>
    </r>
    <r>
      <rPr>
        <sz val="11"/>
        <rFont val="Consolas"/>
        <family val="3"/>
      </rPr>
      <t xml:space="preserve"> 2</t>
    </r>
    <rPh sb="7" eb="9">
      <t>ドウワ</t>
    </rPh>
    <rPh sb="10" eb="12">
      <t>ヨシワラ</t>
    </rPh>
    <rPh sb="13" eb="14">
      <t>ハナ</t>
    </rPh>
    <rPh sb="15" eb="16">
      <t>ラン</t>
    </rPh>
    <phoneticPr fontId="1"/>
  </si>
  <si>
    <r>
      <rPr>
        <sz val="11"/>
        <rFont val="游ゴシック Medium"/>
        <family val="3"/>
        <charset val="128"/>
      </rPr>
      <t>まんが</t>
    </r>
    <r>
      <rPr>
        <sz val="11"/>
        <rFont val="Consolas"/>
        <family val="3"/>
      </rPr>
      <t xml:space="preserve"> </t>
    </r>
    <r>
      <rPr>
        <sz val="11"/>
        <rFont val="游ゴシック Medium"/>
        <family val="3"/>
        <charset val="128"/>
      </rPr>
      <t>グリム童話</t>
    </r>
    <r>
      <rPr>
        <sz val="11"/>
        <rFont val="Consolas"/>
        <family val="3"/>
      </rPr>
      <t xml:space="preserve"> </t>
    </r>
    <r>
      <rPr>
        <sz val="11"/>
        <rFont val="游ゴシック Medium"/>
        <family val="3"/>
        <charset val="128"/>
      </rPr>
      <t>吉原</t>
    </r>
    <r>
      <rPr>
        <sz val="11"/>
        <rFont val="Consolas"/>
        <family val="3"/>
      </rPr>
      <t xml:space="preserve"> </t>
    </r>
    <r>
      <rPr>
        <sz val="11"/>
        <rFont val="游ゴシック Medium"/>
        <family val="3"/>
        <charset val="128"/>
      </rPr>
      <t>華の乱</t>
    </r>
    <r>
      <rPr>
        <sz val="11"/>
        <rFont val="Consolas"/>
        <family val="3"/>
      </rPr>
      <t xml:space="preserve"> 3</t>
    </r>
    <rPh sb="7" eb="9">
      <t>ドウワ</t>
    </rPh>
    <rPh sb="10" eb="12">
      <t>ヨシワラ</t>
    </rPh>
    <rPh sb="13" eb="14">
      <t>ハナ</t>
    </rPh>
    <rPh sb="15" eb="16">
      <t>ラン</t>
    </rPh>
    <phoneticPr fontId="1"/>
  </si>
  <si>
    <r>
      <rPr>
        <sz val="11"/>
        <rFont val="游ゴシック Medium"/>
        <family val="3"/>
        <charset val="128"/>
      </rPr>
      <t>まんが</t>
    </r>
    <r>
      <rPr>
        <sz val="11"/>
        <rFont val="Consolas"/>
        <family val="3"/>
      </rPr>
      <t xml:space="preserve"> </t>
    </r>
    <r>
      <rPr>
        <sz val="11"/>
        <rFont val="游ゴシック Medium"/>
        <family val="3"/>
        <charset val="128"/>
      </rPr>
      <t>グリム童話</t>
    </r>
    <r>
      <rPr>
        <sz val="11"/>
        <rFont val="Consolas"/>
        <family val="3"/>
      </rPr>
      <t xml:space="preserve"> </t>
    </r>
    <r>
      <rPr>
        <sz val="11"/>
        <rFont val="游ゴシック Medium"/>
        <family val="3"/>
        <charset val="128"/>
      </rPr>
      <t>吉原</t>
    </r>
    <r>
      <rPr>
        <sz val="11"/>
        <rFont val="Consolas"/>
        <family val="3"/>
      </rPr>
      <t xml:space="preserve"> </t>
    </r>
    <r>
      <rPr>
        <sz val="11"/>
        <rFont val="游ゴシック Medium"/>
        <family val="3"/>
        <charset val="128"/>
      </rPr>
      <t>華の乱</t>
    </r>
    <r>
      <rPr>
        <sz val="11"/>
        <rFont val="Consolas"/>
        <family val="3"/>
      </rPr>
      <t xml:space="preserve"> 4</t>
    </r>
    <rPh sb="7" eb="9">
      <t>ドウワ</t>
    </rPh>
    <rPh sb="10" eb="12">
      <t>ヨシワラ</t>
    </rPh>
    <rPh sb="13" eb="14">
      <t>ハナ</t>
    </rPh>
    <rPh sb="15" eb="16">
      <t>ラン</t>
    </rPh>
    <phoneticPr fontId="1"/>
  </si>
  <si>
    <r>
      <rPr>
        <sz val="11"/>
        <rFont val="游ゴシック Medium"/>
        <family val="3"/>
        <charset val="128"/>
      </rPr>
      <t>上條淳士</t>
    </r>
    <rPh sb="0" eb="2">
      <t>カミジョウ</t>
    </rPh>
    <rPh sb="2" eb="4">
      <t>アツシ</t>
    </rPh>
    <phoneticPr fontId="1"/>
  </si>
  <si>
    <r>
      <rPr>
        <sz val="11"/>
        <rFont val="游ゴシック Medium"/>
        <family val="3"/>
        <charset val="128"/>
      </rPr>
      <t>鴨川つばめ</t>
    </r>
    <rPh sb="0" eb="2">
      <t>カモガワ</t>
    </rPh>
    <phoneticPr fontId="1"/>
  </si>
  <si>
    <r>
      <rPr>
        <sz val="11"/>
        <rFont val="游ゴシック Medium"/>
        <family val="3"/>
        <charset val="128"/>
      </rPr>
      <t>マカロニほうれん荘</t>
    </r>
    <rPh sb="8" eb="9">
      <t>ソウ</t>
    </rPh>
    <phoneticPr fontId="1"/>
  </si>
  <si>
    <r>
      <rPr>
        <sz val="11"/>
        <rFont val="游ゴシック Medium"/>
        <family val="3"/>
        <charset val="128"/>
      </rPr>
      <t>いなかっぺ大将</t>
    </r>
    <r>
      <rPr>
        <sz val="11"/>
        <rFont val="Consolas"/>
        <family val="3"/>
      </rPr>
      <t xml:space="preserve"> 4 </t>
    </r>
    <r>
      <rPr>
        <sz val="11"/>
        <rFont val="游ゴシック Medium"/>
        <family val="3"/>
        <charset val="128"/>
      </rPr>
      <t>激愛編</t>
    </r>
    <rPh sb="5" eb="7">
      <t>タイショウ</t>
    </rPh>
    <rPh sb="10" eb="11">
      <t>ゲキ</t>
    </rPh>
    <rPh sb="11" eb="12">
      <t>アイ</t>
    </rPh>
    <rPh sb="12" eb="13">
      <t>ヘン</t>
    </rPh>
    <phoneticPr fontId="1"/>
  </si>
  <si>
    <r>
      <rPr>
        <strike/>
        <sz val="11"/>
        <rFont val="游ゴシック Medium"/>
        <family val="3"/>
        <charset val="128"/>
      </rPr>
      <t>どとーの愛</t>
    </r>
    <rPh sb="4" eb="5">
      <t>アイ</t>
    </rPh>
    <phoneticPr fontId="1"/>
  </si>
  <si>
    <r>
      <rPr>
        <strike/>
        <sz val="11"/>
        <rFont val="游ゴシック Medium"/>
        <family val="3"/>
        <charset val="128"/>
      </rPr>
      <t>徳間</t>
    </r>
    <r>
      <rPr>
        <strike/>
        <sz val="11"/>
        <rFont val="Consolas"/>
        <family val="3"/>
      </rPr>
      <t>comic</t>
    </r>
    <r>
      <rPr>
        <strike/>
        <sz val="11"/>
        <rFont val="游ゴシック Medium"/>
        <family val="3"/>
        <charset val="128"/>
      </rPr>
      <t>文庫</t>
    </r>
    <rPh sb="0" eb="2">
      <t>トクマ</t>
    </rPh>
    <rPh sb="2" eb="7">
      <t>コミック</t>
    </rPh>
    <rPh sb="7" eb="9">
      <t>ブンコ</t>
    </rPh>
    <phoneticPr fontId="1"/>
  </si>
  <si>
    <r>
      <rPr>
        <strike/>
        <sz val="11"/>
        <rFont val="游ゴシック Medium"/>
        <family val="3"/>
        <charset val="128"/>
      </rPr>
      <t>ろまんちっく牛之介</t>
    </r>
    <rPh sb="6" eb="9">
      <t>ウシノスケ</t>
    </rPh>
    <phoneticPr fontId="1"/>
  </si>
  <si>
    <r>
      <rPr>
        <strike/>
        <sz val="11"/>
        <rFont val="游ゴシック Medium"/>
        <family val="3"/>
        <charset val="128"/>
      </rPr>
      <t>最終フェイス</t>
    </r>
    <rPh sb="0" eb="2">
      <t>サイシュウ</t>
    </rPh>
    <phoneticPr fontId="1"/>
  </si>
  <si>
    <r>
      <rPr>
        <strike/>
        <sz val="11"/>
        <rFont val="游ゴシック Medium"/>
        <family val="3"/>
        <charset val="128"/>
      </rPr>
      <t>東大一直線</t>
    </r>
    <rPh sb="0" eb="2">
      <t>トウダイ</t>
    </rPh>
    <rPh sb="2" eb="5">
      <t>イッチョクセン</t>
    </rPh>
    <phoneticPr fontId="1"/>
  </si>
  <si>
    <r>
      <rPr>
        <strike/>
        <sz val="11"/>
        <rFont val="游ゴシック Medium"/>
        <family val="3"/>
        <charset val="128"/>
      </rPr>
      <t>小学館コロコロ文庫</t>
    </r>
    <r>
      <rPr>
        <strike/>
        <sz val="11"/>
        <rFont val="Consolas"/>
        <family val="3"/>
      </rPr>
      <t>/</t>
    </r>
    <r>
      <rPr>
        <strike/>
        <sz val="11"/>
        <rFont val="游ゴシック Medium"/>
        <family val="3"/>
        <charset val="128"/>
      </rPr>
      <t>小学館</t>
    </r>
    <rPh sb="0" eb="3">
      <t>ショウガクカン</t>
    </rPh>
    <rPh sb="7" eb="9">
      <t>ブンコ</t>
    </rPh>
    <rPh sb="10" eb="13">
      <t>ショウガクカン</t>
    </rPh>
    <phoneticPr fontId="1"/>
  </si>
  <si>
    <r>
      <t>1-3</t>
    </r>
    <r>
      <rPr>
        <strike/>
        <sz val="11"/>
        <rFont val="游ゴシック Medium"/>
        <family val="3"/>
        <charset val="128"/>
      </rPr>
      <t>は</t>
    </r>
    <r>
      <rPr>
        <strike/>
        <sz val="11"/>
        <rFont val="Consolas"/>
        <family val="3"/>
      </rPr>
      <t>1995/08/14 Mon</t>
    </r>
    <phoneticPr fontId="1"/>
  </si>
  <si>
    <r>
      <rPr>
        <strike/>
        <sz val="11"/>
        <rFont val="游ゴシック Medium"/>
        <family val="3"/>
        <charset val="128"/>
      </rPr>
      <t>東大快進撃</t>
    </r>
    <rPh sb="0" eb="2">
      <t>トウダイ</t>
    </rPh>
    <rPh sb="2" eb="5">
      <t>カイシンゲキ</t>
    </rPh>
    <phoneticPr fontId="1"/>
  </si>
  <si>
    <r>
      <rPr>
        <sz val="11"/>
        <rFont val="游ゴシック Medium"/>
        <family val="3"/>
        <charset val="128"/>
      </rPr>
      <t>ニーベルングの指環</t>
    </r>
    <r>
      <rPr>
        <sz val="11"/>
        <rFont val="Consolas"/>
        <family val="3"/>
      </rPr>
      <t xml:space="preserve"> </t>
    </r>
    <r>
      <rPr>
        <sz val="11"/>
        <rFont val="游ゴシック Medium"/>
        <family val="3"/>
        <charset val="128"/>
      </rPr>
      <t>上</t>
    </r>
    <r>
      <rPr>
        <sz val="11"/>
        <rFont val="Consolas"/>
        <family val="3"/>
      </rPr>
      <t xml:space="preserve"> </t>
    </r>
    <r>
      <rPr>
        <sz val="11"/>
        <rFont val="游ゴシック Medium"/>
        <family val="3"/>
        <charset val="128"/>
      </rPr>
      <t>序夜</t>
    </r>
    <r>
      <rPr>
        <sz val="11"/>
        <rFont val="Consolas"/>
        <family val="3"/>
      </rPr>
      <t xml:space="preserve"> </t>
    </r>
    <r>
      <rPr>
        <sz val="11"/>
        <rFont val="游ゴシック Medium"/>
        <family val="3"/>
        <charset val="128"/>
      </rPr>
      <t>ラインの黄金</t>
    </r>
    <r>
      <rPr>
        <sz val="11"/>
        <rFont val="Consolas"/>
        <family val="3"/>
      </rPr>
      <t xml:space="preserve"> </t>
    </r>
    <r>
      <rPr>
        <sz val="11"/>
        <rFont val="游ゴシック Medium"/>
        <family val="3"/>
        <charset val="128"/>
      </rPr>
      <t>第一夜</t>
    </r>
    <r>
      <rPr>
        <sz val="11"/>
        <rFont val="Consolas"/>
        <family val="3"/>
      </rPr>
      <t xml:space="preserve"> </t>
    </r>
    <r>
      <rPr>
        <sz val="11"/>
        <rFont val="游ゴシック Medium"/>
        <family val="3"/>
        <charset val="128"/>
      </rPr>
      <t>ワルキューレ</t>
    </r>
    <rPh sb="7" eb="9">
      <t>ユビワ</t>
    </rPh>
    <rPh sb="10" eb="11">
      <t>ジョウ</t>
    </rPh>
    <rPh sb="12" eb="14">
      <t>ジョヤ</t>
    </rPh>
    <rPh sb="19" eb="21">
      <t>オウゴン</t>
    </rPh>
    <rPh sb="22" eb="24">
      <t>ダイイチ</t>
    </rPh>
    <rPh sb="24" eb="25">
      <t>ヤ</t>
    </rPh>
    <phoneticPr fontId="1"/>
  </si>
  <si>
    <r>
      <rPr>
        <sz val="11"/>
        <rFont val="游ゴシック Medium"/>
        <family val="3"/>
        <charset val="128"/>
      </rPr>
      <t>マンガ名作オペラ</t>
    </r>
    <r>
      <rPr>
        <sz val="11"/>
        <rFont val="Consolas"/>
        <family val="3"/>
      </rPr>
      <t xml:space="preserve"> 1</t>
    </r>
    <rPh sb="3" eb="5">
      <t>メイサク</t>
    </rPh>
    <phoneticPr fontId="1"/>
  </si>
  <si>
    <r>
      <rPr>
        <sz val="11"/>
        <rFont val="游ゴシック Medium"/>
        <family val="3"/>
        <charset val="128"/>
      </rPr>
      <t>中公文庫</t>
    </r>
    <r>
      <rPr>
        <sz val="11"/>
        <rFont val="Consolas"/>
        <family val="3"/>
      </rPr>
      <t>/</t>
    </r>
    <r>
      <rPr>
        <sz val="11"/>
        <rFont val="游ゴシック Medium"/>
        <family val="3"/>
        <charset val="128"/>
      </rPr>
      <t>中央公論新社</t>
    </r>
    <rPh sb="0" eb="4">
      <t>チュウコウブンコ</t>
    </rPh>
    <rPh sb="5" eb="11">
      <t>チュウオウコウロンシンシャ</t>
    </rPh>
    <phoneticPr fontId="1"/>
  </si>
  <si>
    <r>
      <t>YAMAHA</t>
    </r>
    <r>
      <rPr>
        <sz val="11"/>
        <rFont val="游ゴシック Medium"/>
        <family val="3"/>
        <charset val="128"/>
      </rPr>
      <t>池袋</t>
    </r>
    <rPh sb="0" eb="6">
      <t>ヤマハ</t>
    </rPh>
    <rPh sb="6" eb="8">
      <t>イケブクロ</t>
    </rPh>
    <phoneticPr fontId="1"/>
  </si>
  <si>
    <r>
      <rPr>
        <sz val="11"/>
        <rFont val="游ゴシック Medium"/>
        <family val="3"/>
        <charset val="128"/>
      </rPr>
      <t>ニーベルングの指環</t>
    </r>
    <r>
      <rPr>
        <sz val="11"/>
        <rFont val="Consolas"/>
        <family val="3"/>
      </rPr>
      <t xml:space="preserve"> </t>
    </r>
    <r>
      <rPr>
        <sz val="11"/>
        <rFont val="游ゴシック Medium"/>
        <family val="3"/>
        <charset val="128"/>
      </rPr>
      <t>下</t>
    </r>
    <r>
      <rPr>
        <sz val="11"/>
        <rFont val="Consolas"/>
        <family val="3"/>
      </rPr>
      <t xml:space="preserve"> </t>
    </r>
    <r>
      <rPr>
        <sz val="11"/>
        <rFont val="游ゴシック Medium"/>
        <family val="3"/>
        <charset val="128"/>
      </rPr>
      <t>第三夜</t>
    </r>
    <r>
      <rPr>
        <sz val="11"/>
        <rFont val="Consolas"/>
        <family val="3"/>
      </rPr>
      <t xml:space="preserve"> </t>
    </r>
    <r>
      <rPr>
        <sz val="11"/>
        <rFont val="游ゴシック Medium"/>
        <family val="3"/>
        <charset val="128"/>
      </rPr>
      <t>ジークフリート</t>
    </r>
    <r>
      <rPr>
        <sz val="11"/>
        <rFont val="Consolas"/>
        <family val="3"/>
      </rPr>
      <t xml:space="preserve"> </t>
    </r>
    <r>
      <rPr>
        <sz val="11"/>
        <rFont val="游ゴシック Medium"/>
        <family val="3"/>
        <charset val="128"/>
      </rPr>
      <t>第四夜</t>
    </r>
    <r>
      <rPr>
        <sz val="11"/>
        <rFont val="Consolas"/>
        <family val="3"/>
      </rPr>
      <t xml:space="preserve"> </t>
    </r>
    <r>
      <rPr>
        <sz val="11"/>
        <rFont val="游ゴシック Medium"/>
        <family val="3"/>
        <charset val="128"/>
      </rPr>
      <t>神々の黄昏</t>
    </r>
    <rPh sb="7" eb="9">
      <t>ユビワ</t>
    </rPh>
    <rPh sb="10" eb="11">
      <t>ゲ</t>
    </rPh>
    <rPh sb="12" eb="13">
      <t>ダイ</t>
    </rPh>
    <rPh sb="13" eb="14">
      <t>サン</t>
    </rPh>
    <rPh sb="14" eb="15">
      <t>ヤ</t>
    </rPh>
    <rPh sb="24" eb="25">
      <t>ダイ</t>
    </rPh>
    <rPh sb="25" eb="26">
      <t>ヨン</t>
    </rPh>
    <rPh sb="26" eb="27">
      <t>ヤ</t>
    </rPh>
    <rPh sb="28" eb="30">
      <t>カミガミ</t>
    </rPh>
    <rPh sb="31" eb="33">
      <t>タソガレ</t>
    </rPh>
    <phoneticPr fontId="1"/>
  </si>
  <si>
    <r>
      <rPr>
        <sz val="11"/>
        <rFont val="游ゴシック Medium"/>
        <family val="3"/>
        <charset val="128"/>
      </rPr>
      <t>マンガ</t>
    </r>
    <r>
      <rPr>
        <sz val="11"/>
        <rFont val="Consolas"/>
        <family val="3"/>
      </rPr>
      <t xml:space="preserve"> </t>
    </r>
    <r>
      <rPr>
        <sz val="11"/>
        <rFont val="游ゴシック Medium"/>
        <family val="3"/>
        <charset val="128"/>
      </rPr>
      <t>旧約聖書</t>
    </r>
    <r>
      <rPr>
        <sz val="11"/>
        <rFont val="Consolas"/>
        <family val="3"/>
      </rPr>
      <t xml:space="preserve"> 1 </t>
    </r>
    <r>
      <rPr>
        <sz val="11"/>
        <rFont val="游ゴシック Medium"/>
        <family val="3"/>
        <charset val="128"/>
      </rPr>
      <t>創世記</t>
    </r>
    <rPh sb="4" eb="6">
      <t>キュウヤク</t>
    </rPh>
    <rPh sb="6" eb="8">
      <t>セイショ</t>
    </rPh>
    <rPh sb="11" eb="14">
      <t>ソウセイキ</t>
    </rPh>
    <phoneticPr fontId="1"/>
  </si>
  <si>
    <r>
      <rPr>
        <sz val="11"/>
        <rFont val="游ゴシック Medium"/>
        <family val="3"/>
        <charset val="128"/>
      </rPr>
      <t>中央公論新社</t>
    </r>
    <rPh sb="0" eb="2">
      <t>チュウオウ</t>
    </rPh>
    <rPh sb="2" eb="4">
      <t>コウロン</t>
    </rPh>
    <rPh sb="4" eb="6">
      <t>シンシャ</t>
    </rPh>
    <phoneticPr fontId="1"/>
  </si>
  <si>
    <r>
      <rPr>
        <sz val="11"/>
        <rFont val="游ゴシック Medium"/>
        <family val="3"/>
        <charset val="128"/>
      </rPr>
      <t>マンガ</t>
    </r>
    <r>
      <rPr>
        <sz val="11"/>
        <rFont val="Consolas"/>
        <family val="3"/>
      </rPr>
      <t xml:space="preserve"> </t>
    </r>
    <r>
      <rPr>
        <sz val="11"/>
        <rFont val="游ゴシック Medium"/>
        <family val="3"/>
        <charset val="128"/>
      </rPr>
      <t>旧約聖書</t>
    </r>
    <r>
      <rPr>
        <sz val="11"/>
        <rFont val="Consolas"/>
        <family val="3"/>
      </rPr>
      <t xml:space="preserve"> 2 </t>
    </r>
    <r>
      <rPr>
        <sz val="11"/>
        <rFont val="游ゴシック Medium"/>
        <family val="3"/>
        <charset val="128"/>
      </rPr>
      <t>創世記</t>
    </r>
    <r>
      <rPr>
        <sz val="11"/>
        <rFont val="Consolas"/>
        <family val="3"/>
      </rPr>
      <t>&lt;</t>
    </r>
    <r>
      <rPr>
        <sz val="11"/>
        <rFont val="游ゴシック Medium"/>
        <family val="3"/>
        <charset val="128"/>
      </rPr>
      <t>続</t>
    </r>
    <r>
      <rPr>
        <sz val="11"/>
        <rFont val="Consolas"/>
        <family val="3"/>
      </rPr>
      <t>&gt;/</t>
    </r>
    <r>
      <rPr>
        <sz val="11"/>
        <rFont val="游ゴシック Medium"/>
        <family val="3"/>
        <charset val="128"/>
      </rPr>
      <t>出エジプト記</t>
    </r>
    <r>
      <rPr>
        <sz val="11"/>
        <rFont val="Consolas"/>
        <family val="3"/>
      </rPr>
      <t>/</t>
    </r>
    <r>
      <rPr>
        <sz val="11"/>
        <rFont val="游ゴシック Medium"/>
        <family val="3"/>
        <charset val="128"/>
      </rPr>
      <t>レビ記</t>
    </r>
    <r>
      <rPr>
        <sz val="11"/>
        <rFont val="Consolas"/>
        <family val="3"/>
      </rPr>
      <t>/</t>
    </r>
    <r>
      <rPr>
        <sz val="11"/>
        <rFont val="游ゴシック Medium"/>
        <family val="3"/>
        <charset val="128"/>
      </rPr>
      <t>民数記</t>
    </r>
    <r>
      <rPr>
        <sz val="11"/>
        <rFont val="Consolas"/>
        <family val="3"/>
      </rPr>
      <t>/</t>
    </r>
    <r>
      <rPr>
        <sz val="11"/>
        <rFont val="游ゴシック Medium"/>
        <family val="3"/>
        <charset val="128"/>
      </rPr>
      <t>申命記</t>
    </r>
    <r>
      <rPr>
        <sz val="11"/>
        <rFont val="Consolas"/>
        <family val="3"/>
      </rPr>
      <t>/</t>
    </r>
    <r>
      <rPr>
        <sz val="11"/>
        <rFont val="游ゴシック Medium"/>
        <family val="3"/>
        <charset val="128"/>
      </rPr>
      <t>ヨシュア記</t>
    </r>
    <rPh sb="4" eb="6">
      <t>キュウヤク</t>
    </rPh>
    <rPh sb="6" eb="8">
      <t>セイショ</t>
    </rPh>
    <rPh sb="11" eb="14">
      <t>ソウセイキ</t>
    </rPh>
    <rPh sb="15" eb="16">
      <t>ゾク</t>
    </rPh>
    <rPh sb="18" eb="19">
      <t>シュツ</t>
    </rPh>
    <rPh sb="23" eb="24">
      <t>キ</t>
    </rPh>
    <rPh sb="27" eb="28">
      <t>キ</t>
    </rPh>
    <rPh sb="29" eb="32">
      <t>ミンスウキ</t>
    </rPh>
    <rPh sb="33" eb="36">
      <t>シンメイキ</t>
    </rPh>
    <rPh sb="41" eb="42">
      <t>キ</t>
    </rPh>
    <phoneticPr fontId="1"/>
  </si>
  <si>
    <r>
      <rPr>
        <sz val="11"/>
        <rFont val="游ゴシック Medium"/>
        <family val="3"/>
        <charset val="128"/>
      </rPr>
      <t>マンガ</t>
    </r>
    <r>
      <rPr>
        <sz val="11"/>
        <rFont val="Consolas"/>
        <family val="3"/>
      </rPr>
      <t xml:space="preserve"> </t>
    </r>
    <r>
      <rPr>
        <sz val="11"/>
        <rFont val="游ゴシック Medium"/>
        <family val="3"/>
        <charset val="128"/>
      </rPr>
      <t>旧約聖書</t>
    </r>
    <r>
      <rPr>
        <sz val="11"/>
        <rFont val="Consolas"/>
        <family val="3"/>
      </rPr>
      <t xml:space="preserve"> 3 </t>
    </r>
    <r>
      <rPr>
        <sz val="11"/>
        <rFont val="游ゴシック Medium"/>
        <family val="3"/>
        <charset val="128"/>
      </rPr>
      <t>ヨシュア記</t>
    </r>
    <r>
      <rPr>
        <sz val="11"/>
        <rFont val="Consolas"/>
        <family val="3"/>
      </rPr>
      <t>&lt;</t>
    </r>
    <r>
      <rPr>
        <sz val="11"/>
        <rFont val="游ゴシック Medium"/>
        <family val="3"/>
        <charset val="128"/>
      </rPr>
      <t>続</t>
    </r>
    <r>
      <rPr>
        <sz val="11"/>
        <rFont val="Consolas"/>
        <family val="3"/>
      </rPr>
      <t>&gt;/</t>
    </r>
    <r>
      <rPr>
        <sz val="11"/>
        <rFont val="游ゴシック Medium"/>
        <family val="3"/>
        <charset val="128"/>
      </rPr>
      <t>士師記</t>
    </r>
    <r>
      <rPr>
        <sz val="11"/>
        <rFont val="Consolas"/>
        <family val="3"/>
      </rPr>
      <t>/</t>
    </r>
    <r>
      <rPr>
        <sz val="11"/>
        <rFont val="游ゴシック Medium"/>
        <family val="3"/>
        <charset val="128"/>
      </rPr>
      <t>サムエル記</t>
    </r>
    <r>
      <rPr>
        <sz val="11"/>
        <rFont val="Consolas"/>
        <family val="3"/>
      </rPr>
      <t>/</t>
    </r>
    <r>
      <rPr>
        <sz val="11"/>
        <rFont val="游ゴシック Medium"/>
        <family val="3"/>
        <charset val="128"/>
      </rPr>
      <t>列王記</t>
    </r>
    <r>
      <rPr>
        <sz val="11"/>
        <rFont val="Consolas"/>
        <family val="3"/>
      </rPr>
      <t>/</t>
    </r>
    <r>
      <rPr>
        <sz val="11"/>
        <rFont val="游ゴシック Medium"/>
        <family val="3"/>
        <charset val="128"/>
      </rPr>
      <t>ヨナ記</t>
    </r>
    <r>
      <rPr>
        <sz val="11"/>
        <rFont val="Consolas"/>
        <family val="3"/>
      </rPr>
      <t>/</t>
    </r>
    <r>
      <rPr>
        <sz val="11"/>
        <rFont val="游ゴシック Medium"/>
        <family val="3"/>
        <charset val="128"/>
      </rPr>
      <t>ヨブ記</t>
    </r>
    <r>
      <rPr>
        <sz val="11"/>
        <rFont val="Consolas"/>
        <family val="3"/>
      </rPr>
      <t>/</t>
    </r>
    <r>
      <rPr>
        <sz val="11"/>
        <rFont val="游ゴシック Medium"/>
        <family val="3"/>
        <charset val="128"/>
      </rPr>
      <t>ダニエル書</t>
    </r>
    <rPh sb="4" eb="6">
      <t>キュウヤク</t>
    </rPh>
    <rPh sb="6" eb="8">
      <t>セイショ</t>
    </rPh>
    <rPh sb="15" eb="16">
      <t>キ</t>
    </rPh>
    <rPh sb="17" eb="18">
      <t>ゾク</t>
    </rPh>
    <rPh sb="20" eb="23">
      <t>シシキ</t>
    </rPh>
    <rPh sb="28" eb="29">
      <t>キ</t>
    </rPh>
    <rPh sb="30" eb="33">
      <t>レツオウキ</t>
    </rPh>
    <rPh sb="36" eb="37">
      <t>キ</t>
    </rPh>
    <rPh sb="40" eb="41">
      <t>キ</t>
    </rPh>
    <rPh sb="46" eb="47">
      <t>ショ</t>
    </rPh>
    <phoneticPr fontId="1"/>
  </si>
  <si>
    <r>
      <t xml:space="preserve"> </t>
    </r>
    <r>
      <rPr>
        <sz val="11"/>
        <rFont val="游ゴシック Medium"/>
        <family val="3"/>
        <charset val="128"/>
      </rPr>
      <t>‎</t>
    </r>
    <r>
      <rPr>
        <sz val="11"/>
        <rFont val="Consolas"/>
        <family val="3"/>
      </rPr>
      <t xml:space="preserve"> 978-4122043091</t>
    </r>
    <phoneticPr fontId="1"/>
  </si>
  <si>
    <r>
      <rPr>
        <sz val="11"/>
        <rFont val="游ゴシック Medium"/>
        <family val="3"/>
        <charset val="128"/>
      </rPr>
      <t>マンガ</t>
    </r>
    <r>
      <rPr>
        <sz val="11"/>
        <rFont val="Consolas"/>
        <family val="3"/>
      </rPr>
      <t xml:space="preserve"> </t>
    </r>
    <r>
      <rPr>
        <sz val="11"/>
        <rFont val="游ゴシック Medium"/>
        <family val="3"/>
        <charset val="128"/>
      </rPr>
      <t>ギリシア神話</t>
    </r>
    <r>
      <rPr>
        <sz val="11"/>
        <rFont val="Consolas"/>
        <family val="3"/>
      </rPr>
      <t xml:space="preserve"> 3 </t>
    </r>
    <r>
      <rPr>
        <sz val="11"/>
        <rFont val="游ゴシック Medium"/>
        <family val="3"/>
        <charset val="128"/>
      </rPr>
      <t>冥界のオルフェウス</t>
    </r>
    <phoneticPr fontId="1"/>
  </si>
  <si>
    <r>
      <rPr>
        <sz val="11"/>
        <rFont val="游ゴシック Medium"/>
        <family val="3"/>
        <charset val="128"/>
      </rPr>
      <t>マンガ</t>
    </r>
    <r>
      <rPr>
        <sz val="11"/>
        <rFont val="Consolas"/>
        <family val="3"/>
      </rPr>
      <t xml:space="preserve"> </t>
    </r>
    <r>
      <rPr>
        <sz val="11"/>
        <rFont val="游ゴシック Medium"/>
        <family val="3"/>
        <charset val="128"/>
      </rPr>
      <t>ギリシア神話</t>
    </r>
    <r>
      <rPr>
        <sz val="11"/>
        <rFont val="Consolas"/>
        <family val="3"/>
      </rPr>
      <t xml:space="preserve"> 4 </t>
    </r>
    <r>
      <rPr>
        <sz val="11"/>
        <rFont val="游ゴシック Medium"/>
        <family val="3"/>
        <charset val="128"/>
      </rPr>
      <t>悲劇の王オイディプス</t>
    </r>
    <phoneticPr fontId="1"/>
  </si>
  <si>
    <r>
      <t xml:space="preserve"> </t>
    </r>
    <r>
      <rPr>
        <sz val="11"/>
        <rFont val="游ゴシック Medium"/>
        <family val="3"/>
        <charset val="128"/>
      </rPr>
      <t>‎</t>
    </r>
    <r>
      <rPr>
        <sz val="11"/>
        <rFont val="Consolas"/>
        <family val="3"/>
      </rPr>
      <t xml:space="preserve"> 978-4122043725</t>
    </r>
    <phoneticPr fontId="1"/>
  </si>
  <si>
    <r>
      <rPr>
        <sz val="11"/>
        <rFont val="游ゴシック Medium"/>
        <family val="3"/>
        <charset val="128"/>
      </rPr>
      <t>マンガ</t>
    </r>
    <r>
      <rPr>
        <sz val="11"/>
        <rFont val="Consolas"/>
        <family val="3"/>
      </rPr>
      <t xml:space="preserve"> </t>
    </r>
    <r>
      <rPr>
        <sz val="11"/>
        <rFont val="游ゴシック Medium"/>
        <family val="3"/>
        <charset val="128"/>
      </rPr>
      <t>ギリシア神話</t>
    </r>
    <r>
      <rPr>
        <sz val="11"/>
        <rFont val="Consolas"/>
        <family val="3"/>
      </rPr>
      <t xml:space="preserve"> 7 </t>
    </r>
    <r>
      <rPr>
        <sz val="11"/>
        <rFont val="游ゴシック Medium"/>
        <family val="3"/>
        <charset val="128"/>
      </rPr>
      <t>トロイの木馬</t>
    </r>
    <phoneticPr fontId="1"/>
  </si>
  <si>
    <r>
      <rPr>
        <sz val="11"/>
        <rFont val="游ゴシック Medium"/>
        <family val="3"/>
        <charset val="128"/>
      </rPr>
      <t>積乱雲</t>
    </r>
    <rPh sb="0" eb="3">
      <t>セキランウン</t>
    </rPh>
    <phoneticPr fontId="1"/>
  </si>
  <si>
    <r>
      <rPr>
        <sz val="11"/>
        <rFont val="游ゴシック Medium"/>
        <family val="3"/>
        <charset val="128"/>
      </rPr>
      <t>里中満智子作品集</t>
    </r>
    <r>
      <rPr>
        <sz val="11"/>
        <rFont val="Consolas"/>
        <family val="3"/>
      </rPr>
      <t xml:space="preserve"> 1</t>
    </r>
    <rPh sb="0" eb="2">
      <t>サトナカ</t>
    </rPh>
    <rPh sb="2" eb="5">
      <t>マチコ</t>
    </rPh>
    <rPh sb="5" eb="7">
      <t>サクヒン</t>
    </rPh>
    <rPh sb="7" eb="8">
      <t>シュウ</t>
    </rPh>
    <phoneticPr fontId="1"/>
  </si>
  <si>
    <r>
      <rPr>
        <sz val="11"/>
        <rFont val="游ゴシック Medium"/>
        <family val="3"/>
        <charset val="128"/>
      </rPr>
      <t>ベッドの中で死にたいの</t>
    </r>
    <rPh sb="4" eb="5">
      <t>ナカ</t>
    </rPh>
    <rPh sb="6" eb="7">
      <t>シ</t>
    </rPh>
    <phoneticPr fontId="1"/>
  </si>
  <si>
    <r>
      <rPr>
        <sz val="11"/>
        <rFont val="游ゴシック Medium"/>
        <family val="3"/>
        <charset val="128"/>
      </rPr>
      <t>津雲むつみ</t>
    </r>
    <rPh sb="0" eb="2">
      <t>ツクモ</t>
    </rPh>
    <phoneticPr fontId="1"/>
  </si>
  <si>
    <r>
      <rPr>
        <sz val="11"/>
        <rFont val="游ゴシック Medium"/>
        <family val="3"/>
        <charset val="128"/>
      </rPr>
      <t>瑠璃色幻花</t>
    </r>
    <rPh sb="0" eb="3">
      <t>ルリイロ</t>
    </rPh>
    <rPh sb="3" eb="4">
      <t>ゲン</t>
    </rPh>
    <rPh sb="4" eb="5">
      <t>カ</t>
    </rPh>
    <phoneticPr fontId="1"/>
  </si>
  <si>
    <r>
      <rPr>
        <sz val="11"/>
        <rFont val="游ゴシック Medium"/>
        <family val="3"/>
        <charset val="128"/>
      </rPr>
      <t>三川基好</t>
    </r>
    <rPh sb="0" eb="2">
      <t>ミカワ</t>
    </rPh>
    <rPh sb="2" eb="4">
      <t>キヨシ</t>
    </rPh>
    <phoneticPr fontId="1"/>
  </si>
  <si>
    <r>
      <rPr>
        <sz val="11"/>
        <rFont val="游ゴシック Medium"/>
        <family val="3"/>
        <charset val="128"/>
      </rPr>
      <t>スヌーピーの</t>
    </r>
    <r>
      <rPr>
        <sz val="11"/>
        <rFont val="Consolas"/>
        <family val="3"/>
      </rPr>
      <t>50</t>
    </r>
    <r>
      <rPr>
        <sz val="11"/>
        <rFont val="游ゴシック Medium"/>
        <family val="3"/>
        <charset val="128"/>
      </rPr>
      <t>年</t>
    </r>
    <r>
      <rPr>
        <sz val="11"/>
        <rFont val="Consolas"/>
        <family val="3"/>
      </rPr>
      <t xml:space="preserve"> </t>
    </r>
    <r>
      <rPr>
        <sz val="11"/>
        <rFont val="游ゴシック Medium"/>
        <family val="3"/>
        <charset val="128"/>
      </rPr>
      <t>世界中が愛したコミック『ピーナッツ』</t>
    </r>
    <r>
      <rPr>
        <sz val="11"/>
        <rFont val="Consolas"/>
        <family val="3"/>
      </rPr>
      <t xml:space="preserve"> / PEANUTS / A Golden Celebration / The Art and the Story of the World's Best-Loved Comic Strip</t>
    </r>
    <rPh sb="8" eb="9">
      <t>ネン</t>
    </rPh>
    <rPh sb="10" eb="12">
      <t>セカイ</t>
    </rPh>
    <rPh sb="12" eb="13">
      <t>ジュウ</t>
    </rPh>
    <rPh sb="14" eb="15">
      <t>アイ</t>
    </rPh>
    <phoneticPr fontId="1"/>
  </si>
  <si>
    <r>
      <rPr>
        <sz val="11"/>
        <rFont val="游ゴシック Medium"/>
        <family val="3"/>
        <charset val="128"/>
      </rPr>
      <t>往来座青空市</t>
    </r>
    <rPh sb="0" eb="2">
      <t>オウライ</t>
    </rPh>
    <rPh sb="2" eb="3">
      <t>ザ</t>
    </rPh>
    <rPh sb="3" eb="5">
      <t>アオゾラ</t>
    </rPh>
    <rPh sb="5" eb="6">
      <t>イチ</t>
    </rPh>
    <phoneticPr fontId="1"/>
  </si>
  <si>
    <r>
      <rPr>
        <b/>
        <sz val="11"/>
        <color indexed="33"/>
        <rFont val="游ゴシック Medium"/>
        <family val="3"/>
        <charset val="128"/>
      </rPr>
      <t>デロリンマン</t>
    </r>
    <phoneticPr fontId="1"/>
  </si>
  <si>
    <r>
      <rPr>
        <sz val="11"/>
        <rFont val="游ゴシック Medium"/>
        <family val="3"/>
        <charset val="128"/>
      </rPr>
      <t>扶桑社文庫</t>
    </r>
    <rPh sb="0" eb="3">
      <t>フソウシャ</t>
    </rPh>
    <rPh sb="3" eb="5">
      <t>ブンコ</t>
    </rPh>
    <phoneticPr fontId="1"/>
  </si>
  <si>
    <r>
      <rPr>
        <b/>
        <sz val="11"/>
        <color indexed="33"/>
        <rFont val="游ゴシック Medium"/>
        <family val="3"/>
        <charset val="128"/>
      </rPr>
      <t>パットマン</t>
    </r>
    <r>
      <rPr>
        <b/>
        <sz val="11"/>
        <color indexed="33"/>
        <rFont val="Consolas"/>
        <family val="3"/>
      </rPr>
      <t>X</t>
    </r>
    <rPh sb="5" eb="6">
      <t>エックス</t>
    </rPh>
    <phoneticPr fontId="1"/>
  </si>
  <si>
    <r>
      <rPr>
        <strike/>
        <sz val="11"/>
        <rFont val="游ゴシック Medium"/>
        <family val="3"/>
        <charset val="128"/>
      </rPr>
      <t>白土三平</t>
    </r>
    <rPh sb="0" eb="2">
      <t>シラト</t>
    </rPh>
    <rPh sb="2" eb="4">
      <t>サンペイ</t>
    </rPh>
    <phoneticPr fontId="1"/>
  </si>
  <si>
    <r>
      <rPr>
        <strike/>
        <sz val="11"/>
        <rFont val="游ゴシック Medium"/>
        <family val="3"/>
        <charset val="128"/>
      </rPr>
      <t>カムイ外伝</t>
    </r>
    <rPh sb="3" eb="5">
      <t>ガイデン</t>
    </rPh>
    <phoneticPr fontId="1"/>
  </si>
  <si>
    <r>
      <rPr>
        <strike/>
        <sz val="11"/>
        <rFont val="游ゴシック Medium"/>
        <family val="3"/>
        <charset val="128"/>
      </rPr>
      <t>北畠</t>
    </r>
    <r>
      <rPr>
        <strike/>
        <sz val="11"/>
        <rFont val="Consolas"/>
        <family val="3"/>
      </rPr>
      <t xml:space="preserve"> </t>
    </r>
    <r>
      <rPr>
        <strike/>
        <sz val="11"/>
        <rFont val="游ゴシック Medium"/>
        <family val="3"/>
        <charset val="128"/>
      </rPr>
      <t>健に贈与</t>
    </r>
    <r>
      <rPr>
        <strike/>
        <sz val="11"/>
        <rFont val="Consolas"/>
        <family val="3"/>
      </rPr>
      <t>/15</t>
    </r>
    <r>
      <rPr>
        <strike/>
        <sz val="11"/>
        <rFont val="游ゴシック Medium"/>
        <family val="3"/>
        <charset val="128"/>
      </rPr>
      <t>巻のうち</t>
    </r>
    <r>
      <rPr>
        <strike/>
        <sz val="11"/>
        <rFont val="Consolas"/>
        <family val="3"/>
      </rPr>
      <t>10</t>
    </r>
    <r>
      <rPr>
        <strike/>
        <sz val="11"/>
        <rFont val="游ゴシック Medium"/>
        <family val="3"/>
        <charset val="128"/>
      </rPr>
      <t>巻</t>
    </r>
    <rPh sb="0" eb="2">
      <t>キタバタケ</t>
    </rPh>
    <rPh sb="3" eb="4">
      <t>ケン</t>
    </rPh>
    <rPh sb="5" eb="7">
      <t>ゾウヨ</t>
    </rPh>
    <rPh sb="10" eb="11">
      <t>カン</t>
    </rPh>
    <rPh sb="16" eb="17">
      <t>カン</t>
    </rPh>
    <phoneticPr fontId="1"/>
  </si>
  <si>
    <r>
      <rPr>
        <b/>
        <strike/>
        <sz val="11"/>
        <color indexed="33"/>
        <rFont val="游ゴシック Medium"/>
        <family val="3"/>
        <charset val="128"/>
      </rPr>
      <t>カムイ伝</t>
    </r>
    <rPh sb="3" eb="4">
      <t>デン</t>
    </rPh>
    <phoneticPr fontId="1"/>
  </si>
  <si>
    <r>
      <rPr>
        <strike/>
        <sz val="11"/>
        <rFont val="游ゴシック Medium"/>
        <family val="3"/>
        <charset val="128"/>
      </rPr>
      <t>全巻</t>
    </r>
    <rPh sb="0" eb="2">
      <t>ゼンカン</t>
    </rPh>
    <phoneticPr fontId="1"/>
  </si>
  <si>
    <r>
      <rPr>
        <strike/>
        <sz val="11"/>
        <rFont val="游ゴシック Medium"/>
        <family val="3"/>
        <charset val="128"/>
      </rPr>
      <t>サスケ</t>
    </r>
    <phoneticPr fontId="1"/>
  </si>
  <si>
    <r>
      <t>15</t>
    </r>
    <r>
      <rPr>
        <strike/>
        <sz val="11"/>
        <rFont val="游ゴシック Medium"/>
        <family val="3"/>
        <charset val="128"/>
      </rPr>
      <t>巻</t>
    </r>
    <r>
      <rPr>
        <strike/>
        <sz val="11"/>
        <rFont val="Consolas"/>
        <family val="3"/>
      </rPr>
      <t>?</t>
    </r>
    <r>
      <rPr>
        <strike/>
        <sz val="11"/>
        <rFont val="游ゴシック Medium"/>
        <family val="3"/>
        <charset val="128"/>
      </rPr>
      <t>のうち</t>
    </r>
    <r>
      <rPr>
        <strike/>
        <sz val="11"/>
        <rFont val="Consolas"/>
        <family val="3"/>
      </rPr>
      <t>04</t>
    </r>
    <r>
      <rPr>
        <strike/>
        <sz val="11"/>
        <rFont val="游ゴシック Medium"/>
        <family val="3"/>
        <charset val="128"/>
      </rPr>
      <t>巻</t>
    </r>
    <rPh sb="2" eb="3">
      <t>カン</t>
    </rPh>
    <rPh sb="9" eb="10">
      <t>カン</t>
    </rPh>
    <phoneticPr fontId="1"/>
  </si>
  <si>
    <r>
      <rPr>
        <strike/>
        <sz val="11"/>
        <rFont val="游ゴシック Medium"/>
        <family val="3"/>
        <charset val="128"/>
      </rPr>
      <t>ワタリ</t>
    </r>
    <phoneticPr fontId="1"/>
  </si>
  <si>
    <r>
      <rPr>
        <strike/>
        <sz val="11"/>
        <rFont val="游ゴシック Medium"/>
        <family val="3"/>
        <charset val="128"/>
      </rPr>
      <t>もうない</t>
    </r>
    <r>
      <rPr>
        <strike/>
        <sz val="11"/>
        <rFont val="Consolas"/>
        <family val="3"/>
      </rPr>
      <t>/</t>
    </r>
    <r>
      <rPr>
        <strike/>
        <sz val="11"/>
        <rFont val="游ゴシック Medium"/>
        <family val="3"/>
        <charset val="128"/>
      </rPr>
      <t>全巻</t>
    </r>
    <rPh sb="5" eb="7">
      <t>ゼンカン</t>
    </rPh>
    <phoneticPr fontId="1"/>
  </si>
  <si>
    <r>
      <rPr>
        <sz val="11"/>
        <rFont val="游ゴシック Medium"/>
        <family val="3"/>
        <charset val="128"/>
      </rPr>
      <t>カモン</t>
    </r>
    <r>
      <rPr>
        <sz val="11"/>
        <rFont val="Consolas"/>
        <family val="3"/>
      </rPr>
      <t>!</t>
    </r>
    <r>
      <rPr>
        <sz val="11"/>
        <rFont val="游ゴシック Medium"/>
        <family val="3"/>
        <charset val="128"/>
      </rPr>
      <t>恐怖</t>
    </r>
    <rPh sb="4" eb="6">
      <t>キョウフ</t>
    </rPh>
    <phoneticPr fontId="1"/>
  </si>
  <si>
    <r>
      <rPr>
        <sz val="11"/>
        <rFont val="游ゴシック Medium"/>
        <family val="3"/>
        <charset val="128"/>
      </rPr>
      <t>滝田ゆう</t>
    </r>
    <rPh sb="0" eb="2">
      <t>タキタ</t>
    </rPh>
    <phoneticPr fontId="1"/>
  </si>
  <si>
    <r>
      <rPr>
        <sz val="11"/>
        <rFont val="游ゴシック Medium"/>
        <family val="3"/>
        <charset val="128"/>
      </rPr>
      <t>寺島町奇譚</t>
    </r>
    <r>
      <rPr>
        <sz val="11"/>
        <rFont val="Consolas"/>
        <family val="3"/>
      </rPr>
      <t>/</t>
    </r>
    <r>
      <rPr>
        <sz val="11"/>
        <rFont val="游ゴシック Medium"/>
        <family val="3"/>
        <charset val="128"/>
      </rPr>
      <t>全</t>
    </r>
    <rPh sb="0" eb="3">
      <t>テラシマチョウ</t>
    </rPh>
    <rPh sb="3" eb="5">
      <t>キタン</t>
    </rPh>
    <rPh sb="6" eb="7">
      <t>ゼン</t>
    </rPh>
    <phoneticPr fontId="1"/>
  </si>
  <si>
    <r>
      <rPr>
        <sz val="11"/>
        <rFont val="游ゴシック Medium"/>
        <family val="3"/>
        <charset val="128"/>
      </rPr>
      <t>竹宮恵子</t>
    </r>
    <rPh sb="0" eb="2">
      <t>タケミヤ</t>
    </rPh>
    <rPh sb="2" eb="4">
      <t>ケイコ</t>
    </rPh>
    <phoneticPr fontId="1"/>
  </si>
  <si>
    <r>
      <rPr>
        <sz val="11"/>
        <rFont val="游ゴシック Medium"/>
        <family val="3"/>
        <charset val="128"/>
      </rPr>
      <t>地球へ</t>
    </r>
    <r>
      <rPr>
        <sz val="11"/>
        <rFont val="Consolas"/>
        <family val="3"/>
      </rPr>
      <t xml:space="preserve"> …</t>
    </r>
    <rPh sb="0" eb="2">
      <t>テラ</t>
    </rPh>
    <phoneticPr fontId="1"/>
  </si>
  <si>
    <r>
      <rPr>
        <sz val="11"/>
        <rFont val="游ゴシック Medium"/>
        <family val="3"/>
        <charset val="128"/>
      </rPr>
      <t>谷岡ヤスジ</t>
    </r>
    <rPh sb="0" eb="2">
      <t>タニオカ</t>
    </rPh>
    <phoneticPr fontId="1"/>
  </si>
  <si>
    <r>
      <rPr>
        <sz val="11"/>
        <rFont val="游ゴシック Medium"/>
        <family val="3"/>
        <charset val="128"/>
      </rPr>
      <t>ヤスジのメッタメタ</t>
    </r>
    <r>
      <rPr>
        <sz val="11"/>
        <rFont val="Consolas"/>
        <family val="3"/>
      </rPr>
      <t xml:space="preserve"> </t>
    </r>
    <r>
      <rPr>
        <sz val="11"/>
        <rFont val="游ゴシック Medium"/>
        <family val="3"/>
        <charset val="128"/>
      </rPr>
      <t>ガキ道</t>
    </r>
    <r>
      <rPr>
        <sz val="11"/>
        <rFont val="Consolas"/>
        <family val="3"/>
      </rPr>
      <t xml:space="preserve"> </t>
    </r>
    <r>
      <rPr>
        <sz val="11"/>
        <rFont val="游ゴシック Medium"/>
        <family val="3"/>
        <charset val="128"/>
      </rPr>
      <t>講座</t>
    </r>
    <rPh sb="12" eb="13">
      <t>ドウ</t>
    </rPh>
    <rPh sb="14" eb="16">
      <t>コウザ</t>
    </rPh>
    <phoneticPr fontId="1"/>
  </si>
  <si>
    <r>
      <rPr>
        <sz val="11"/>
        <rFont val="游ゴシック Medium"/>
        <family val="3"/>
        <charset val="128"/>
      </rPr>
      <t>扶桑社文庫</t>
    </r>
    <rPh sb="0" eb="5">
      <t>フソウシャブンコ</t>
    </rPh>
    <phoneticPr fontId="1"/>
  </si>
  <si>
    <r>
      <rPr>
        <strike/>
        <sz val="11"/>
        <rFont val="游ゴシック Medium"/>
        <family val="3"/>
        <charset val="128"/>
      </rPr>
      <t>手塚治虫</t>
    </r>
    <rPh sb="0" eb="2">
      <t>テヅカ</t>
    </rPh>
    <rPh sb="2" eb="4">
      <t>オサム</t>
    </rPh>
    <phoneticPr fontId="1"/>
  </si>
  <si>
    <r>
      <rPr>
        <strike/>
        <sz val="11"/>
        <rFont val="游ゴシック Medium"/>
        <family val="3"/>
        <charset val="128"/>
      </rPr>
      <t>カス。</t>
    </r>
    <r>
      <rPr>
        <strike/>
        <sz val="11"/>
        <rFont val="Consolas"/>
        <family val="3"/>
      </rPr>
      <t>sold to Book Off in 2003/05</t>
    </r>
    <phoneticPr fontId="1"/>
  </si>
  <si>
    <r>
      <rPr>
        <strike/>
        <sz val="11"/>
        <rFont val="游ゴシック Medium"/>
        <family val="3"/>
        <charset val="128"/>
      </rPr>
      <t>アドルフに告ぐ</t>
    </r>
    <rPh sb="5" eb="6">
      <t>ツ</t>
    </rPh>
    <phoneticPr fontId="1"/>
  </si>
  <si>
    <r>
      <rPr>
        <strike/>
        <sz val="11"/>
        <rFont val="游ゴシック Medium"/>
        <family val="3"/>
        <charset val="128"/>
      </rPr>
      <t>きりひと讃歌</t>
    </r>
    <rPh sb="4" eb="6">
      <t>サンカ</t>
    </rPh>
    <phoneticPr fontId="1"/>
  </si>
  <si>
    <r>
      <rPr>
        <sz val="11"/>
        <rFont val="游ゴシック Medium"/>
        <family val="3"/>
        <charset val="128"/>
      </rPr>
      <t>どついたれ</t>
    </r>
    <phoneticPr fontId="1"/>
  </si>
  <si>
    <r>
      <rPr>
        <sz val="11"/>
        <rFont val="游ゴシック Medium"/>
        <family val="3"/>
        <charset val="128"/>
      </rPr>
      <t>手塚治虫名作集</t>
    </r>
    <r>
      <rPr>
        <sz val="11"/>
        <rFont val="Consolas"/>
        <family val="3"/>
      </rPr>
      <t>21</t>
    </r>
    <rPh sb="0" eb="2">
      <t>テヅカ</t>
    </rPh>
    <rPh sb="2" eb="4">
      <t>オサム</t>
    </rPh>
    <rPh sb="4" eb="6">
      <t>メイサク</t>
    </rPh>
    <rPh sb="6" eb="7">
      <t>シュウ</t>
    </rPh>
    <phoneticPr fontId="1"/>
  </si>
  <si>
    <r>
      <rPr>
        <sz val="11"/>
        <rFont val="游ゴシック Medium"/>
        <family val="3"/>
        <charset val="128"/>
      </rPr>
      <t>どろろ</t>
    </r>
    <phoneticPr fontId="1"/>
  </si>
  <si>
    <r>
      <rPr>
        <sz val="11"/>
        <rFont val="游ゴシック Medium"/>
        <family val="3"/>
        <charset val="128"/>
      </rPr>
      <t>秋田文庫</t>
    </r>
    <rPh sb="0" eb="2">
      <t>アキタ</t>
    </rPh>
    <rPh sb="2" eb="4">
      <t>ブンコ</t>
    </rPh>
    <phoneticPr fontId="1"/>
  </si>
  <si>
    <r>
      <rPr>
        <sz val="11"/>
        <rFont val="游ゴシック Medium"/>
        <family val="3"/>
        <charset val="128"/>
      </rPr>
      <t>ネオ・ファウスト</t>
    </r>
    <phoneticPr fontId="1"/>
  </si>
  <si>
    <r>
      <rPr>
        <sz val="11"/>
        <rFont val="游ゴシック Medium"/>
        <family val="3"/>
        <charset val="128"/>
      </rPr>
      <t>バンパイヤ</t>
    </r>
    <phoneticPr fontId="1"/>
  </si>
  <si>
    <r>
      <rPr>
        <sz val="11"/>
        <rFont val="游ゴシック Medium"/>
        <family val="3"/>
        <charset val="128"/>
      </rPr>
      <t>ファウスト</t>
    </r>
    <r>
      <rPr>
        <sz val="11"/>
        <rFont val="Consolas"/>
        <family val="3"/>
      </rPr>
      <t>/</t>
    </r>
    <r>
      <rPr>
        <sz val="11"/>
        <rFont val="游ゴシック Medium"/>
        <family val="3"/>
        <charset val="128"/>
      </rPr>
      <t>百物語</t>
    </r>
    <rPh sb="6" eb="7">
      <t>ヒャク</t>
    </rPh>
    <rPh sb="7" eb="9">
      <t>モノガタリ</t>
    </rPh>
    <phoneticPr fontId="1"/>
  </si>
  <si>
    <r>
      <rPr>
        <sz val="11"/>
        <rFont val="游ゴシック Medium"/>
        <family val="3"/>
        <charset val="128"/>
      </rPr>
      <t>双子の騎士</t>
    </r>
    <rPh sb="0" eb="2">
      <t>フタゴ</t>
    </rPh>
    <rPh sb="3" eb="5">
      <t>キシ</t>
    </rPh>
    <phoneticPr fontId="1"/>
  </si>
  <si>
    <r>
      <rPr>
        <sz val="11"/>
        <rFont val="游ゴシック Medium"/>
        <family val="3"/>
        <charset val="128"/>
      </rPr>
      <t>講談社漫画文庫</t>
    </r>
    <rPh sb="0" eb="3">
      <t>コウダンシャ</t>
    </rPh>
    <rPh sb="3" eb="5">
      <t>マンガ</t>
    </rPh>
    <rPh sb="5" eb="7">
      <t>ブンコ</t>
    </rPh>
    <phoneticPr fontId="1"/>
  </si>
  <si>
    <r>
      <rPr>
        <strike/>
        <sz val="11"/>
        <rFont val="游ゴシック Medium"/>
        <family val="3"/>
        <charset val="128"/>
      </rPr>
      <t>ブッダ</t>
    </r>
    <phoneticPr fontId="1"/>
  </si>
  <si>
    <r>
      <rPr>
        <strike/>
        <sz val="11"/>
        <rFont val="游ゴシック Medium"/>
        <family val="3"/>
        <charset val="128"/>
      </rPr>
      <t>潮</t>
    </r>
    <r>
      <rPr>
        <strike/>
        <sz val="11"/>
        <rFont val="Consolas"/>
        <family val="3"/>
      </rPr>
      <t>Visual</t>
    </r>
    <r>
      <rPr>
        <strike/>
        <sz val="11"/>
        <rFont val="游ゴシック Medium"/>
        <family val="3"/>
        <charset val="128"/>
      </rPr>
      <t>文庫</t>
    </r>
    <rPh sb="0" eb="1">
      <t>ウシオ</t>
    </rPh>
    <rPh sb="7" eb="9">
      <t>ブンコ</t>
    </rPh>
    <phoneticPr fontId="1"/>
  </si>
  <si>
    <r>
      <rPr>
        <strike/>
        <sz val="11"/>
        <rFont val="游ゴシック Medium"/>
        <family val="3"/>
        <charset val="128"/>
      </rPr>
      <t>マグマ大使</t>
    </r>
    <rPh sb="3" eb="5">
      <t>タイシ</t>
    </rPh>
    <phoneticPr fontId="1"/>
  </si>
  <si>
    <r>
      <rPr>
        <b/>
        <sz val="11"/>
        <color indexed="33"/>
        <rFont val="游ゴシック Medium"/>
        <family val="3"/>
        <charset val="128"/>
      </rPr>
      <t>やけっぱちのマリア</t>
    </r>
    <phoneticPr fontId="1"/>
  </si>
  <si>
    <r>
      <rPr>
        <sz val="11"/>
        <rFont val="游ゴシック Medium"/>
        <family val="3"/>
        <charset val="128"/>
      </rPr>
      <t>秋田文庫</t>
    </r>
    <rPh sb="0" eb="4">
      <t>アキタブンコ</t>
    </rPh>
    <phoneticPr fontId="1"/>
  </si>
  <si>
    <r>
      <t>2006/08</t>
    </r>
    <r>
      <rPr>
        <sz val="11"/>
        <rFont val="游ゴシック Medium"/>
        <family val="3"/>
        <charset val="128"/>
      </rPr>
      <t>友人の長女に贈与、買い直す。</t>
    </r>
    <rPh sb="7" eb="9">
      <t>ユウジン</t>
    </rPh>
    <rPh sb="10" eb="12">
      <t>チョウジョ</t>
    </rPh>
    <rPh sb="13" eb="15">
      <t>ゾウヨ</t>
    </rPh>
    <rPh sb="16" eb="17">
      <t>カ</t>
    </rPh>
    <rPh sb="18" eb="19">
      <t>ナオ</t>
    </rPh>
    <phoneticPr fontId="1"/>
  </si>
  <si>
    <r>
      <rPr>
        <strike/>
        <sz val="11"/>
        <rFont val="游ゴシック Medium"/>
        <family val="3"/>
        <charset val="128"/>
      </rPr>
      <t>海のトリトン</t>
    </r>
    <rPh sb="0" eb="1">
      <t>ウミ</t>
    </rPh>
    <phoneticPr fontId="1"/>
  </si>
  <si>
    <r>
      <rPr>
        <b/>
        <sz val="11"/>
        <color indexed="33"/>
        <rFont val="游ゴシック Medium"/>
        <family val="3"/>
        <charset val="128"/>
      </rPr>
      <t>奇子</t>
    </r>
    <rPh sb="0" eb="2">
      <t>アヤコ</t>
    </rPh>
    <phoneticPr fontId="1"/>
  </si>
  <si>
    <r>
      <rPr>
        <sz val="11"/>
        <rFont val="游ゴシック Medium"/>
        <family val="3"/>
        <charset val="128"/>
      </rPr>
      <t>手塚治虫マンガ音楽館</t>
    </r>
    <rPh sb="0" eb="2">
      <t>テヅカ</t>
    </rPh>
    <rPh sb="2" eb="4">
      <t>オサム</t>
    </rPh>
    <rPh sb="7" eb="9">
      <t>オンガク</t>
    </rPh>
    <rPh sb="9" eb="10">
      <t>カン</t>
    </rPh>
    <phoneticPr fontId="1"/>
  </si>
  <si>
    <r>
      <rPr>
        <b/>
        <sz val="11"/>
        <color indexed="33"/>
        <rFont val="游ゴシック Medium"/>
        <family val="3"/>
        <charset val="128"/>
      </rPr>
      <t>人間昆虫記</t>
    </r>
    <rPh sb="0" eb="2">
      <t>ニンゲン</t>
    </rPh>
    <rPh sb="2" eb="4">
      <t>コンチュウ</t>
    </rPh>
    <rPh sb="4" eb="5">
      <t>キ</t>
    </rPh>
    <phoneticPr fontId="1"/>
  </si>
  <si>
    <r>
      <rPr>
        <strike/>
        <sz val="11"/>
        <rFont val="游ゴシック Medium"/>
        <family val="3"/>
        <charset val="128"/>
      </rPr>
      <t>鉄腕アトム</t>
    </r>
    <rPh sb="0" eb="2">
      <t>テツワン</t>
    </rPh>
    <phoneticPr fontId="1"/>
  </si>
  <si>
    <r>
      <rPr>
        <strike/>
        <sz val="11"/>
        <rFont val="游ゴシック Medium"/>
        <family val="3"/>
        <charset val="128"/>
      </rPr>
      <t>カス。作者自身が嫌ってるくだり</t>
    </r>
    <r>
      <rPr>
        <strike/>
        <sz val="11"/>
        <rFont val="Consolas"/>
        <family val="3"/>
      </rPr>
      <t>(</t>
    </r>
    <r>
      <rPr>
        <strike/>
        <sz val="11"/>
        <rFont val="游ゴシック Medium"/>
        <family val="3"/>
        <charset val="128"/>
      </rPr>
      <t>アトムが悪者になる</t>
    </r>
    <r>
      <rPr>
        <strike/>
        <sz val="11"/>
        <rFont val="Consolas"/>
        <family val="3"/>
      </rPr>
      <t>)</t>
    </r>
    <r>
      <rPr>
        <strike/>
        <sz val="11"/>
        <rFont val="游ゴシック Medium"/>
        <family val="3"/>
        <charset val="128"/>
      </rPr>
      <t>がいちばんおもしろかった。</t>
    </r>
    <rPh sb="3" eb="5">
      <t>サクシャ</t>
    </rPh>
    <rPh sb="5" eb="7">
      <t>ジシン</t>
    </rPh>
    <rPh sb="8" eb="9">
      <t>キラ</t>
    </rPh>
    <rPh sb="20" eb="22">
      <t>ワルモノ</t>
    </rPh>
    <phoneticPr fontId="1"/>
  </si>
  <si>
    <r>
      <rPr>
        <sz val="11"/>
        <rFont val="游ゴシック Medium"/>
        <family val="3"/>
        <charset val="128"/>
      </rPr>
      <t>不思議なメルモ</t>
    </r>
    <rPh sb="0" eb="3">
      <t>フシギ</t>
    </rPh>
    <phoneticPr fontId="1"/>
  </si>
  <si>
    <r>
      <t>Book Off</t>
    </r>
    <r>
      <rPr>
        <sz val="11"/>
        <rFont val="游ゴシック Medium"/>
        <family val="3"/>
        <charset val="128"/>
      </rPr>
      <t>目白駅前店</t>
    </r>
    <rPh sb="8" eb="10">
      <t>メジロ</t>
    </rPh>
    <rPh sb="10" eb="12">
      <t>エキマエ</t>
    </rPh>
    <rPh sb="12" eb="13">
      <t>テン</t>
    </rPh>
    <phoneticPr fontId="1"/>
  </si>
  <si>
    <r>
      <rPr>
        <sz val="11"/>
        <rFont val="游ゴシック Medium"/>
        <family val="3"/>
        <charset val="128"/>
      </rPr>
      <t>罪と罰</t>
    </r>
    <rPh sb="0" eb="1">
      <t>ツミ</t>
    </rPh>
    <rPh sb="2" eb="3">
      <t>バツ</t>
    </rPh>
    <phoneticPr fontId="1"/>
  </si>
  <si>
    <r>
      <t>Book Off</t>
    </r>
    <r>
      <rPr>
        <sz val="11"/>
        <rFont val="游ゴシック Medium"/>
        <family val="3"/>
        <charset val="128"/>
      </rPr>
      <t>池袋サンシャイン</t>
    </r>
    <r>
      <rPr>
        <sz val="11"/>
        <rFont val="Consolas"/>
        <family val="3"/>
      </rPr>
      <t>60</t>
    </r>
    <r>
      <rPr>
        <sz val="11"/>
        <rFont val="游ゴシック Medium"/>
        <family val="3"/>
        <charset val="128"/>
      </rPr>
      <t>通り店</t>
    </r>
    <rPh sb="8" eb="10">
      <t>イケブクロ</t>
    </rPh>
    <rPh sb="18" eb="19">
      <t>トオ</t>
    </rPh>
    <rPh sb="20" eb="21">
      <t>テン</t>
    </rPh>
    <phoneticPr fontId="1"/>
  </si>
  <si>
    <r>
      <rPr>
        <sz val="11"/>
        <rFont val="游ゴシック Medium"/>
        <family val="3"/>
        <charset val="128"/>
      </rPr>
      <t>手塚治虫</t>
    </r>
    <r>
      <rPr>
        <sz val="11"/>
        <rFont val="Consolas"/>
        <family val="3"/>
      </rPr>
      <t>/</t>
    </r>
    <r>
      <rPr>
        <sz val="11"/>
        <rFont val="游ゴシック Medium"/>
        <family val="3"/>
        <charset val="128"/>
      </rPr>
      <t>白土三平</t>
    </r>
    <r>
      <rPr>
        <sz val="11"/>
        <rFont val="Consolas"/>
        <family val="3"/>
      </rPr>
      <t>/</t>
    </r>
    <r>
      <rPr>
        <sz val="11"/>
        <rFont val="游ゴシック Medium"/>
        <family val="3"/>
        <charset val="128"/>
      </rPr>
      <t>つげ義春</t>
    </r>
    <r>
      <rPr>
        <sz val="11"/>
        <rFont val="Consolas"/>
        <family val="3"/>
      </rPr>
      <t>/</t>
    </r>
    <r>
      <rPr>
        <sz val="11"/>
        <rFont val="游ゴシック Medium"/>
        <family val="3"/>
        <charset val="128"/>
      </rPr>
      <t>永島慎二</t>
    </r>
    <r>
      <rPr>
        <sz val="11"/>
        <rFont val="Consolas"/>
        <family val="3"/>
      </rPr>
      <t>/</t>
    </r>
    <r>
      <rPr>
        <sz val="11"/>
        <rFont val="游ゴシック Medium"/>
        <family val="3"/>
        <charset val="128"/>
      </rPr>
      <t>全</t>
    </r>
    <r>
      <rPr>
        <sz val="11"/>
        <rFont val="Consolas"/>
        <family val="3"/>
      </rPr>
      <t>32</t>
    </r>
    <r>
      <rPr>
        <sz val="11"/>
        <rFont val="游ゴシック Medium"/>
        <family val="3"/>
        <charset val="128"/>
      </rPr>
      <t>名</t>
    </r>
    <rPh sb="0" eb="2">
      <t>テヅカ</t>
    </rPh>
    <rPh sb="2" eb="4">
      <t>オサム</t>
    </rPh>
    <rPh sb="5" eb="7">
      <t>シラト</t>
    </rPh>
    <rPh sb="7" eb="9">
      <t>サンペイ</t>
    </rPh>
    <rPh sb="12" eb="14">
      <t>ヨシハル</t>
    </rPh>
    <rPh sb="15" eb="17">
      <t>ナガシマ</t>
    </rPh>
    <rPh sb="17" eb="19">
      <t>シンジ</t>
    </rPh>
    <rPh sb="20" eb="21">
      <t>ゼン</t>
    </rPh>
    <rPh sb="23" eb="24">
      <t>メイ</t>
    </rPh>
    <phoneticPr fontId="1"/>
  </si>
  <si>
    <r>
      <rPr>
        <sz val="11"/>
        <rFont val="游ゴシック Medium"/>
        <family val="3"/>
        <charset val="128"/>
      </rPr>
      <t>マンガ黄金時代</t>
    </r>
    <rPh sb="3" eb="5">
      <t>オウゴン</t>
    </rPh>
    <rPh sb="5" eb="7">
      <t>ジダイ</t>
    </rPh>
    <phoneticPr fontId="1"/>
  </si>
  <si>
    <r>
      <t>60</t>
    </r>
    <r>
      <rPr>
        <sz val="11"/>
        <rFont val="游ゴシック Medium"/>
        <family val="3"/>
        <charset val="128"/>
      </rPr>
      <t>年代傑作集</t>
    </r>
    <r>
      <rPr>
        <sz val="11"/>
        <rFont val="Consolas"/>
        <family val="3"/>
      </rPr>
      <t>/V60-4</t>
    </r>
    <rPh sb="2" eb="4">
      <t>ネンダイ</t>
    </rPh>
    <rPh sb="4" eb="6">
      <t>ケッサク</t>
    </rPh>
    <rPh sb="6" eb="7">
      <t>シュウ</t>
    </rPh>
    <phoneticPr fontId="1"/>
  </si>
  <si>
    <r>
      <rPr>
        <sz val="11"/>
        <rFont val="游ゴシック Medium"/>
        <family val="3"/>
        <charset val="128"/>
      </rPr>
      <t>文春文庫</t>
    </r>
    <r>
      <rPr>
        <sz val="11"/>
        <rFont val="Consolas"/>
        <family val="3"/>
      </rPr>
      <t>Visual</t>
    </r>
    <r>
      <rPr>
        <sz val="11"/>
        <rFont val="游ゴシック Medium"/>
        <family val="3"/>
        <charset val="128"/>
      </rPr>
      <t>版</t>
    </r>
    <rPh sb="0" eb="4">
      <t>ブンシュンブンコ</t>
    </rPh>
    <rPh sb="4" eb="10">
      <t>ビジュアル</t>
    </rPh>
    <rPh sb="10" eb="11">
      <t>バン</t>
    </rPh>
    <phoneticPr fontId="1"/>
  </si>
  <si>
    <r>
      <rPr>
        <sz val="11"/>
        <rFont val="游ゴシック Medium"/>
        <family val="3"/>
        <charset val="128"/>
      </rPr>
      <t>永井</t>
    </r>
    <r>
      <rPr>
        <sz val="11"/>
        <rFont val="Consolas"/>
        <family val="3"/>
      </rPr>
      <t xml:space="preserve"> </t>
    </r>
    <r>
      <rPr>
        <sz val="11"/>
        <rFont val="游ゴシック Medium"/>
        <family val="3"/>
        <charset val="128"/>
      </rPr>
      <t>豪</t>
    </r>
    <rPh sb="0" eb="2">
      <t>ナガイ</t>
    </rPh>
    <rPh sb="3" eb="4">
      <t>ゴウ</t>
    </rPh>
    <phoneticPr fontId="1"/>
  </si>
  <si>
    <r>
      <rPr>
        <sz val="11"/>
        <rFont val="游ゴシック Medium"/>
        <family val="3"/>
        <charset val="128"/>
      </rPr>
      <t>あばしり一家</t>
    </r>
    <rPh sb="4" eb="6">
      <t>イッカ</t>
    </rPh>
    <phoneticPr fontId="1"/>
  </si>
  <si>
    <r>
      <rPr>
        <b/>
        <sz val="11"/>
        <color indexed="33"/>
        <rFont val="游ゴシック Medium"/>
        <family val="3"/>
        <charset val="128"/>
      </rPr>
      <t>オモライくん</t>
    </r>
    <phoneticPr fontId="1"/>
  </si>
  <si>
    <r>
      <rPr>
        <b/>
        <sz val="11"/>
        <color indexed="33"/>
        <rFont val="游ゴシック Medium"/>
        <family val="3"/>
        <charset val="128"/>
      </rPr>
      <t>キッカイくん</t>
    </r>
    <phoneticPr fontId="1"/>
  </si>
  <si>
    <r>
      <rPr>
        <sz val="11"/>
        <rFont val="游ゴシック Medium"/>
        <family val="3"/>
        <charset val="128"/>
      </rPr>
      <t>萩尾望都</t>
    </r>
    <rPh sb="0" eb="2">
      <t>ハギオ</t>
    </rPh>
    <rPh sb="2" eb="4">
      <t>モト</t>
    </rPh>
    <phoneticPr fontId="1"/>
  </si>
  <si>
    <r>
      <rPr>
        <sz val="11"/>
        <rFont val="游ゴシック Medium"/>
        <family val="3"/>
        <charset val="128"/>
      </rPr>
      <t>スターレッド</t>
    </r>
    <phoneticPr fontId="1"/>
  </si>
  <si>
    <r>
      <rPr>
        <sz val="11"/>
        <rFont val="游ゴシック Medium"/>
        <family val="3"/>
        <charset val="128"/>
      </rPr>
      <t>訪問者</t>
    </r>
    <rPh sb="0" eb="3">
      <t>ホウモンシャ</t>
    </rPh>
    <phoneticPr fontId="1"/>
  </si>
  <si>
    <r>
      <rPr>
        <sz val="11"/>
        <rFont val="游ゴシック Medium"/>
        <family val="3"/>
        <charset val="128"/>
      </rPr>
      <t>平井和正・桑田二郎</t>
    </r>
    <rPh sb="0" eb="2">
      <t>ヒライ</t>
    </rPh>
    <rPh sb="2" eb="4">
      <t>カズマサ</t>
    </rPh>
    <rPh sb="5" eb="7">
      <t>クワタ</t>
    </rPh>
    <rPh sb="7" eb="9">
      <t>ジロウ</t>
    </rPh>
    <phoneticPr fontId="1"/>
  </si>
  <si>
    <r>
      <t>8</t>
    </r>
    <r>
      <rPr>
        <sz val="11"/>
        <rFont val="游ゴシック Medium"/>
        <family val="3"/>
        <charset val="128"/>
      </rPr>
      <t>マン</t>
    </r>
    <rPh sb="0" eb="1">
      <t>エイト</t>
    </rPh>
    <phoneticPr fontId="1"/>
  </si>
  <si>
    <r>
      <rPr>
        <sz val="11"/>
        <rFont val="游ゴシック Medium"/>
        <family val="3"/>
        <charset val="128"/>
      </rPr>
      <t>小学館ドラえもんルーム</t>
    </r>
    <rPh sb="0" eb="3">
      <t>ショウガクカン</t>
    </rPh>
    <phoneticPr fontId="1"/>
  </si>
  <si>
    <r>
      <rPr>
        <sz val="11"/>
        <rFont val="游ゴシック Medium"/>
        <family val="3"/>
        <charset val="128"/>
      </rPr>
      <t>ド・ラ・カルト</t>
    </r>
    <r>
      <rPr>
        <sz val="11"/>
        <rFont val="Consolas"/>
        <family val="3"/>
      </rPr>
      <t xml:space="preserve"> </t>
    </r>
    <r>
      <rPr>
        <sz val="11"/>
        <rFont val="游ゴシック Medium"/>
        <family val="3"/>
        <charset val="128"/>
      </rPr>
      <t>ドラえもん通の本</t>
    </r>
    <rPh sb="13" eb="14">
      <t>ツウ</t>
    </rPh>
    <rPh sb="15" eb="16">
      <t>ホン</t>
    </rPh>
    <phoneticPr fontId="1"/>
  </si>
  <si>
    <r>
      <rPr>
        <sz val="11"/>
        <rFont val="游ゴシック Medium"/>
        <family val="3"/>
        <charset val="128"/>
      </rPr>
      <t>ドラえもんの算数名探偵</t>
    </r>
    <rPh sb="6" eb="8">
      <t>サンスウ</t>
    </rPh>
    <rPh sb="8" eb="9">
      <t>メイ</t>
    </rPh>
    <rPh sb="9" eb="11">
      <t>タンテイ</t>
    </rPh>
    <phoneticPr fontId="1"/>
  </si>
  <si>
    <r>
      <rPr>
        <strike/>
        <sz val="11"/>
        <rFont val="游ゴシック Medium"/>
        <family val="3"/>
        <charset val="128"/>
      </rPr>
      <t>松本零士</t>
    </r>
    <rPh sb="0" eb="2">
      <t>マツモト</t>
    </rPh>
    <rPh sb="2" eb="4">
      <t>レイジ</t>
    </rPh>
    <phoneticPr fontId="1"/>
  </si>
  <si>
    <r>
      <t>1000</t>
    </r>
    <r>
      <rPr>
        <strike/>
        <sz val="11"/>
        <rFont val="游ゴシック Medium"/>
        <family val="3"/>
        <charset val="128"/>
      </rPr>
      <t>年女王</t>
    </r>
    <rPh sb="4" eb="5">
      <t>ネン</t>
    </rPh>
    <rPh sb="5" eb="7">
      <t>ジョオウ</t>
    </rPh>
    <phoneticPr fontId="1"/>
  </si>
  <si>
    <r>
      <rPr>
        <strike/>
        <sz val="11"/>
        <rFont val="游ゴシック Medium"/>
        <family val="3"/>
        <charset val="128"/>
      </rPr>
      <t>小学館文庫</t>
    </r>
    <rPh sb="0" eb="3">
      <t>ショウガクカン</t>
    </rPh>
    <rPh sb="3" eb="5">
      <t>ブンコ</t>
    </rPh>
    <phoneticPr fontId="1"/>
  </si>
  <si>
    <r>
      <rPr>
        <strike/>
        <sz val="11"/>
        <rFont val="游ゴシック Medium"/>
        <family val="3"/>
        <charset val="128"/>
      </rPr>
      <t>銀河鉄道</t>
    </r>
    <r>
      <rPr>
        <strike/>
        <sz val="11"/>
        <rFont val="Consolas"/>
        <family val="3"/>
      </rPr>
      <t>999</t>
    </r>
    <rPh sb="0" eb="4">
      <t>ギンガテツドウ</t>
    </rPh>
    <phoneticPr fontId="1"/>
  </si>
  <si>
    <r>
      <rPr>
        <sz val="11"/>
        <rFont val="游ゴシック Medium"/>
        <family val="3"/>
        <charset val="128"/>
      </rPr>
      <t>ねずみ男の冒険</t>
    </r>
    <rPh sb="3" eb="4">
      <t>オトコ</t>
    </rPh>
    <rPh sb="5" eb="7">
      <t>ボウケン</t>
    </rPh>
    <phoneticPr fontId="1"/>
  </si>
  <si>
    <r>
      <rPr>
        <sz val="11"/>
        <rFont val="游ゴシック Medium"/>
        <family val="3"/>
        <charset val="128"/>
      </rPr>
      <t>妖怪ワンダーランド</t>
    </r>
    <r>
      <rPr>
        <sz val="11"/>
        <rFont val="Consolas"/>
        <family val="3"/>
      </rPr>
      <t>1</t>
    </r>
    <rPh sb="0" eb="2">
      <t>ヨウカイ</t>
    </rPh>
    <phoneticPr fontId="1"/>
  </si>
  <si>
    <r>
      <rPr>
        <sz val="11"/>
        <rFont val="游ゴシック Medium"/>
        <family val="3"/>
        <charset val="128"/>
      </rPr>
      <t>怪</t>
    </r>
    <r>
      <rPr>
        <sz val="11"/>
        <rFont val="Consolas"/>
        <family val="3"/>
      </rPr>
      <t>BOOKS|</t>
    </r>
    <r>
      <rPr>
        <sz val="11"/>
        <rFont val="游ゴシック Medium"/>
        <family val="3"/>
        <charset val="128"/>
      </rPr>
      <t>み</t>
    </r>
    <r>
      <rPr>
        <sz val="11"/>
        <rFont val="Consolas"/>
        <family val="3"/>
      </rPr>
      <t>18-67|</t>
    </r>
    <r>
      <rPr>
        <sz val="11"/>
        <rFont val="游ゴシック Medium"/>
        <family val="3"/>
        <charset val="128"/>
      </rPr>
      <t>角川文庫</t>
    </r>
    <r>
      <rPr>
        <sz val="11"/>
        <rFont val="Consolas"/>
        <family val="3"/>
      </rPr>
      <t>21227</t>
    </r>
    <rPh sb="0" eb="1">
      <t>カイ</t>
    </rPh>
    <rPh sb="14" eb="18">
      <t>カドカワブンコ</t>
    </rPh>
    <phoneticPr fontId="1"/>
  </si>
  <si>
    <r>
      <rPr>
        <sz val="11"/>
        <rFont val="游ゴシック Medium"/>
        <family val="3"/>
        <charset val="128"/>
      </rPr>
      <t>マンガ日本の古典</t>
    </r>
    <r>
      <rPr>
        <sz val="11"/>
        <rFont val="Consolas"/>
        <family val="3"/>
      </rPr>
      <t>|8</t>
    </r>
    <rPh sb="3" eb="5">
      <t>ニホン</t>
    </rPh>
    <rPh sb="6" eb="8">
      <t>コテン</t>
    </rPh>
    <phoneticPr fontId="1"/>
  </si>
  <si>
    <r>
      <rPr>
        <sz val="11"/>
        <rFont val="游ゴシック Medium"/>
        <family val="3"/>
        <charset val="128"/>
      </rPr>
      <t>マンガ日本の古典</t>
    </r>
    <r>
      <rPr>
        <sz val="11"/>
        <rFont val="Consolas"/>
        <family val="3"/>
      </rPr>
      <t>|9</t>
    </r>
    <rPh sb="3" eb="5">
      <t>ニホン</t>
    </rPh>
    <rPh sb="6" eb="8">
      <t>コテン</t>
    </rPh>
    <phoneticPr fontId="1"/>
  </si>
  <si>
    <r>
      <rPr>
        <b/>
        <sz val="11"/>
        <color indexed="33"/>
        <rFont val="游ゴシック Medium"/>
        <family val="3"/>
        <charset val="128"/>
      </rPr>
      <t>水木</t>
    </r>
    <r>
      <rPr>
        <b/>
        <sz val="11"/>
        <color indexed="14"/>
        <rFont val="游ゴシック Medium"/>
        <family val="3"/>
        <charset val="128"/>
      </rPr>
      <t>しげるの不思議草紙</t>
    </r>
    <rPh sb="0" eb="2">
      <t>ミズキ</t>
    </rPh>
    <rPh sb="6" eb="9">
      <t>フシギ</t>
    </rPh>
    <rPh sb="9" eb="11">
      <t>ソウシ</t>
    </rPh>
    <phoneticPr fontId="1"/>
  </si>
  <si>
    <r>
      <rPr>
        <sz val="11"/>
        <rFont val="游ゴシック Medium"/>
        <family val="3"/>
        <charset val="128"/>
      </rPr>
      <t>水木しげるの本</t>
    </r>
    <r>
      <rPr>
        <sz val="11"/>
        <rFont val="Consolas"/>
        <family val="3"/>
      </rPr>
      <t>|</t>
    </r>
    <r>
      <rPr>
        <sz val="11"/>
        <rFont val="游ゴシック Medium"/>
        <family val="3"/>
        <charset val="128"/>
      </rPr>
      <t>怪</t>
    </r>
    <rPh sb="0" eb="2">
      <t>ミズキ</t>
    </rPh>
    <rPh sb="6" eb="7">
      <t>ホン</t>
    </rPh>
    <rPh sb="8" eb="9">
      <t>カイ</t>
    </rPh>
    <phoneticPr fontId="1"/>
  </si>
  <si>
    <r>
      <rPr>
        <sz val="11"/>
        <rFont val="游ゴシック Medium"/>
        <family val="3"/>
        <charset val="128"/>
      </rPr>
      <t>南大沢の本屋</t>
    </r>
    <rPh sb="0" eb="3">
      <t>ミナミオオサワ</t>
    </rPh>
    <rPh sb="4" eb="6">
      <t>ホンヤ</t>
    </rPh>
    <phoneticPr fontId="1"/>
  </si>
  <si>
    <r>
      <rPr>
        <b/>
        <sz val="11"/>
        <color indexed="33"/>
        <rFont val="游ゴシック Medium"/>
        <family val="3"/>
        <charset val="128"/>
      </rPr>
      <t>水木</t>
    </r>
    <r>
      <rPr>
        <b/>
        <sz val="11"/>
        <color indexed="14"/>
        <rFont val="游ゴシック Medium"/>
        <family val="3"/>
        <charset val="128"/>
      </rPr>
      <t>しげるの古代出雲</t>
    </r>
    <rPh sb="0" eb="2">
      <t>ミズキ</t>
    </rPh>
    <rPh sb="6" eb="10">
      <t>コダイイズモ</t>
    </rPh>
    <phoneticPr fontId="1"/>
  </si>
  <si>
    <r>
      <rPr>
        <sz val="11"/>
        <rFont val="游ゴシック Medium"/>
        <family val="3"/>
        <charset val="128"/>
      </rPr>
      <t>水木しげるの本</t>
    </r>
    <r>
      <rPr>
        <sz val="11"/>
        <rFont val="Consolas"/>
        <family val="3"/>
      </rPr>
      <t>|</t>
    </r>
    <r>
      <rPr>
        <sz val="11"/>
        <rFont val="游ゴシック Medium"/>
        <family val="3"/>
        <charset val="128"/>
      </rPr>
      <t>怪</t>
    </r>
    <r>
      <rPr>
        <sz val="11"/>
        <rFont val="Consolas"/>
        <family val="3"/>
      </rPr>
      <t>|2012/03</t>
    </r>
    <r>
      <rPr>
        <sz val="11"/>
        <rFont val="游ゴシック Medium"/>
        <family val="3"/>
        <charset val="128"/>
      </rPr>
      <t>単行本の文庫化</t>
    </r>
    <rPh sb="0" eb="2">
      <t>ミズキ</t>
    </rPh>
    <rPh sb="6" eb="7">
      <t>ホン</t>
    </rPh>
    <rPh sb="8" eb="9">
      <t>カイ</t>
    </rPh>
    <rPh sb="17" eb="20">
      <t>タンコウボン</t>
    </rPh>
    <rPh sb="21" eb="24">
      <t>ブンコカ</t>
    </rPh>
    <phoneticPr fontId="1"/>
  </si>
  <si>
    <r>
      <rPr>
        <b/>
        <sz val="11"/>
        <color indexed="33"/>
        <rFont val="游ゴシック Medium"/>
        <family val="3"/>
        <charset val="128"/>
      </rPr>
      <t>私はゲゲゲ</t>
    </r>
    <r>
      <rPr>
        <b/>
        <sz val="11"/>
        <color indexed="33"/>
        <rFont val="Consolas"/>
        <family val="3"/>
      </rPr>
      <t xml:space="preserve"> </t>
    </r>
    <r>
      <rPr>
        <b/>
        <sz val="11"/>
        <color indexed="33"/>
        <rFont val="游ゴシック Medium"/>
        <family val="3"/>
        <charset val="128"/>
      </rPr>
      <t>神秘家</t>
    </r>
    <r>
      <rPr>
        <b/>
        <sz val="11"/>
        <color indexed="33"/>
        <rFont val="Consolas"/>
        <family val="3"/>
      </rPr>
      <t xml:space="preserve"> </t>
    </r>
    <r>
      <rPr>
        <b/>
        <sz val="11"/>
        <color indexed="33"/>
        <rFont val="游ゴシック Medium"/>
        <family val="3"/>
        <charset val="128"/>
      </rPr>
      <t>水木しげる伝</t>
    </r>
    <rPh sb="0" eb="1">
      <t>ワタシ</t>
    </rPh>
    <rPh sb="6" eb="9">
      <t>シンピカ</t>
    </rPh>
    <rPh sb="10" eb="12">
      <t>ミズキ</t>
    </rPh>
    <rPh sb="15" eb="16">
      <t>デン</t>
    </rPh>
    <phoneticPr fontId="1"/>
  </si>
  <si>
    <r>
      <rPr>
        <sz val="11"/>
        <rFont val="游ゴシック Medium"/>
        <family val="3"/>
        <charset val="128"/>
      </rPr>
      <t>単行本「神秘家</t>
    </r>
    <r>
      <rPr>
        <sz val="11"/>
        <rFont val="Consolas"/>
        <family val="3"/>
      </rPr>
      <t xml:space="preserve"> </t>
    </r>
    <r>
      <rPr>
        <sz val="11"/>
        <rFont val="游ゴシック Medium"/>
        <family val="3"/>
        <charset val="128"/>
      </rPr>
      <t>水木しげる伝」改題</t>
    </r>
    <rPh sb="0" eb="3">
      <t>タンコウボン</t>
    </rPh>
    <rPh sb="4" eb="7">
      <t>シンピカ</t>
    </rPh>
    <rPh sb="8" eb="10">
      <t>ミズキ</t>
    </rPh>
    <rPh sb="13" eb="14">
      <t>デン</t>
    </rPh>
    <rPh sb="15" eb="17">
      <t>カイダイ</t>
    </rPh>
    <phoneticPr fontId="1"/>
  </si>
  <si>
    <r>
      <t>Yoko</t>
    </r>
    <r>
      <rPr>
        <sz val="11"/>
        <rFont val="游ゴシック Medium"/>
        <family val="3"/>
        <charset val="128"/>
      </rPr>
      <t>が購入</t>
    </r>
    <rPh sb="5" eb="7">
      <t>コウニュウ</t>
    </rPh>
    <phoneticPr fontId="1"/>
  </si>
  <si>
    <r>
      <rPr>
        <sz val="11"/>
        <rFont val="游ゴシック Medium"/>
        <family val="3"/>
        <charset val="128"/>
      </rPr>
      <t>のんのんばあとオレ</t>
    </r>
    <phoneticPr fontId="1"/>
  </si>
  <si>
    <r>
      <rPr>
        <sz val="11"/>
        <rFont val="游ゴシック Medium"/>
        <family val="3"/>
        <charset val="128"/>
      </rPr>
      <t>講談社漫画文庫</t>
    </r>
    <rPh sb="0" eb="3">
      <t>コウダンシャ</t>
    </rPh>
    <rPh sb="3" eb="7">
      <t>マンガブンコ</t>
    </rPh>
    <phoneticPr fontId="1"/>
  </si>
  <si>
    <r>
      <rPr>
        <sz val="11"/>
        <rFont val="游ゴシック Medium"/>
        <family val="3"/>
        <charset val="128"/>
      </rPr>
      <t>姑娘</t>
    </r>
    <rPh sb="0" eb="2">
      <t>クーニャン</t>
    </rPh>
    <phoneticPr fontId="1"/>
  </si>
  <si>
    <r>
      <rPr>
        <sz val="11"/>
        <rFont val="游ゴシック Medium"/>
        <family val="3"/>
        <charset val="128"/>
      </rPr>
      <t>み</t>
    </r>
    <r>
      <rPr>
        <sz val="11"/>
        <rFont val="Consolas"/>
        <family val="3"/>
      </rPr>
      <t xml:space="preserve"> 36 14</t>
    </r>
    <phoneticPr fontId="1"/>
  </si>
  <si>
    <r>
      <t>amazon|</t>
    </r>
    <r>
      <rPr>
        <sz val="11"/>
        <rFont val="游ゴシック Medium"/>
        <family val="3"/>
        <charset val="128"/>
      </rPr>
      <t>アマゾンジャパン合同会社</t>
    </r>
    <r>
      <rPr>
        <sz val="11"/>
        <rFont val="Consolas"/>
        <family val="3"/>
      </rPr>
      <t xml:space="preserve"> </t>
    </r>
    <phoneticPr fontId="1"/>
  </si>
  <si>
    <r>
      <rPr>
        <sz val="11"/>
        <rFont val="游ゴシック Medium"/>
        <family val="3"/>
        <charset val="128"/>
      </rPr>
      <t>河童の三平</t>
    </r>
    <rPh sb="0" eb="2">
      <t>カッパ</t>
    </rPh>
    <rPh sb="3" eb="5">
      <t>サンペイ</t>
    </rPh>
    <phoneticPr fontId="1"/>
  </si>
  <si>
    <r>
      <rPr>
        <sz val="11"/>
        <rFont val="游ゴシック Medium"/>
        <family val="3"/>
        <charset val="128"/>
      </rPr>
      <t>妖怪大裁判</t>
    </r>
    <r>
      <rPr>
        <sz val="11"/>
        <rFont val="Consolas"/>
        <family val="3"/>
      </rPr>
      <t xml:space="preserve"> </t>
    </r>
    <r>
      <rPr>
        <sz val="11"/>
        <rFont val="游ゴシック Medium"/>
        <family val="3"/>
        <charset val="128"/>
      </rPr>
      <t>ゲゲゲの鬼太郎</t>
    </r>
    <r>
      <rPr>
        <sz val="11"/>
        <rFont val="Consolas"/>
        <family val="3"/>
      </rPr>
      <t xml:space="preserve"> 1</t>
    </r>
    <rPh sb="0" eb="2">
      <t>ヨウカイ</t>
    </rPh>
    <rPh sb="2" eb="5">
      <t>ダイサイバン</t>
    </rPh>
    <rPh sb="10" eb="13">
      <t>キタロウ</t>
    </rPh>
    <phoneticPr fontId="1"/>
  </si>
  <si>
    <r>
      <rPr>
        <sz val="11"/>
        <rFont val="游ゴシック Medium"/>
        <family val="3"/>
        <charset val="128"/>
      </rPr>
      <t>み</t>
    </r>
    <r>
      <rPr>
        <sz val="11"/>
        <rFont val="Consolas"/>
        <family val="3"/>
      </rPr>
      <t xml:space="preserve"> 4 20|</t>
    </r>
    <r>
      <rPr>
        <sz val="11"/>
        <rFont val="游ゴシック Medium"/>
        <family val="3"/>
        <charset val="128"/>
      </rPr>
      <t>ちくま文庫の一冊として刊行した「ゲゲゲの鬼太郎」の新装版</t>
    </r>
    <rPh sb="10" eb="12">
      <t>ブンコ</t>
    </rPh>
    <rPh sb="13" eb="15">
      <t>イッサツ</t>
    </rPh>
    <rPh sb="18" eb="20">
      <t>カンコウ</t>
    </rPh>
    <rPh sb="27" eb="30">
      <t>キタロウ</t>
    </rPh>
    <rPh sb="32" eb="35">
      <t>シンソウバン</t>
    </rPh>
    <phoneticPr fontId="1"/>
  </si>
  <si>
    <r>
      <rPr>
        <sz val="11"/>
        <rFont val="游ゴシック Medium"/>
        <family val="3"/>
        <charset val="128"/>
      </rPr>
      <t>妖怪＊＊＊</t>
    </r>
    <r>
      <rPr>
        <sz val="11"/>
        <rFont val="Consolas"/>
        <family val="3"/>
      </rPr>
      <t xml:space="preserve"> </t>
    </r>
    <r>
      <rPr>
        <sz val="11"/>
        <rFont val="游ゴシック Medium"/>
        <family val="3"/>
        <charset val="128"/>
      </rPr>
      <t>ゲゲゲの鬼太郎</t>
    </r>
    <r>
      <rPr>
        <sz val="11"/>
        <rFont val="Consolas"/>
        <family val="3"/>
      </rPr>
      <t xml:space="preserve"> 2</t>
    </r>
    <rPh sb="0" eb="2">
      <t>ヨウカイ</t>
    </rPh>
    <rPh sb="10" eb="13">
      <t>キタロウ</t>
    </rPh>
    <phoneticPr fontId="1"/>
  </si>
  <si>
    <r>
      <t>|</t>
    </r>
    <r>
      <rPr>
        <sz val="11"/>
        <rFont val="游ゴシック Medium"/>
        <family val="3"/>
        <charset val="128"/>
      </rPr>
      <t>ちくま文庫の一冊として刊行した「ゲゲゲの鬼太郎」の新装版</t>
    </r>
    <phoneticPr fontId="1"/>
  </si>
  <si>
    <r>
      <rPr>
        <sz val="11"/>
        <rFont val="游ゴシック Medium"/>
        <family val="3"/>
        <charset val="128"/>
      </rPr>
      <t>妖怪＊＊＊</t>
    </r>
    <r>
      <rPr>
        <sz val="11"/>
        <rFont val="Consolas"/>
        <family val="3"/>
      </rPr>
      <t xml:space="preserve"> </t>
    </r>
    <r>
      <rPr>
        <sz val="11"/>
        <rFont val="游ゴシック Medium"/>
        <family val="3"/>
        <charset val="128"/>
      </rPr>
      <t>ゲゲゲの鬼太郎</t>
    </r>
    <r>
      <rPr>
        <sz val="11"/>
        <rFont val="Consolas"/>
        <family val="3"/>
      </rPr>
      <t xml:space="preserve"> 3</t>
    </r>
    <rPh sb="0" eb="2">
      <t>ヨウカイ</t>
    </rPh>
    <rPh sb="10" eb="13">
      <t>キタロウ</t>
    </rPh>
    <phoneticPr fontId="1"/>
  </si>
  <si>
    <r>
      <rPr>
        <sz val="11"/>
        <rFont val="游ゴシック Medium"/>
        <family val="3"/>
        <charset val="128"/>
      </rPr>
      <t>妖怪＊＊＊</t>
    </r>
    <r>
      <rPr>
        <sz val="11"/>
        <rFont val="Consolas"/>
        <family val="3"/>
      </rPr>
      <t xml:space="preserve"> </t>
    </r>
    <r>
      <rPr>
        <sz val="11"/>
        <rFont val="游ゴシック Medium"/>
        <family val="3"/>
        <charset val="128"/>
      </rPr>
      <t>ゲゲゲの鬼太郎</t>
    </r>
    <r>
      <rPr>
        <sz val="11"/>
        <rFont val="Consolas"/>
        <family val="3"/>
      </rPr>
      <t xml:space="preserve"> 4</t>
    </r>
    <rPh sb="0" eb="2">
      <t>ヨウカイ</t>
    </rPh>
    <rPh sb="10" eb="13">
      <t>キタロウ</t>
    </rPh>
    <phoneticPr fontId="1"/>
  </si>
  <si>
    <r>
      <rPr>
        <sz val="11"/>
        <rFont val="游ゴシック Medium"/>
        <family val="3"/>
        <charset val="128"/>
      </rPr>
      <t>妖怪＊＊＊</t>
    </r>
    <r>
      <rPr>
        <sz val="11"/>
        <rFont val="Consolas"/>
        <family val="3"/>
      </rPr>
      <t xml:space="preserve"> </t>
    </r>
    <r>
      <rPr>
        <sz val="11"/>
        <rFont val="游ゴシック Medium"/>
        <family val="3"/>
        <charset val="128"/>
      </rPr>
      <t>ゲゲゲの鬼太郎</t>
    </r>
    <r>
      <rPr>
        <sz val="11"/>
        <rFont val="Consolas"/>
        <family val="3"/>
      </rPr>
      <t xml:space="preserve"> 5</t>
    </r>
    <rPh sb="0" eb="2">
      <t>ヨウカイ</t>
    </rPh>
    <rPh sb="10" eb="13">
      <t>キタロウ</t>
    </rPh>
    <phoneticPr fontId="1"/>
  </si>
  <si>
    <r>
      <rPr>
        <sz val="11"/>
        <rFont val="游ゴシック Medium"/>
        <family val="3"/>
        <charset val="128"/>
      </rPr>
      <t>妖怪＊＊＊</t>
    </r>
    <r>
      <rPr>
        <sz val="11"/>
        <rFont val="Consolas"/>
        <family val="3"/>
      </rPr>
      <t xml:space="preserve"> </t>
    </r>
    <r>
      <rPr>
        <sz val="11"/>
        <rFont val="游ゴシック Medium"/>
        <family val="3"/>
        <charset val="128"/>
      </rPr>
      <t>ゲゲゲの鬼太郎</t>
    </r>
    <r>
      <rPr>
        <sz val="11"/>
        <rFont val="Consolas"/>
        <family val="3"/>
      </rPr>
      <t xml:space="preserve"> 6</t>
    </r>
    <rPh sb="0" eb="2">
      <t>ヨウカイ</t>
    </rPh>
    <rPh sb="10" eb="13">
      <t>キタロウ</t>
    </rPh>
    <phoneticPr fontId="1"/>
  </si>
  <si>
    <r>
      <rPr>
        <sz val="11"/>
        <rFont val="游ゴシック Medium"/>
        <family val="3"/>
        <charset val="128"/>
      </rPr>
      <t>妖怪＊＊＊</t>
    </r>
    <r>
      <rPr>
        <sz val="11"/>
        <rFont val="Consolas"/>
        <family val="3"/>
      </rPr>
      <t xml:space="preserve"> </t>
    </r>
    <r>
      <rPr>
        <sz val="11"/>
        <rFont val="游ゴシック Medium"/>
        <family val="3"/>
        <charset val="128"/>
      </rPr>
      <t>ゲゲゲの鬼太郎</t>
    </r>
    <r>
      <rPr>
        <sz val="11"/>
        <rFont val="Consolas"/>
        <family val="3"/>
      </rPr>
      <t xml:space="preserve"> 7</t>
    </r>
    <rPh sb="0" eb="2">
      <t>ヨウカイ</t>
    </rPh>
    <rPh sb="10" eb="13">
      <t>キタロウ</t>
    </rPh>
    <phoneticPr fontId="1"/>
  </si>
  <si>
    <r>
      <rPr>
        <sz val="11"/>
        <rFont val="游ゴシック Medium"/>
        <family val="3"/>
        <charset val="128"/>
      </rPr>
      <t>シュリンクス・パーン</t>
    </r>
    <phoneticPr fontId="1"/>
  </si>
  <si>
    <r>
      <rPr>
        <sz val="11"/>
        <rFont val="游ゴシック Medium"/>
        <family val="3"/>
        <charset val="128"/>
      </rPr>
      <t>自選作品集</t>
    </r>
    <rPh sb="0" eb="2">
      <t>ジセン</t>
    </rPh>
    <rPh sb="2" eb="4">
      <t>サクヒン</t>
    </rPh>
    <rPh sb="4" eb="5">
      <t>シュウ</t>
    </rPh>
    <phoneticPr fontId="1"/>
  </si>
  <si>
    <r>
      <rPr>
        <sz val="11"/>
        <rFont val="游ゴシック Medium"/>
        <family val="3"/>
        <charset val="128"/>
      </rPr>
      <t>タイムスリップ</t>
    </r>
    <phoneticPr fontId="1"/>
  </si>
  <si>
    <r>
      <rPr>
        <sz val="11"/>
        <rFont val="游ゴシック Medium"/>
        <family val="3"/>
        <charset val="128"/>
      </rPr>
      <t>ハトシェプスト</t>
    </r>
    <r>
      <rPr>
        <sz val="11"/>
        <rFont val="Consolas"/>
        <family val="3"/>
      </rPr>
      <t>/</t>
    </r>
    <r>
      <rPr>
        <sz val="11"/>
        <rFont val="游ゴシック Medium"/>
        <family val="3"/>
        <charset val="128"/>
      </rPr>
      <t>古代エジプト王朝唯一の女ファラオ</t>
    </r>
    <rPh sb="8" eb="10">
      <t>コダイ</t>
    </rPh>
    <rPh sb="14" eb="16">
      <t>オウチョウ</t>
    </rPh>
    <rPh sb="16" eb="18">
      <t>ユイイツ</t>
    </rPh>
    <rPh sb="19" eb="20">
      <t>オンナ</t>
    </rPh>
    <phoneticPr fontId="1"/>
  </si>
  <si>
    <r>
      <rPr>
        <sz val="11"/>
        <rFont val="游ゴシック Medium"/>
        <family val="3"/>
        <charset val="128"/>
      </rPr>
      <t>草刈民代</t>
    </r>
    <rPh sb="0" eb="2">
      <t>クサカリ</t>
    </rPh>
    <rPh sb="2" eb="4">
      <t>タミヨ</t>
    </rPh>
    <phoneticPr fontId="1"/>
  </si>
  <si>
    <r>
      <rPr>
        <sz val="11"/>
        <rFont val="游ゴシック Medium"/>
        <family val="3"/>
        <charset val="128"/>
      </rPr>
      <t>アラベスク</t>
    </r>
    <phoneticPr fontId="1"/>
  </si>
  <si>
    <r>
      <rPr>
        <sz val="11"/>
        <rFont val="游ゴシック Medium"/>
        <family val="3"/>
        <charset val="128"/>
      </rPr>
      <t>白水社文庫</t>
    </r>
    <rPh sb="0" eb="3">
      <t>ハクスイシャ</t>
    </rPh>
    <rPh sb="3" eb="5">
      <t>ブンコ</t>
    </rPh>
    <phoneticPr fontId="1"/>
  </si>
  <si>
    <r>
      <rPr>
        <sz val="11"/>
        <rFont val="游ゴシック Medium"/>
        <family val="3"/>
        <charset val="128"/>
      </rPr>
      <t>三浦雅士</t>
    </r>
    <rPh sb="0" eb="2">
      <t>ミウラ</t>
    </rPh>
    <rPh sb="2" eb="4">
      <t>マサシ</t>
    </rPh>
    <phoneticPr fontId="1"/>
  </si>
  <si>
    <r>
      <rPr>
        <sz val="11"/>
        <rFont val="游ゴシック Medium"/>
        <family val="3"/>
        <charset val="128"/>
      </rPr>
      <t>松村栄子</t>
    </r>
    <rPh sb="0" eb="2">
      <t>マツムラ</t>
    </rPh>
    <rPh sb="2" eb="4">
      <t>エイコ</t>
    </rPh>
    <phoneticPr fontId="1"/>
  </si>
  <si>
    <r>
      <rPr>
        <sz val="11"/>
        <rFont val="游ゴシック Medium"/>
        <family val="3"/>
        <charset val="128"/>
      </rPr>
      <t>川西</t>
    </r>
    <r>
      <rPr>
        <sz val="11"/>
        <rFont val="Consolas"/>
        <family val="3"/>
      </rPr>
      <t xml:space="preserve"> </t>
    </r>
    <r>
      <rPr>
        <sz val="11"/>
        <rFont val="游ゴシック Medium"/>
        <family val="3"/>
        <charset val="128"/>
      </rPr>
      <t>蘭</t>
    </r>
    <rPh sb="0" eb="2">
      <t>カワニシ</t>
    </rPh>
    <rPh sb="3" eb="4">
      <t>ラン</t>
    </rPh>
    <phoneticPr fontId="1"/>
  </si>
  <si>
    <r>
      <rPr>
        <strike/>
        <sz val="11"/>
        <rFont val="游ゴシック Medium"/>
        <family val="3"/>
        <charset val="128"/>
      </rPr>
      <t>山岸凉子</t>
    </r>
    <rPh sb="0" eb="2">
      <t>ヤマギシ</t>
    </rPh>
    <rPh sb="2" eb="4">
      <t>リョウコ</t>
    </rPh>
    <phoneticPr fontId="1"/>
  </si>
  <si>
    <r>
      <rPr>
        <strike/>
        <sz val="11"/>
        <rFont val="游ゴシック Medium"/>
        <family val="3"/>
        <charset val="128"/>
      </rPr>
      <t>荒俣</t>
    </r>
    <r>
      <rPr>
        <strike/>
        <sz val="11"/>
        <rFont val="Consolas"/>
        <family val="3"/>
      </rPr>
      <t xml:space="preserve"> </t>
    </r>
    <r>
      <rPr>
        <strike/>
        <sz val="11"/>
        <rFont val="游ゴシック Medium"/>
        <family val="3"/>
        <charset val="128"/>
      </rPr>
      <t>宏</t>
    </r>
    <rPh sb="0" eb="2">
      <t>アラマタ</t>
    </rPh>
    <rPh sb="3" eb="4">
      <t>ヒロシ</t>
    </rPh>
    <phoneticPr fontId="1"/>
  </si>
  <si>
    <r>
      <rPr>
        <strike/>
        <sz val="11"/>
        <rFont val="游ゴシック Medium"/>
        <family val="3"/>
        <charset val="128"/>
      </rPr>
      <t>解説</t>
    </r>
    <rPh sb="0" eb="2">
      <t>カイセツ</t>
    </rPh>
    <phoneticPr fontId="1"/>
  </si>
  <si>
    <r>
      <rPr>
        <strike/>
        <sz val="11"/>
        <rFont val="游ゴシック Medium"/>
        <family val="3"/>
        <charset val="128"/>
      </rPr>
      <t>日出処の天子</t>
    </r>
    <rPh sb="0" eb="1">
      <t>ヒ</t>
    </rPh>
    <rPh sb="1" eb="2">
      <t>イズル</t>
    </rPh>
    <rPh sb="2" eb="3">
      <t>トコロ</t>
    </rPh>
    <rPh sb="4" eb="6">
      <t>テンシ</t>
    </rPh>
    <phoneticPr fontId="1"/>
  </si>
  <si>
    <r>
      <rPr>
        <strike/>
        <sz val="11"/>
        <rFont val="游ゴシック Medium"/>
        <family val="3"/>
        <charset val="128"/>
      </rPr>
      <t>白水社文庫</t>
    </r>
    <rPh sb="0" eb="3">
      <t>ハクスイシャ</t>
    </rPh>
    <rPh sb="3" eb="5">
      <t>ブンコ</t>
    </rPh>
    <phoneticPr fontId="1"/>
  </si>
  <si>
    <r>
      <rPr>
        <strike/>
        <sz val="11"/>
        <rFont val="游ゴシック Medium"/>
        <family val="3"/>
        <charset val="128"/>
      </rPr>
      <t>往来座青空市</t>
    </r>
    <r>
      <rPr>
        <strike/>
        <sz val="11"/>
        <rFont val="Consolas"/>
        <family val="3"/>
      </rPr>
      <t>/</t>
    </r>
    <r>
      <rPr>
        <strike/>
        <sz val="11"/>
        <rFont val="游ゴシック Medium"/>
        <family val="3"/>
        <charset val="128"/>
      </rPr>
      <t>立石書店</t>
    </r>
    <rPh sb="0" eb="2">
      <t>オウライ</t>
    </rPh>
    <rPh sb="2" eb="3">
      <t>ザ</t>
    </rPh>
    <rPh sb="3" eb="5">
      <t>アオゾラ</t>
    </rPh>
    <rPh sb="5" eb="6">
      <t>イチ</t>
    </rPh>
    <rPh sb="7" eb="9">
      <t>タテイシ</t>
    </rPh>
    <rPh sb="9" eb="11">
      <t>ショテン</t>
    </rPh>
    <phoneticPr fontId="1"/>
  </si>
  <si>
    <r>
      <rPr>
        <strike/>
        <sz val="11"/>
        <rFont val="游ゴシック Medium"/>
        <family val="3"/>
        <charset val="128"/>
      </rPr>
      <t>氷室冴子</t>
    </r>
    <rPh sb="0" eb="2">
      <t>ヒムロ</t>
    </rPh>
    <rPh sb="2" eb="4">
      <t>サエコ</t>
    </rPh>
    <phoneticPr fontId="1"/>
  </si>
  <si>
    <r>
      <rPr>
        <strike/>
        <sz val="11"/>
        <rFont val="游ゴシック Medium"/>
        <family val="3"/>
        <charset val="128"/>
      </rPr>
      <t>梅原</t>
    </r>
    <r>
      <rPr>
        <strike/>
        <sz val="11"/>
        <rFont val="Consolas"/>
        <family val="3"/>
      </rPr>
      <t xml:space="preserve"> </t>
    </r>
    <r>
      <rPr>
        <strike/>
        <sz val="11"/>
        <rFont val="游ゴシック Medium"/>
        <family val="3"/>
        <charset val="128"/>
      </rPr>
      <t>猛</t>
    </r>
    <rPh sb="0" eb="2">
      <t>ウメハラ</t>
    </rPh>
    <rPh sb="3" eb="4">
      <t>タケシ</t>
    </rPh>
    <phoneticPr fontId="1"/>
  </si>
  <si>
    <r>
      <rPr>
        <strike/>
        <sz val="11"/>
        <rFont val="游ゴシック Medium"/>
        <family val="3"/>
        <charset val="128"/>
      </rPr>
      <t>萩尾みどり</t>
    </r>
    <rPh sb="0" eb="2">
      <t>ハギオ</t>
    </rPh>
    <phoneticPr fontId="1"/>
  </si>
  <si>
    <r>
      <rPr>
        <strike/>
        <sz val="11"/>
        <rFont val="游ゴシック Medium"/>
        <family val="3"/>
        <charset val="128"/>
      </rPr>
      <t>南端利晴</t>
    </r>
    <rPh sb="0" eb="2">
      <t>ミナミハタ</t>
    </rPh>
    <rPh sb="2" eb="4">
      <t>トシハル</t>
    </rPh>
    <phoneticPr fontId="1"/>
  </si>
  <si>
    <r>
      <rPr>
        <strike/>
        <sz val="11"/>
        <rFont val="游ゴシック Medium"/>
        <family val="3"/>
        <charset val="128"/>
      </rPr>
      <t>夏目房之介</t>
    </r>
    <rPh sb="0" eb="2">
      <t>ナツメ</t>
    </rPh>
    <rPh sb="2" eb="5">
      <t>フサノスケ</t>
    </rPh>
    <phoneticPr fontId="1"/>
  </si>
  <si>
    <r>
      <rPr>
        <strike/>
        <sz val="11"/>
        <rFont val="游ゴシック Medium"/>
        <family val="3"/>
        <charset val="128"/>
      </rPr>
      <t>水木しげる</t>
    </r>
    <rPh sb="0" eb="2">
      <t>ミズキ</t>
    </rPh>
    <phoneticPr fontId="1"/>
  </si>
  <si>
    <r>
      <rPr>
        <sz val="11"/>
        <rFont val="游ゴシック Medium"/>
        <family val="3"/>
        <charset val="128"/>
      </rPr>
      <t>ブルー・ロージズ</t>
    </r>
    <phoneticPr fontId="1"/>
  </si>
  <si>
    <r>
      <rPr>
        <sz val="11"/>
        <rFont val="游ゴシック Medium"/>
        <family val="3"/>
        <charset val="128"/>
      </rPr>
      <t>わたしの人形はよい人形</t>
    </r>
    <rPh sb="4" eb="6">
      <t>ニンギョウ</t>
    </rPh>
    <rPh sb="9" eb="11">
      <t>ニンギョウ</t>
    </rPh>
    <phoneticPr fontId="1"/>
  </si>
  <si>
    <r>
      <rPr>
        <sz val="11"/>
        <rFont val="游ゴシック Medium"/>
        <family val="3"/>
        <charset val="128"/>
      </rPr>
      <t>月読</t>
    </r>
    <rPh sb="0" eb="2">
      <t>ツクヨミ</t>
    </rPh>
    <phoneticPr fontId="1"/>
  </si>
  <si>
    <r>
      <rPr>
        <sz val="11"/>
        <rFont val="游ゴシック Medium"/>
        <family val="3"/>
        <charset val="128"/>
      </rPr>
      <t>神かくし</t>
    </r>
    <rPh sb="0" eb="1">
      <t>カミ</t>
    </rPh>
    <phoneticPr fontId="1"/>
  </si>
  <si>
    <r>
      <rPr>
        <sz val="11"/>
        <rFont val="游ゴシック Medium"/>
        <family val="3"/>
        <charset val="128"/>
      </rPr>
      <t>天人唐草</t>
    </r>
    <rPh sb="0" eb="2">
      <t>テンニン</t>
    </rPh>
    <rPh sb="2" eb="4">
      <t>カラクサ</t>
    </rPh>
    <phoneticPr fontId="1"/>
  </si>
  <si>
    <r>
      <rPr>
        <sz val="11"/>
        <rFont val="游ゴシック Medium"/>
        <family val="3"/>
        <charset val="128"/>
      </rPr>
      <t>夜叉御前</t>
    </r>
    <rPh sb="0" eb="2">
      <t>ヤシャ</t>
    </rPh>
    <rPh sb="2" eb="4">
      <t>ゴゼン</t>
    </rPh>
    <phoneticPr fontId="1"/>
  </si>
  <si>
    <r>
      <rPr>
        <sz val="11"/>
        <rFont val="游ゴシック Medium"/>
        <family val="3"/>
        <charset val="128"/>
      </rPr>
      <t>甕のぞきの色</t>
    </r>
    <rPh sb="0" eb="1">
      <t>カメ</t>
    </rPh>
    <rPh sb="5" eb="6">
      <t>イロ</t>
    </rPh>
    <phoneticPr fontId="1"/>
  </si>
  <si>
    <r>
      <rPr>
        <sz val="11"/>
        <rFont val="游ゴシック Medium"/>
        <family val="3"/>
        <charset val="128"/>
      </rPr>
      <t>やまだ紫</t>
    </r>
    <rPh sb="3" eb="4">
      <t>ムラサキ</t>
    </rPh>
    <phoneticPr fontId="1"/>
  </si>
  <si>
    <r>
      <rPr>
        <sz val="11"/>
        <rFont val="游ゴシック Medium"/>
        <family val="3"/>
        <charset val="128"/>
      </rPr>
      <t>しんきらり</t>
    </r>
    <r>
      <rPr>
        <sz val="11"/>
        <rFont val="Consolas"/>
        <family val="3"/>
      </rPr>
      <t>/</t>
    </r>
    <r>
      <rPr>
        <sz val="11"/>
        <rFont val="游ゴシック Medium"/>
        <family val="3"/>
        <charset val="128"/>
      </rPr>
      <t>全</t>
    </r>
    <rPh sb="6" eb="7">
      <t>ゼン</t>
    </rPh>
    <phoneticPr fontId="1"/>
  </si>
  <si>
    <r>
      <rPr>
        <sz val="11"/>
        <rFont val="游ゴシック Medium"/>
        <family val="3"/>
        <charset val="128"/>
      </rPr>
      <t>ゆらりうす色</t>
    </r>
    <rPh sb="5" eb="6">
      <t>イロ</t>
    </rPh>
    <phoneticPr fontId="1"/>
  </si>
  <si>
    <r>
      <rPr>
        <sz val="11"/>
        <rFont val="游ゴシック Medium"/>
        <family val="3"/>
        <charset val="128"/>
      </rPr>
      <t>性悪猫</t>
    </r>
    <r>
      <rPr>
        <sz val="11"/>
        <rFont val="Consolas"/>
        <family val="3"/>
      </rPr>
      <t>/</t>
    </r>
    <r>
      <rPr>
        <sz val="11"/>
        <rFont val="游ゴシック Medium"/>
        <family val="3"/>
        <charset val="128"/>
      </rPr>
      <t>新編</t>
    </r>
    <rPh sb="0" eb="2">
      <t>ショウワル</t>
    </rPh>
    <rPh sb="2" eb="3">
      <t>ネコ</t>
    </rPh>
    <rPh sb="4" eb="6">
      <t>シンペン</t>
    </rPh>
    <phoneticPr fontId="1"/>
  </si>
  <si>
    <r>
      <rPr>
        <sz val="11"/>
        <rFont val="游ゴシック Medium"/>
        <family val="3"/>
        <charset val="128"/>
      </rPr>
      <t>さいとう</t>
    </r>
    <r>
      <rPr>
        <sz val="11"/>
        <rFont val="Consolas"/>
        <family val="3"/>
      </rPr>
      <t xml:space="preserve"> </t>
    </r>
    <r>
      <rPr>
        <sz val="11"/>
        <rFont val="游ゴシック Medium"/>
        <family val="3"/>
        <charset val="128"/>
      </rPr>
      <t>ちほ</t>
    </r>
    <phoneticPr fontId="1"/>
  </si>
  <si>
    <r>
      <rPr>
        <sz val="11"/>
        <rFont val="游ゴシック Medium"/>
        <family val="3"/>
        <charset val="128"/>
      </rPr>
      <t>とりかえ・ばや</t>
    </r>
    <phoneticPr fontId="1"/>
  </si>
  <si>
    <r>
      <t>FLOWER COMICS α|</t>
    </r>
    <r>
      <rPr>
        <sz val="11"/>
        <rFont val="游ゴシック Medium"/>
        <family val="3"/>
        <charset val="128"/>
      </rPr>
      <t>小学館</t>
    </r>
    <rPh sb="0" eb="13">
      <t>フラワー　コミックス</t>
    </rPh>
    <rPh sb="14" eb="15">
      <t>アルファ</t>
    </rPh>
    <rPh sb="16" eb="19">
      <t>ショウガクカン</t>
    </rPh>
    <phoneticPr fontId="1"/>
  </si>
  <si>
    <r>
      <rPr>
        <sz val="11"/>
        <rFont val="游ゴシック Medium"/>
        <family val="3"/>
        <charset val="128"/>
      </rPr>
      <t>大和</t>
    </r>
    <r>
      <rPr>
        <sz val="11"/>
        <rFont val="Consolas"/>
        <family val="3"/>
      </rPr>
      <t xml:space="preserve"> </t>
    </r>
    <r>
      <rPr>
        <sz val="11"/>
        <rFont val="游ゴシック Medium"/>
        <family val="3"/>
        <charset val="128"/>
      </rPr>
      <t>和紀</t>
    </r>
    <rPh sb="0" eb="2">
      <t>ヤマト</t>
    </rPh>
    <rPh sb="3" eb="5">
      <t>ワキ</t>
    </rPh>
    <phoneticPr fontId="1"/>
  </si>
  <si>
    <r>
      <rPr>
        <sz val="11"/>
        <rFont val="游ゴシック Medium"/>
        <family val="3"/>
        <charset val="128"/>
      </rPr>
      <t>薔薇子爵</t>
    </r>
    <r>
      <rPr>
        <sz val="11"/>
        <rFont val="Consolas"/>
        <family val="3"/>
      </rPr>
      <t>/</t>
    </r>
    <r>
      <rPr>
        <sz val="11"/>
        <rFont val="游ゴシック Medium"/>
        <family val="3"/>
        <charset val="128"/>
      </rPr>
      <t>翼ある者</t>
    </r>
    <rPh sb="0" eb="2">
      <t>バラ</t>
    </rPh>
    <rPh sb="2" eb="4">
      <t>シシャク</t>
    </rPh>
    <rPh sb="5" eb="6">
      <t>ツバサ</t>
    </rPh>
    <rPh sb="8" eb="9">
      <t>モノ</t>
    </rPh>
    <phoneticPr fontId="1"/>
  </si>
  <si>
    <r>
      <rPr>
        <sz val="11"/>
        <rFont val="游ゴシック Medium"/>
        <family val="3"/>
        <charset val="128"/>
      </rPr>
      <t>あい色神話</t>
    </r>
    <r>
      <rPr>
        <sz val="11"/>
        <rFont val="Consolas"/>
        <family val="3"/>
      </rPr>
      <t>/</t>
    </r>
    <r>
      <rPr>
        <sz val="11"/>
        <rFont val="游ゴシック Medium"/>
        <family val="3"/>
        <charset val="128"/>
      </rPr>
      <t>ねむり草の夢</t>
    </r>
    <rPh sb="2" eb="3">
      <t>イロ</t>
    </rPh>
    <rPh sb="3" eb="5">
      <t>シンワ</t>
    </rPh>
    <rPh sb="9" eb="10">
      <t>グサ</t>
    </rPh>
    <rPh sb="11" eb="12">
      <t>ユメ</t>
    </rPh>
    <phoneticPr fontId="1"/>
  </si>
  <si>
    <r>
      <rPr>
        <sz val="11"/>
        <rFont val="游ゴシック Medium"/>
        <family val="3"/>
        <charset val="128"/>
      </rPr>
      <t>菩提樹</t>
    </r>
    <r>
      <rPr>
        <sz val="11"/>
        <rFont val="Consolas"/>
        <family val="3"/>
      </rPr>
      <t xml:space="preserve"> 1</t>
    </r>
    <rPh sb="0" eb="3">
      <t>ボダイジュ</t>
    </rPh>
    <phoneticPr fontId="1"/>
  </si>
  <si>
    <r>
      <rPr>
        <sz val="11"/>
        <rFont val="游ゴシック Medium"/>
        <family val="3"/>
        <charset val="128"/>
      </rPr>
      <t>菩提樹</t>
    </r>
    <r>
      <rPr>
        <sz val="11"/>
        <rFont val="Consolas"/>
        <family val="3"/>
      </rPr>
      <t xml:space="preserve"> 2</t>
    </r>
    <rPh sb="0" eb="3">
      <t>ボダイジュ</t>
    </rPh>
    <phoneticPr fontId="1"/>
  </si>
  <si>
    <r>
      <rPr>
        <sz val="11"/>
        <rFont val="游ゴシック Medium"/>
        <family val="3"/>
        <charset val="128"/>
      </rPr>
      <t>私家版</t>
    </r>
    <rPh sb="0" eb="3">
      <t>シカバン</t>
    </rPh>
    <phoneticPr fontId="1"/>
  </si>
  <si>
    <r>
      <rPr>
        <sz val="11"/>
        <rFont val="游ゴシック Medium"/>
        <family val="3"/>
        <charset val="128"/>
      </rPr>
      <t>身内</t>
    </r>
    <r>
      <rPr>
        <sz val="11"/>
        <rFont val="Consolas"/>
        <family val="3"/>
      </rPr>
      <t>/</t>
    </r>
    <r>
      <rPr>
        <sz val="11"/>
        <rFont val="游ゴシック Medium"/>
        <family val="3"/>
        <charset val="128"/>
      </rPr>
      <t>私家版</t>
    </r>
    <rPh sb="0" eb="2">
      <t>ミウチ</t>
    </rPh>
    <rPh sb="3" eb="6">
      <t>シカバン</t>
    </rPh>
    <phoneticPr fontId="1"/>
  </si>
  <si>
    <r>
      <rPr>
        <sz val="11"/>
        <rFont val="游ゴシック Medium"/>
        <family val="3"/>
        <charset val="128"/>
      </rPr>
      <t>セックスの安心と安全を考える情報誌</t>
    </r>
    <rPh sb="5" eb="7">
      <t>アンシン</t>
    </rPh>
    <rPh sb="8" eb="10">
      <t>アンゼン</t>
    </rPh>
    <rPh sb="11" eb="12">
      <t>カンガ</t>
    </rPh>
    <rPh sb="14" eb="17">
      <t>ジョウホウシ</t>
    </rPh>
    <phoneticPr fontId="1"/>
  </si>
  <si>
    <r>
      <t>NPO</t>
    </r>
    <r>
      <rPr>
        <sz val="11"/>
        <rFont val="游ゴシック Medium"/>
        <family val="3"/>
        <charset val="128"/>
      </rPr>
      <t>法人</t>
    </r>
    <r>
      <rPr>
        <sz val="11"/>
        <rFont val="Consolas"/>
        <family val="3"/>
      </rPr>
      <t xml:space="preserve"> </t>
    </r>
    <r>
      <rPr>
        <sz val="11"/>
        <rFont val="游ゴシック Medium"/>
        <family val="3"/>
        <charset val="128"/>
      </rPr>
      <t>つみき</t>
    </r>
    <rPh sb="3" eb="5">
      <t>ホウジン</t>
    </rPh>
    <phoneticPr fontId="1"/>
  </si>
  <si>
    <r>
      <rPr>
        <sz val="11"/>
        <rFont val="游ゴシック Medium"/>
        <family val="3"/>
        <charset val="128"/>
      </rPr>
      <t>えっ</t>
    </r>
    <r>
      <rPr>
        <sz val="11"/>
        <rFont val="Consolas"/>
        <family val="3"/>
      </rPr>
      <t xml:space="preserve"> </t>
    </r>
    <r>
      <rPr>
        <sz val="11"/>
        <rFont val="游ゴシック Medium"/>
        <family val="3"/>
        <charset val="128"/>
      </rPr>
      <t>うちの子に障がい</t>
    </r>
    <r>
      <rPr>
        <sz val="11"/>
        <rFont val="Consolas"/>
        <family val="3"/>
      </rPr>
      <t xml:space="preserve"> ? </t>
    </r>
    <r>
      <rPr>
        <sz val="11"/>
        <rFont val="游ゴシック Medium"/>
        <family val="3"/>
        <charset val="128"/>
      </rPr>
      <t>でも、一人で悩まないで</t>
    </r>
    <rPh sb="6" eb="7">
      <t>コ</t>
    </rPh>
    <rPh sb="8" eb="9">
      <t>ショウ</t>
    </rPh>
    <rPh sb="17" eb="19">
      <t>ヒトリ</t>
    </rPh>
    <rPh sb="20" eb="21">
      <t>ナヤ</t>
    </rPh>
    <phoneticPr fontId="1"/>
  </si>
  <si>
    <r>
      <rPr>
        <sz val="11"/>
        <rFont val="游ゴシック Medium"/>
        <family val="3"/>
        <charset val="128"/>
      </rPr>
      <t>ぶどう社</t>
    </r>
    <rPh sb="3" eb="4">
      <t>シャ</t>
    </rPh>
    <phoneticPr fontId="1"/>
  </si>
  <si>
    <r>
      <rPr>
        <sz val="11"/>
        <rFont val="游ゴシック Medium"/>
        <family val="3"/>
        <charset val="128"/>
      </rPr>
      <t>財団法人</t>
    </r>
    <r>
      <rPr>
        <sz val="11"/>
        <rFont val="Consolas"/>
        <family val="3"/>
      </rPr>
      <t xml:space="preserve"> </t>
    </r>
    <r>
      <rPr>
        <sz val="11"/>
        <rFont val="游ゴシック Medium"/>
        <family val="3"/>
        <charset val="128"/>
      </rPr>
      <t>麻薬・覚せい剤乱用防止センター</t>
    </r>
    <rPh sb="0" eb="2">
      <t>ザイダン</t>
    </rPh>
    <rPh sb="2" eb="4">
      <t>ホウジン</t>
    </rPh>
    <rPh sb="5" eb="7">
      <t>マヤク</t>
    </rPh>
    <rPh sb="8" eb="9">
      <t>カク</t>
    </rPh>
    <rPh sb="11" eb="12">
      <t>ザイ</t>
    </rPh>
    <rPh sb="12" eb="14">
      <t>ランヨウ</t>
    </rPh>
    <rPh sb="14" eb="16">
      <t>ボウシ</t>
    </rPh>
    <phoneticPr fontId="1"/>
  </si>
  <si>
    <r>
      <rPr>
        <sz val="11"/>
        <rFont val="游ゴシック Medium"/>
        <family val="3"/>
        <charset val="128"/>
      </rPr>
      <t>薬物乱用防止読本</t>
    </r>
    <r>
      <rPr>
        <sz val="11"/>
        <rFont val="Consolas"/>
        <family val="3"/>
      </rPr>
      <t xml:space="preserve"> </t>
    </r>
    <r>
      <rPr>
        <sz val="11"/>
        <rFont val="游ゴシック Medium"/>
        <family val="3"/>
        <charset val="128"/>
      </rPr>
      <t>薬物乱用は「ダメ。ゼッタイ。」健康に生きよう</t>
    </r>
    <r>
      <rPr>
        <sz val="11"/>
        <rFont val="Consolas"/>
        <family val="3"/>
      </rPr>
      <t xml:space="preserve"> </t>
    </r>
    <r>
      <rPr>
        <sz val="11"/>
        <rFont val="游ゴシック Medium"/>
        <family val="3"/>
        <charset val="128"/>
      </rPr>
      <t>パート</t>
    </r>
    <r>
      <rPr>
        <sz val="11"/>
        <rFont val="Consolas"/>
        <family val="3"/>
      </rPr>
      <t>22</t>
    </r>
    <rPh sb="0" eb="2">
      <t>ヤクブツ</t>
    </rPh>
    <rPh sb="2" eb="4">
      <t>ランヨウ</t>
    </rPh>
    <rPh sb="4" eb="6">
      <t>ボウシ</t>
    </rPh>
    <rPh sb="6" eb="8">
      <t>ドクホン</t>
    </rPh>
    <rPh sb="9" eb="11">
      <t>ヤクブツ</t>
    </rPh>
    <rPh sb="11" eb="13">
      <t>ランヨウ</t>
    </rPh>
    <rPh sb="24" eb="26">
      <t>ケンコウ</t>
    </rPh>
    <rPh sb="27" eb="28">
      <t>イ</t>
    </rPh>
    <phoneticPr fontId="1"/>
  </si>
  <si>
    <r>
      <rPr>
        <sz val="11"/>
        <rFont val="游ゴシック Medium"/>
        <family val="3"/>
        <charset val="128"/>
      </rPr>
      <t>厚生労働省</t>
    </r>
    <rPh sb="0" eb="2">
      <t>コウセイ</t>
    </rPh>
    <rPh sb="2" eb="5">
      <t>ロウドウショウ</t>
    </rPh>
    <phoneticPr fontId="1"/>
  </si>
  <si>
    <r>
      <rPr>
        <sz val="11"/>
        <rFont val="游ゴシック Medium"/>
        <family val="3"/>
        <charset val="128"/>
      </rPr>
      <t>関根悠二</t>
    </r>
    <rPh sb="0" eb="2">
      <t>セキネ</t>
    </rPh>
    <rPh sb="2" eb="4">
      <t>ユウジ</t>
    </rPh>
    <phoneticPr fontId="1"/>
  </si>
  <si>
    <r>
      <rPr>
        <sz val="11"/>
        <rFont val="游ゴシック Medium"/>
        <family val="3"/>
        <charset val="128"/>
      </rPr>
      <t>立教大学</t>
    </r>
    <rPh sb="0" eb="2">
      <t>リッキョウ</t>
    </rPh>
    <rPh sb="2" eb="4">
      <t>ダイガク</t>
    </rPh>
    <phoneticPr fontId="1"/>
  </si>
  <si>
    <r>
      <rPr>
        <sz val="11"/>
        <rFont val="游ゴシック Medium"/>
        <family val="3"/>
        <charset val="128"/>
      </rPr>
      <t>渡辺</t>
    </r>
    <r>
      <rPr>
        <sz val="11"/>
        <rFont val="Consolas"/>
        <family val="3"/>
      </rPr>
      <t xml:space="preserve"> </t>
    </r>
    <r>
      <rPr>
        <sz val="11"/>
        <rFont val="游ゴシック Medium"/>
        <family val="3"/>
        <charset val="128"/>
      </rPr>
      <t>八畳</t>
    </r>
    <rPh sb="0" eb="2">
      <t>ワタナベ</t>
    </rPh>
    <rPh sb="3" eb="4">
      <t>ハチ</t>
    </rPh>
    <rPh sb="4" eb="5">
      <t>ジョウ</t>
    </rPh>
    <phoneticPr fontId="1"/>
  </si>
  <si>
    <r>
      <rPr>
        <sz val="11"/>
        <rFont val="游ゴシック Medium"/>
        <family val="3"/>
        <charset val="128"/>
      </rPr>
      <t>ポートフォリオ</t>
    </r>
    <r>
      <rPr>
        <sz val="11"/>
        <rFont val="Consolas"/>
        <family val="3"/>
      </rPr>
      <t xml:space="preserve"> Version2.0(since 2019.5.1)</t>
    </r>
    <phoneticPr fontId="1"/>
  </si>
  <si>
    <r>
      <rPr>
        <sz val="11"/>
        <rFont val="游ゴシック Medium"/>
        <family val="3"/>
        <charset val="128"/>
      </rPr>
      <t>新風舎</t>
    </r>
    <rPh sb="0" eb="2">
      <t>シンプウ</t>
    </rPh>
    <rPh sb="2" eb="3">
      <t>シャ</t>
    </rPh>
    <phoneticPr fontId="1"/>
  </si>
  <si>
    <r>
      <rPr>
        <sz val="11"/>
        <rFont val="游ゴシック Medium"/>
        <family val="3"/>
        <charset val="128"/>
      </rPr>
      <t>佐野ともみ</t>
    </r>
    <rPh sb="0" eb="2">
      <t>サノ</t>
    </rPh>
    <phoneticPr fontId="1"/>
  </si>
  <si>
    <r>
      <rPr>
        <sz val="11"/>
        <rFont val="游ゴシック Medium"/>
        <family val="3"/>
        <charset val="128"/>
      </rPr>
      <t>戯曲</t>
    </r>
    <r>
      <rPr>
        <sz val="11"/>
        <rFont val="Consolas"/>
        <family val="3"/>
      </rPr>
      <t/>
    </r>
    <rPh sb="0" eb="2">
      <t>ギキョク</t>
    </rPh>
    <phoneticPr fontId="1"/>
  </si>
  <si>
    <r>
      <rPr>
        <sz val="11"/>
        <rFont val="游ゴシック Medium"/>
        <family val="3"/>
        <charset val="128"/>
      </rPr>
      <t>宮下省死</t>
    </r>
    <rPh sb="0" eb="2">
      <t>ミヤシタ</t>
    </rPh>
    <rPh sb="2" eb="4">
      <t>セイシ</t>
    </rPh>
    <phoneticPr fontId="1"/>
  </si>
  <si>
    <r>
      <rPr>
        <sz val="11"/>
        <rFont val="游ゴシック Medium"/>
        <family val="3"/>
        <charset val="128"/>
      </rPr>
      <t>浣腸脳髄</t>
    </r>
    <rPh sb="0" eb="2">
      <t>カンチョウ</t>
    </rPh>
    <rPh sb="2" eb="4">
      <t>ノウズイ</t>
    </rPh>
    <phoneticPr fontId="1"/>
  </si>
  <si>
    <r>
      <rPr>
        <sz val="11"/>
        <rFont val="游ゴシック Medium"/>
        <family val="3"/>
        <charset val="128"/>
      </rPr>
      <t>処女戯曲集</t>
    </r>
    <rPh sb="0" eb="2">
      <t>ショジョ</t>
    </rPh>
    <rPh sb="2" eb="4">
      <t>ギキョク</t>
    </rPh>
    <rPh sb="4" eb="5">
      <t>シュウ</t>
    </rPh>
    <phoneticPr fontId="1"/>
  </si>
  <si>
    <r>
      <rPr>
        <sz val="11"/>
        <rFont val="游ゴシック Medium"/>
        <family val="3"/>
        <charset val="128"/>
      </rPr>
      <t>魔留怒出版</t>
    </r>
    <rPh sb="0" eb="1">
      <t>マ</t>
    </rPh>
    <rPh sb="1" eb="2">
      <t>ル</t>
    </rPh>
    <rPh sb="2" eb="3">
      <t>ド</t>
    </rPh>
    <rPh sb="3" eb="5">
      <t>シュッパン</t>
    </rPh>
    <phoneticPr fontId="1"/>
  </si>
  <si>
    <r>
      <rPr>
        <sz val="11"/>
        <rFont val="游ゴシック Medium"/>
        <family val="3"/>
        <charset val="128"/>
      </rPr>
      <t>野間晴子</t>
    </r>
    <rPh sb="0" eb="2">
      <t>ノマ</t>
    </rPh>
    <rPh sb="2" eb="4">
      <t>ハルコ</t>
    </rPh>
    <phoneticPr fontId="1"/>
  </si>
  <si>
    <r>
      <rPr>
        <sz val="11"/>
        <rFont val="游ゴシック Medium"/>
        <family val="3"/>
        <charset val="128"/>
      </rPr>
      <t>見せもの小屋</t>
    </r>
    <rPh sb="0" eb="1">
      <t>ミ</t>
    </rPh>
    <rPh sb="4" eb="6">
      <t>ゴヤ</t>
    </rPh>
    <phoneticPr fontId="1"/>
  </si>
  <si>
    <r>
      <rPr>
        <sz val="11"/>
        <rFont val="游ゴシック Medium"/>
        <family val="3"/>
        <charset val="128"/>
      </rPr>
      <t>随筆</t>
    </r>
    <rPh sb="0" eb="2">
      <t>ズイヒツ</t>
    </rPh>
    <phoneticPr fontId="1"/>
  </si>
  <si>
    <r>
      <rPr>
        <sz val="11"/>
        <rFont val="游ゴシック Medium"/>
        <family val="3"/>
        <charset val="128"/>
      </rPr>
      <t>奥主</t>
    </r>
    <r>
      <rPr>
        <sz val="11"/>
        <rFont val="Consolas"/>
        <family val="3"/>
      </rPr>
      <t xml:space="preserve"> </t>
    </r>
    <r>
      <rPr>
        <sz val="11"/>
        <rFont val="游ゴシック Medium"/>
        <family val="3"/>
        <charset val="128"/>
      </rPr>
      <t>榮</t>
    </r>
    <rPh sb="0" eb="2">
      <t>オクヌシ</t>
    </rPh>
    <rPh sb="3" eb="4">
      <t>エイ</t>
    </rPh>
    <phoneticPr fontId="1"/>
  </si>
  <si>
    <r>
      <rPr>
        <sz val="11"/>
        <rFont val="游ゴシック Medium"/>
        <family val="3"/>
        <charset val="128"/>
      </rPr>
      <t>在り続けるものへ向けて</t>
    </r>
    <r>
      <rPr>
        <sz val="11"/>
        <rFont val="Consolas"/>
        <family val="3"/>
      </rPr>
      <t xml:space="preserve"> </t>
    </r>
    <r>
      <rPr>
        <sz val="11"/>
        <rFont val="游ゴシック Medium"/>
        <family val="3"/>
        <charset val="128"/>
      </rPr>
      <t>奥主</t>
    </r>
    <r>
      <rPr>
        <sz val="11"/>
        <rFont val="Consolas"/>
        <family val="3"/>
      </rPr>
      <t xml:space="preserve"> </t>
    </r>
    <r>
      <rPr>
        <sz val="11"/>
        <rFont val="游ゴシック Medium"/>
        <family val="3"/>
        <charset val="128"/>
      </rPr>
      <t>榮</t>
    </r>
    <r>
      <rPr>
        <sz val="11"/>
        <rFont val="Consolas"/>
        <family val="3"/>
      </rPr>
      <t xml:space="preserve"> </t>
    </r>
    <r>
      <rPr>
        <sz val="11"/>
        <rFont val="游ゴシック Medium"/>
        <family val="3"/>
        <charset val="128"/>
      </rPr>
      <t>エッセイ集</t>
    </r>
    <rPh sb="0" eb="1">
      <t>ア</t>
    </rPh>
    <rPh sb="2" eb="3">
      <t>ツヅ</t>
    </rPh>
    <rPh sb="8" eb="9">
      <t>ム</t>
    </rPh>
    <rPh sb="12" eb="14">
      <t>オクヌシ</t>
    </rPh>
    <rPh sb="15" eb="16">
      <t>エイ</t>
    </rPh>
    <rPh sb="21" eb="22">
      <t>シュウ</t>
    </rPh>
    <phoneticPr fontId="1"/>
  </si>
  <si>
    <r>
      <t xml:space="preserve">10 </t>
    </r>
    <r>
      <rPr>
        <sz val="11"/>
        <rFont val="游ゴシック Medium"/>
        <family val="3"/>
        <charset val="128"/>
      </rPr>
      <t>詩人のエッセイ</t>
    </r>
    <rPh sb="3" eb="5">
      <t>シジン</t>
    </rPh>
    <phoneticPr fontId="1"/>
  </si>
  <si>
    <r>
      <rPr>
        <sz val="11"/>
        <rFont val="游ゴシック Medium"/>
        <family val="3"/>
        <charset val="128"/>
      </rPr>
      <t>コールサック社</t>
    </r>
    <rPh sb="6" eb="7">
      <t>シャ</t>
    </rPh>
    <phoneticPr fontId="1"/>
  </si>
  <si>
    <r>
      <rPr>
        <sz val="11"/>
        <rFont val="游ゴシック Medium"/>
        <family val="3"/>
        <charset val="128"/>
      </rPr>
      <t>ひびきみか</t>
    </r>
    <phoneticPr fontId="1"/>
  </si>
  <si>
    <r>
      <t>J.A.</t>
    </r>
    <r>
      <rPr>
        <sz val="11"/>
        <rFont val="游ゴシック Medium"/>
        <family val="3"/>
        <charset val="128"/>
      </rPr>
      <t>シーザー</t>
    </r>
    <r>
      <rPr>
        <sz val="11"/>
        <rFont val="Consolas"/>
        <family val="3"/>
      </rPr>
      <t>/</t>
    </r>
    <r>
      <rPr>
        <sz val="11"/>
        <rFont val="游ゴシック Medium"/>
        <family val="3"/>
        <charset val="128"/>
      </rPr>
      <t>加藤彰</t>
    </r>
    <r>
      <rPr>
        <sz val="11"/>
        <rFont val="Consolas"/>
        <family val="3"/>
      </rPr>
      <t>,</t>
    </r>
    <r>
      <rPr>
        <sz val="11"/>
        <rFont val="游ゴシック Medium"/>
        <family val="3"/>
        <charset val="128"/>
      </rPr>
      <t>池上直哉</t>
    </r>
    <rPh sb="9" eb="11">
      <t>カトウ</t>
    </rPh>
    <rPh sb="11" eb="12">
      <t>アキラ</t>
    </rPh>
    <rPh sb="13" eb="15">
      <t>イケガミ</t>
    </rPh>
    <rPh sb="15" eb="17">
      <t>ナオヤ</t>
    </rPh>
    <phoneticPr fontId="1"/>
  </si>
  <si>
    <r>
      <rPr>
        <sz val="11"/>
        <rFont val="游ゴシック Medium"/>
        <family val="3"/>
        <charset val="128"/>
      </rPr>
      <t>カヴァーイラスト</t>
    </r>
    <r>
      <rPr>
        <sz val="11"/>
        <rFont val="Consolas"/>
        <family val="3"/>
      </rPr>
      <t>/</t>
    </r>
    <r>
      <rPr>
        <sz val="11"/>
        <rFont val="游ゴシック Medium"/>
        <family val="3"/>
        <charset val="128"/>
      </rPr>
      <t>写真</t>
    </r>
    <rPh sb="9" eb="11">
      <t>シャシン</t>
    </rPh>
    <phoneticPr fontId="1"/>
  </si>
  <si>
    <r>
      <rPr>
        <sz val="11"/>
        <rFont val="游ゴシック Medium"/>
        <family val="3"/>
        <charset val="128"/>
      </rPr>
      <t>エッセイ詩集</t>
    </r>
    <r>
      <rPr>
        <sz val="11"/>
        <rFont val="Consolas"/>
        <family val="3"/>
      </rPr>
      <t xml:space="preserve"> </t>
    </r>
    <r>
      <rPr>
        <sz val="11"/>
        <rFont val="游ゴシック Medium"/>
        <family val="3"/>
        <charset val="128"/>
      </rPr>
      <t>かがみのとびら</t>
    </r>
    <rPh sb="4" eb="6">
      <t>シシュウ</t>
    </rPh>
    <phoneticPr fontId="1"/>
  </si>
  <si>
    <r>
      <rPr>
        <sz val="11"/>
        <rFont val="游ゴシック Medium"/>
        <family val="3"/>
        <charset val="128"/>
      </rPr>
      <t>アトリエサード</t>
    </r>
    <r>
      <rPr>
        <sz val="11"/>
        <rFont val="Consolas"/>
        <family val="3"/>
      </rPr>
      <t>:</t>
    </r>
    <r>
      <rPr>
        <sz val="11"/>
        <rFont val="游ゴシック Medium"/>
        <family val="3"/>
        <charset val="128"/>
      </rPr>
      <t>発行</t>
    </r>
    <rPh sb="8" eb="10">
      <t>ハッコウ</t>
    </rPh>
    <phoneticPr fontId="1"/>
  </si>
  <si>
    <r>
      <rPr>
        <sz val="11"/>
        <rFont val="游ゴシック Medium"/>
        <family val="3"/>
        <charset val="128"/>
      </rPr>
      <t>書苑新社</t>
    </r>
    <rPh sb="0" eb="1">
      <t>ショ</t>
    </rPh>
    <rPh sb="1" eb="2">
      <t>エン</t>
    </rPh>
    <rPh sb="2" eb="4">
      <t>シンシャ</t>
    </rPh>
    <phoneticPr fontId="1"/>
  </si>
  <si>
    <r>
      <rPr>
        <sz val="11"/>
        <rFont val="游ゴシック Medium"/>
        <family val="3"/>
        <charset val="128"/>
      </rPr>
      <t>神山姫余</t>
    </r>
    <rPh sb="0" eb="2">
      <t>カミヤマ</t>
    </rPh>
    <rPh sb="2" eb="4">
      <t>ヒメヨ</t>
    </rPh>
    <phoneticPr fontId="1"/>
  </si>
  <si>
    <r>
      <rPr>
        <sz val="11"/>
        <rFont val="游ゴシック Medium"/>
        <family val="3"/>
        <charset val="128"/>
      </rPr>
      <t>ヤコブの階段</t>
    </r>
    <rPh sb="4" eb="6">
      <t>カイダン</t>
    </rPh>
    <phoneticPr fontId="1"/>
  </si>
  <si>
    <r>
      <rPr>
        <sz val="11"/>
        <rFont val="游ゴシック Medium"/>
        <family val="3"/>
        <charset val="128"/>
      </rPr>
      <t>自費出版</t>
    </r>
    <rPh sb="0" eb="4">
      <t>ジヒシュッパン</t>
    </rPh>
    <phoneticPr fontId="1"/>
  </si>
  <si>
    <r>
      <rPr>
        <sz val="11"/>
        <rFont val="游ゴシック Medium"/>
        <family val="3"/>
        <charset val="128"/>
      </rPr>
      <t>そうぶん社</t>
    </r>
    <rPh sb="4" eb="5">
      <t>シャ</t>
    </rPh>
    <phoneticPr fontId="1"/>
  </si>
  <si>
    <r>
      <rPr>
        <sz val="11"/>
        <rFont val="游ゴシック Medium"/>
        <family val="3"/>
        <charset val="128"/>
      </rPr>
      <t>血のリズム</t>
    </r>
    <rPh sb="0" eb="1">
      <t>チ</t>
    </rPh>
    <phoneticPr fontId="1"/>
  </si>
  <si>
    <r>
      <rPr>
        <sz val="11"/>
        <rFont val="游ゴシック Medium"/>
        <family val="3"/>
        <charset val="128"/>
      </rPr>
      <t>神山姫余</t>
    </r>
    <r>
      <rPr>
        <sz val="11"/>
        <rFont val="Consolas"/>
        <family val="3"/>
      </rPr>
      <t>/</t>
    </r>
    <r>
      <rPr>
        <sz val="11"/>
        <rFont val="游ゴシック Medium"/>
        <family val="3"/>
        <charset val="128"/>
      </rPr>
      <t>富沢赤黄男</t>
    </r>
    <r>
      <rPr>
        <sz val="11"/>
        <rFont val="Consolas"/>
        <family val="3"/>
      </rPr>
      <t>etc.</t>
    </r>
    <rPh sb="0" eb="2">
      <t>カミヤマ</t>
    </rPh>
    <rPh sb="2" eb="4">
      <t>ヒメヨ</t>
    </rPh>
    <rPh sb="5" eb="7">
      <t>トミザワ</t>
    </rPh>
    <rPh sb="7" eb="10">
      <t>カキオ</t>
    </rPh>
    <phoneticPr fontId="1"/>
  </si>
  <si>
    <r>
      <rPr>
        <sz val="11"/>
        <rFont val="游ゴシック Medium"/>
        <family val="3"/>
        <charset val="128"/>
      </rPr>
      <t>未定</t>
    </r>
    <rPh sb="0" eb="2">
      <t>ミテイ</t>
    </rPh>
    <phoneticPr fontId="1"/>
  </si>
  <si>
    <r>
      <rPr>
        <sz val="11"/>
        <rFont val="游ゴシック Medium"/>
        <family val="3"/>
        <charset val="128"/>
      </rPr>
      <t>上野陽一</t>
    </r>
    <rPh sb="0" eb="2">
      <t>ウエノ</t>
    </rPh>
    <rPh sb="2" eb="4">
      <t>ヨウイチ</t>
    </rPh>
    <phoneticPr fontId="1"/>
  </si>
  <si>
    <r>
      <t>Chaos ou Effondrement/</t>
    </r>
    <r>
      <rPr>
        <sz val="11"/>
        <rFont val="游ゴシック Medium"/>
        <family val="3"/>
        <charset val="128"/>
      </rPr>
      <t>混沌あるいは崩壊</t>
    </r>
    <rPh sb="22" eb="24">
      <t>コントン</t>
    </rPh>
    <rPh sb="28" eb="30">
      <t>ホウカイ</t>
    </rPh>
    <phoneticPr fontId="1"/>
  </si>
  <si>
    <r>
      <rPr>
        <sz val="11"/>
        <rFont val="游ゴシック Medium"/>
        <family val="3"/>
        <charset val="128"/>
      </rPr>
      <t>城戸朱理</t>
    </r>
    <rPh sb="0" eb="2">
      <t>シロト</t>
    </rPh>
    <rPh sb="2" eb="4">
      <t>シュリ</t>
    </rPh>
    <phoneticPr fontId="1"/>
  </si>
  <si>
    <r>
      <rPr>
        <sz val="11"/>
        <rFont val="游ゴシック Medium"/>
        <family val="3"/>
        <charset val="128"/>
      </rPr>
      <t>まんぼう</t>
    </r>
    <phoneticPr fontId="1"/>
  </si>
  <si>
    <r>
      <rPr>
        <sz val="11"/>
        <rFont val="游ゴシック Medium"/>
        <family val="3"/>
        <charset val="128"/>
      </rPr>
      <t>私家版</t>
    </r>
    <r>
      <rPr>
        <sz val="11"/>
        <rFont val="Consolas"/>
        <family val="3"/>
      </rPr>
      <t>/</t>
    </r>
    <r>
      <rPr>
        <sz val="11"/>
        <rFont val="游ゴシック Medium"/>
        <family val="3"/>
        <charset val="128"/>
      </rPr>
      <t>限定</t>
    </r>
    <r>
      <rPr>
        <sz val="11"/>
        <rFont val="Consolas"/>
        <family val="3"/>
      </rPr>
      <t>280</t>
    </r>
    <r>
      <rPr>
        <sz val="11"/>
        <rFont val="游ゴシック Medium"/>
        <family val="3"/>
        <charset val="128"/>
      </rPr>
      <t>うち</t>
    </r>
    <r>
      <rPr>
        <sz val="11"/>
        <rFont val="Consolas"/>
        <family val="3"/>
      </rPr>
      <t>143</t>
    </r>
    <rPh sb="0" eb="3">
      <t>シカバン</t>
    </rPh>
    <rPh sb="4" eb="6">
      <t>ゲンテイ</t>
    </rPh>
    <phoneticPr fontId="1"/>
  </si>
  <si>
    <r>
      <rPr>
        <sz val="11"/>
        <rFont val="游ゴシック Medium"/>
        <family val="3"/>
        <charset val="128"/>
      </rPr>
      <t>龍骨舎</t>
    </r>
    <rPh sb="0" eb="2">
      <t>リュウコツ</t>
    </rPh>
    <rPh sb="2" eb="3">
      <t>シャ</t>
    </rPh>
    <phoneticPr fontId="1"/>
  </si>
  <si>
    <r>
      <rPr>
        <sz val="11"/>
        <rFont val="游ゴシック Medium"/>
        <family val="3"/>
        <charset val="128"/>
      </rPr>
      <t>井上洋介</t>
    </r>
    <rPh sb="0" eb="2">
      <t>イノウエ</t>
    </rPh>
    <rPh sb="2" eb="4">
      <t>ヨウスケ</t>
    </rPh>
    <phoneticPr fontId="1"/>
  </si>
  <si>
    <r>
      <rPr>
        <sz val="11"/>
        <rFont val="游ゴシック Medium"/>
        <family val="3"/>
        <charset val="128"/>
      </rPr>
      <t>デッサン</t>
    </r>
    <phoneticPr fontId="1"/>
  </si>
  <si>
    <r>
      <rPr>
        <sz val="11"/>
        <rFont val="游ゴシック Medium"/>
        <family val="3"/>
        <charset val="128"/>
      </rPr>
      <t>メリーさんの絵本</t>
    </r>
    <r>
      <rPr>
        <sz val="11"/>
        <rFont val="Consolas"/>
        <family val="3"/>
      </rPr>
      <t>No.47</t>
    </r>
    <rPh sb="6" eb="8">
      <t>エホン</t>
    </rPh>
    <phoneticPr fontId="1"/>
  </si>
  <si>
    <r>
      <rPr>
        <sz val="11"/>
        <rFont val="游ゴシック Medium"/>
        <family val="3"/>
        <charset val="128"/>
      </rPr>
      <t>本人友人から</t>
    </r>
    <rPh sb="0" eb="2">
      <t>ホンニン</t>
    </rPh>
    <rPh sb="2" eb="4">
      <t>ユウジン</t>
    </rPh>
    <phoneticPr fontId="1"/>
  </si>
  <si>
    <r>
      <rPr>
        <sz val="11"/>
        <rFont val="游ゴシック Medium"/>
        <family val="3"/>
        <charset val="128"/>
      </rPr>
      <t>デッサン</t>
    </r>
    <r>
      <rPr>
        <sz val="11"/>
        <rFont val="Consolas"/>
        <family val="3"/>
      </rPr>
      <t xml:space="preserve"> 1994</t>
    </r>
    <phoneticPr fontId="1"/>
  </si>
  <si>
    <r>
      <rPr>
        <sz val="11"/>
        <rFont val="游ゴシック Medium"/>
        <family val="3"/>
        <charset val="128"/>
      </rPr>
      <t>蠟デッサン</t>
    </r>
    <phoneticPr fontId="1"/>
  </si>
  <si>
    <r>
      <rPr>
        <sz val="11"/>
        <rFont val="游ゴシック Medium"/>
        <family val="3"/>
        <charset val="128"/>
      </rPr>
      <t>サドの卵</t>
    </r>
    <r>
      <rPr>
        <sz val="11"/>
        <rFont val="Consolas"/>
        <family val="3"/>
      </rPr>
      <t>/</t>
    </r>
    <r>
      <rPr>
        <sz val="11"/>
        <rFont val="游ゴシック Medium"/>
        <family val="3"/>
        <charset val="128"/>
      </rPr>
      <t>井上洋介漫画集</t>
    </r>
    <rPh sb="3" eb="4">
      <t>タマゴ</t>
    </rPh>
    <rPh sb="5" eb="7">
      <t>イノウエ</t>
    </rPh>
    <rPh sb="7" eb="9">
      <t>ヨウスケ</t>
    </rPh>
    <rPh sb="9" eb="11">
      <t>マンガ</t>
    </rPh>
    <rPh sb="11" eb="12">
      <t>シュウ</t>
    </rPh>
    <phoneticPr fontId="1"/>
  </si>
  <si>
    <r>
      <rPr>
        <sz val="11"/>
        <rFont val="游ゴシック Medium"/>
        <family val="3"/>
        <charset val="128"/>
      </rPr>
      <t>山本理佐</t>
    </r>
    <rPh sb="0" eb="2">
      <t>ヤマモト</t>
    </rPh>
    <rPh sb="2" eb="4">
      <t>リサ</t>
    </rPh>
    <phoneticPr fontId="1"/>
  </si>
  <si>
    <r>
      <rPr>
        <sz val="11"/>
        <rFont val="游ゴシック Medium"/>
        <family val="3"/>
        <charset val="128"/>
      </rPr>
      <t>セロハン少女</t>
    </r>
    <rPh sb="4" eb="6">
      <t>ショウジョ</t>
    </rPh>
    <phoneticPr fontId="1"/>
  </si>
  <si>
    <r>
      <rPr>
        <sz val="11"/>
        <rFont val="游ゴシック Medium"/>
        <family val="3"/>
        <charset val="128"/>
      </rPr>
      <t>緒方南山</t>
    </r>
    <rPh sb="0" eb="2">
      <t>オガタ</t>
    </rPh>
    <rPh sb="2" eb="4">
      <t>ナンザン</t>
    </rPh>
    <phoneticPr fontId="1"/>
  </si>
  <si>
    <r>
      <rPr>
        <sz val="11"/>
        <rFont val="游ゴシック Medium"/>
        <family val="3"/>
        <charset val="128"/>
      </rPr>
      <t>南蛮詩</t>
    </r>
    <rPh sb="0" eb="2">
      <t>ナンバン</t>
    </rPh>
    <rPh sb="2" eb="3">
      <t>シ</t>
    </rPh>
    <phoneticPr fontId="1"/>
  </si>
  <si>
    <r>
      <rPr>
        <sz val="11"/>
        <rFont val="游ゴシック Medium"/>
        <family val="3"/>
        <charset val="128"/>
      </rPr>
      <t>緒方勇雄</t>
    </r>
    <rPh sb="0" eb="2">
      <t>オガタ</t>
    </rPh>
    <rPh sb="2" eb="4">
      <t>イサオ</t>
    </rPh>
    <phoneticPr fontId="1"/>
  </si>
  <si>
    <r>
      <rPr>
        <sz val="11"/>
        <rFont val="游ゴシック Medium"/>
        <family val="3"/>
        <charset val="128"/>
      </rPr>
      <t>ダンスワーク</t>
    </r>
    <phoneticPr fontId="1"/>
  </si>
  <si>
    <r>
      <rPr>
        <sz val="11"/>
        <rFont val="游ゴシック Medium"/>
        <family val="3"/>
        <charset val="128"/>
      </rPr>
      <t>宮田徹也</t>
    </r>
    <r>
      <rPr>
        <sz val="11"/>
        <rFont val="Consolas"/>
        <family val="3"/>
      </rPr>
      <t>/</t>
    </r>
    <r>
      <rPr>
        <sz val="11"/>
        <rFont val="游ゴシック Medium"/>
        <family val="3"/>
        <charset val="128"/>
      </rPr>
      <t>長谷川六</t>
    </r>
    <rPh sb="0" eb="2">
      <t>ミヤタ</t>
    </rPh>
    <rPh sb="2" eb="4">
      <t>テツヤ</t>
    </rPh>
    <rPh sb="5" eb="8">
      <t>ハセガワ</t>
    </rPh>
    <rPh sb="8" eb="9">
      <t>ロク</t>
    </rPh>
    <phoneticPr fontId="1"/>
  </si>
  <si>
    <r>
      <t>2004</t>
    </r>
    <r>
      <rPr>
        <sz val="11"/>
        <rFont val="游ゴシック Medium"/>
        <family val="3"/>
        <charset val="128"/>
      </rPr>
      <t>年ダンスの総括</t>
    </r>
    <rPh sb="4" eb="5">
      <t>ネン</t>
    </rPh>
    <rPh sb="9" eb="11">
      <t>ソウカツ</t>
    </rPh>
    <phoneticPr fontId="1"/>
  </si>
  <si>
    <r>
      <t>2005</t>
    </r>
    <r>
      <rPr>
        <sz val="11"/>
        <rFont val="游ゴシック Medium"/>
        <family val="3"/>
        <charset val="128"/>
      </rPr>
      <t>年春号</t>
    </r>
    <rPh sb="4" eb="5">
      <t>ネン</t>
    </rPh>
    <rPh sb="5" eb="6">
      <t>ハル</t>
    </rPh>
    <rPh sb="6" eb="7">
      <t>ゴウ</t>
    </rPh>
    <phoneticPr fontId="1"/>
  </si>
  <si>
    <r>
      <rPr>
        <sz val="11"/>
        <rFont val="游ゴシック Medium"/>
        <family val="3"/>
        <charset val="128"/>
      </rPr>
      <t>ダンスワーク舎</t>
    </r>
    <rPh sb="6" eb="7">
      <t>シャ</t>
    </rPh>
    <phoneticPr fontId="1"/>
  </si>
  <si>
    <r>
      <rPr>
        <sz val="11"/>
        <rFont val="游ゴシック Medium"/>
        <family val="3"/>
        <charset val="128"/>
      </rPr>
      <t>まぐま</t>
    </r>
    <r>
      <rPr>
        <sz val="11"/>
        <rFont val="Consolas"/>
        <family val="3"/>
      </rPr>
      <t xml:space="preserve"> vol.13</t>
    </r>
    <phoneticPr fontId="1"/>
  </si>
  <si>
    <r>
      <rPr>
        <sz val="11"/>
        <rFont val="游ゴシック Medium"/>
        <family val="3"/>
        <charset val="128"/>
      </rPr>
      <t>音楽のジオグラフィ</t>
    </r>
    <rPh sb="0" eb="2">
      <t>オンガク</t>
    </rPh>
    <phoneticPr fontId="1"/>
  </si>
  <si>
    <r>
      <rPr>
        <sz val="11"/>
        <rFont val="游ゴシック Medium"/>
        <family val="3"/>
        <charset val="128"/>
      </rPr>
      <t>サブカル・ポップマガジン</t>
    </r>
    <phoneticPr fontId="1"/>
  </si>
  <si>
    <r>
      <t>STUDIO ZERO/</t>
    </r>
    <r>
      <rPr>
        <sz val="11"/>
        <rFont val="游ゴシック Medium"/>
        <family val="3"/>
        <charset val="128"/>
      </rPr>
      <t>蒼天社</t>
    </r>
    <r>
      <rPr>
        <sz val="11"/>
        <rFont val="Consolas"/>
        <family val="3"/>
      </rPr>
      <t>/</t>
    </r>
    <r>
      <rPr>
        <sz val="11"/>
        <rFont val="游ゴシック Medium"/>
        <family val="3"/>
        <charset val="128"/>
      </rPr>
      <t>文藝書房</t>
    </r>
    <rPh sb="12" eb="15">
      <t>ソウテンシャ</t>
    </rPh>
    <rPh sb="16" eb="18">
      <t>ブンゲイ</t>
    </rPh>
    <rPh sb="18" eb="20">
      <t>ショボウ</t>
    </rPh>
    <phoneticPr fontId="1"/>
  </si>
  <si>
    <r>
      <rPr>
        <sz val="11"/>
        <rFont val="游ゴシック Medium"/>
        <family val="3"/>
        <charset val="128"/>
      </rPr>
      <t>まぐま</t>
    </r>
    <r>
      <rPr>
        <sz val="11"/>
        <rFont val="Consolas"/>
        <family val="3"/>
      </rPr>
      <t xml:space="preserve"> vol.12</t>
    </r>
    <phoneticPr fontId="1"/>
  </si>
  <si>
    <r>
      <rPr>
        <sz val="11"/>
        <rFont val="游ゴシック Medium"/>
        <family val="3"/>
        <charset val="128"/>
      </rPr>
      <t>マンガのディスクール</t>
    </r>
    <phoneticPr fontId="1"/>
  </si>
  <si>
    <r>
      <t>21</t>
    </r>
    <r>
      <rPr>
        <sz val="11"/>
        <rFont val="游ゴシック Medium"/>
        <family val="3"/>
        <charset val="128"/>
      </rPr>
      <t>世紀のアナログ・マガジン</t>
    </r>
    <rPh sb="2" eb="4">
      <t>セイキ</t>
    </rPh>
    <phoneticPr fontId="1"/>
  </si>
  <si>
    <r>
      <t>STUDIO ZERO/</t>
    </r>
    <r>
      <rPr>
        <sz val="11"/>
        <rFont val="游ゴシック Medium"/>
        <family val="3"/>
        <charset val="128"/>
      </rPr>
      <t>蒼天社</t>
    </r>
    <rPh sb="12" eb="15">
      <t>ソウテンシャ</t>
    </rPh>
    <phoneticPr fontId="1"/>
  </si>
  <si>
    <r>
      <rPr>
        <sz val="11"/>
        <rFont val="游ゴシック Medium"/>
        <family val="3"/>
        <charset val="128"/>
      </rPr>
      <t>小山昌宏</t>
    </r>
    <rPh sb="0" eb="2">
      <t>コヤマ</t>
    </rPh>
    <rPh sb="2" eb="4">
      <t>マサヒロ</t>
    </rPh>
    <phoneticPr fontId="1"/>
  </si>
  <si>
    <r>
      <rPr>
        <sz val="8"/>
        <rFont val="游ゴシック Medium"/>
        <family val="3"/>
        <charset val="128"/>
      </rPr>
      <t>マイ・ホビー・コレクション</t>
    </r>
    <r>
      <rPr>
        <sz val="8"/>
        <rFont val="Consolas"/>
        <family val="3"/>
      </rPr>
      <t xml:space="preserve"> </t>
    </r>
    <r>
      <rPr>
        <sz val="11"/>
        <rFont val="游ゴシック Medium"/>
        <family val="3"/>
        <charset val="128"/>
      </rPr>
      <t>メンコ・面子・めんこ</t>
    </r>
    <rPh sb="18" eb="20">
      <t>メンコ</t>
    </rPh>
    <phoneticPr fontId="1"/>
  </si>
  <si>
    <r>
      <rPr>
        <sz val="11"/>
        <rFont val="游ゴシック Medium"/>
        <family val="3"/>
        <charset val="128"/>
      </rPr>
      <t>まぐま</t>
    </r>
    <r>
      <rPr>
        <sz val="11"/>
        <rFont val="Consolas"/>
        <family val="3"/>
      </rPr>
      <t>PB</t>
    </r>
    <phoneticPr fontId="1"/>
  </si>
  <si>
    <r>
      <rPr>
        <sz val="11"/>
        <rFont val="游ゴシック Medium"/>
        <family val="3"/>
        <charset val="128"/>
      </rPr>
      <t>文藝書房</t>
    </r>
    <r>
      <rPr>
        <sz val="11"/>
        <rFont val="Consolas"/>
        <family val="3"/>
      </rPr>
      <t>/</t>
    </r>
    <r>
      <rPr>
        <sz val="11"/>
        <rFont val="游ゴシック Medium"/>
        <family val="3"/>
        <charset val="128"/>
      </rPr>
      <t>蒼天社</t>
    </r>
    <rPh sb="0" eb="2">
      <t>ブンゲイ</t>
    </rPh>
    <rPh sb="2" eb="4">
      <t>ショボウ</t>
    </rPh>
    <rPh sb="5" eb="8">
      <t>ソウテンシャ</t>
    </rPh>
    <phoneticPr fontId="1"/>
  </si>
  <si>
    <r>
      <rPr>
        <sz val="11"/>
        <rFont val="游ゴシック Medium"/>
        <family val="3"/>
        <charset val="128"/>
      </rPr>
      <t>中島</t>
    </r>
    <r>
      <rPr>
        <sz val="11"/>
        <rFont val="Consolas"/>
        <family val="3"/>
      </rPr>
      <t xml:space="preserve"> </t>
    </r>
    <r>
      <rPr>
        <sz val="11"/>
        <rFont val="游ゴシック Medium"/>
        <family val="3"/>
        <charset val="128"/>
      </rPr>
      <t>けいきょう</t>
    </r>
    <rPh sb="0" eb="2">
      <t>ナカジマ</t>
    </rPh>
    <phoneticPr fontId="1"/>
  </si>
  <si>
    <r>
      <rPr>
        <sz val="11"/>
        <rFont val="游ゴシック Medium"/>
        <family val="3"/>
        <charset val="128"/>
      </rPr>
      <t>詩集</t>
    </r>
    <r>
      <rPr>
        <sz val="11"/>
        <rFont val="Consolas"/>
        <family val="3"/>
      </rPr>
      <t xml:space="preserve"> </t>
    </r>
    <r>
      <rPr>
        <sz val="11"/>
        <rFont val="游ゴシック Medium"/>
        <family val="3"/>
        <charset val="128"/>
      </rPr>
      <t>嗚呼</t>
    </r>
    <r>
      <rPr>
        <sz val="11"/>
        <rFont val="Consolas"/>
        <family val="3"/>
      </rPr>
      <t xml:space="preserve"> </t>
    </r>
    <r>
      <rPr>
        <sz val="11"/>
        <rFont val="游ゴシック Medium"/>
        <family val="3"/>
        <charset val="128"/>
      </rPr>
      <t>無蒸し虫</t>
    </r>
    <rPh sb="0" eb="2">
      <t>シシュウ</t>
    </rPh>
    <rPh sb="3" eb="5">
      <t>アア</t>
    </rPh>
    <rPh sb="6" eb="7">
      <t>ム</t>
    </rPh>
    <rPh sb="7" eb="8">
      <t>ム</t>
    </rPh>
    <rPh sb="9" eb="10">
      <t>ムシ</t>
    </rPh>
    <phoneticPr fontId="1"/>
  </si>
  <si>
    <r>
      <rPr>
        <sz val="11"/>
        <rFont val="游ゴシック Medium"/>
        <family val="3"/>
        <charset val="128"/>
      </rPr>
      <t>朱の旗文庫</t>
    </r>
    <rPh sb="0" eb="1">
      <t>アケ</t>
    </rPh>
    <rPh sb="2" eb="3">
      <t>ハタ</t>
    </rPh>
    <rPh sb="3" eb="5">
      <t>ブンコ</t>
    </rPh>
    <phoneticPr fontId="1"/>
  </si>
  <si>
    <r>
      <rPr>
        <sz val="11"/>
        <rFont val="游ゴシック Medium"/>
        <family val="3"/>
        <charset val="128"/>
      </rPr>
      <t>青娥書房</t>
    </r>
    <rPh sb="0" eb="2">
      <t>セイガ</t>
    </rPh>
    <rPh sb="2" eb="4">
      <t>ショボウ</t>
    </rPh>
    <phoneticPr fontId="1"/>
  </si>
  <si>
    <r>
      <rPr>
        <sz val="11"/>
        <rFont val="游ゴシック Medium"/>
        <family val="3"/>
        <charset val="128"/>
      </rPr>
      <t>本人より贈与</t>
    </r>
    <rPh sb="0" eb="2">
      <t>ホンニン</t>
    </rPh>
    <rPh sb="4" eb="6">
      <t>ゾウヨ</t>
    </rPh>
    <phoneticPr fontId="1"/>
  </si>
  <si>
    <r>
      <rPr>
        <sz val="11"/>
        <rFont val="游ゴシック Medium"/>
        <family val="3"/>
        <charset val="128"/>
      </rPr>
      <t>野間明子</t>
    </r>
    <rPh sb="0" eb="2">
      <t>ノマ</t>
    </rPh>
    <rPh sb="2" eb="4">
      <t>ハルコ</t>
    </rPh>
    <phoneticPr fontId="1"/>
  </si>
  <si>
    <r>
      <rPr>
        <sz val="11"/>
        <rFont val="游ゴシック Medium"/>
        <family val="3"/>
        <charset val="128"/>
      </rPr>
      <t>蒙昧集</t>
    </r>
    <rPh sb="0" eb="2">
      <t>モウマイ</t>
    </rPh>
    <rPh sb="2" eb="3">
      <t>シュウ</t>
    </rPh>
    <phoneticPr fontId="1"/>
  </si>
  <si>
    <r>
      <rPr>
        <sz val="11"/>
        <rFont val="游ゴシック Medium"/>
        <family val="3"/>
        <charset val="128"/>
      </rPr>
      <t>七月堂</t>
    </r>
    <rPh sb="0" eb="2">
      <t>シチガツ</t>
    </rPh>
    <rPh sb="2" eb="3">
      <t>ドウ</t>
    </rPh>
    <phoneticPr fontId="1"/>
  </si>
  <si>
    <r>
      <rPr>
        <sz val="11"/>
        <rFont val="游ゴシック Medium"/>
        <family val="3"/>
        <charset val="128"/>
      </rPr>
      <t>梅村清弘</t>
    </r>
    <rPh sb="0" eb="2">
      <t>ウメムラ</t>
    </rPh>
    <rPh sb="2" eb="4">
      <t>キヨヒロ</t>
    </rPh>
    <phoneticPr fontId="1"/>
  </si>
  <si>
    <r>
      <rPr>
        <sz val="11"/>
        <rFont val="游ゴシック Medium"/>
        <family val="3"/>
        <charset val="128"/>
      </rPr>
      <t>真剣味の人生</t>
    </r>
    <rPh sb="0" eb="3">
      <t>シンケンミ</t>
    </rPh>
    <rPh sb="4" eb="6">
      <t>ジンセイ</t>
    </rPh>
    <phoneticPr fontId="1"/>
  </si>
  <si>
    <r>
      <rPr>
        <sz val="11"/>
        <rFont val="游ゴシック Medium"/>
        <family val="3"/>
        <charset val="128"/>
      </rPr>
      <t>山興印刷株式会社</t>
    </r>
    <rPh sb="0" eb="2">
      <t>サンコウ</t>
    </rPh>
    <rPh sb="2" eb="4">
      <t>インサツ</t>
    </rPh>
    <rPh sb="4" eb="8">
      <t>カブシキガイシャ</t>
    </rPh>
    <phoneticPr fontId="1"/>
  </si>
  <si>
    <r>
      <rPr>
        <sz val="11"/>
        <rFont val="游ゴシック Medium"/>
        <family val="3"/>
        <charset val="128"/>
      </rPr>
      <t>服部</t>
    </r>
    <r>
      <rPr>
        <sz val="11"/>
        <rFont val="Consolas"/>
        <family val="3"/>
      </rPr>
      <t xml:space="preserve"> </t>
    </r>
    <r>
      <rPr>
        <sz val="11"/>
        <rFont val="游ゴシック Medium"/>
        <family val="3"/>
        <charset val="128"/>
      </rPr>
      <t>隆幸</t>
    </r>
    <rPh sb="0" eb="2">
      <t>ハットリ</t>
    </rPh>
    <rPh sb="3" eb="5">
      <t>タカユキ</t>
    </rPh>
    <phoneticPr fontId="1"/>
  </si>
  <si>
    <r>
      <rPr>
        <sz val="11"/>
        <rFont val="游ゴシック Medium"/>
        <family val="3"/>
        <charset val="128"/>
      </rPr>
      <t>編集</t>
    </r>
    <r>
      <rPr>
        <sz val="11"/>
        <rFont val="Consolas"/>
        <family val="3"/>
      </rPr>
      <t>/</t>
    </r>
    <r>
      <rPr>
        <sz val="11"/>
        <rFont val="游ゴシック Medium"/>
        <family val="3"/>
        <charset val="128"/>
      </rPr>
      <t>発行</t>
    </r>
    <rPh sb="0" eb="2">
      <t>ヘンシュウ</t>
    </rPh>
    <rPh sb="3" eb="5">
      <t>ハッコウ</t>
    </rPh>
    <phoneticPr fontId="1"/>
  </si>
  <si>
    <r>
      <rPr>
        <sz val="11"/>
        <rFont val="游ゴシック Medium"/>
        <family val="3"/>
        <charset val="128"/>
      </rPr>
      <t>詩文学</t>
    </r>
    <r>
      <rPr>
        <sz val="11"/>
        <rFont val="Consolas"/>
        <family val="3"/>
      </rPr>
      <t xml:space="preserve"> Vol.185 2016.7</t>
    </r>
    <phoneticPr fontId="1"/>
  </si>
  <si>
    <r>
      <rPr>
        <sz val="11"/>
        <rFont val="游ゴシック Medium"/>
        <family val="3"/>
        <charset val="128"/>
      </rPr>
      <t>詩文学社</t>
    </r>
    <rPh sb="0" eb="1">
      <t>シ</t>
    </rPh>
    <rPh sb="1" eb="3">
      <t>ブンガク</t>
    </rPh>
    <rPh sb="3" eb="4">
      <t>シャ</t>
    </rPh>
    <phoneticPr fontId="1"/>
  </si>
  <si>
    <r>
      <rPr>
        <sz val="11"/>
        <rFont val="游ゴシック Medium"/>
        <family val="3"/>
        <charset val="128"/>
      </rPr>
      <t>中原</t>
    </r>
    <r>
      <rPr>
        <sz val="11"/>
        <rFont val="Consolas"/>
        <family val="3"/>
      </rPr>
      <t xml:space="preserve"> </t>
    </r>
    <r>
      <rPr>
        <sz val="11"/>
        <rFont val="游ゴシック Medium"/>
        <family val="3"/>
        <charset val="128"/>
      </rPr>
      <t>岩夫</t>
    </r>
    <rPh sb="0" eb="2">
      <t>ナカハラ</t>
    </rPh>
    <rPh sb="3" eb="5">
      <t>イワオ</t>
    </rPh>
    <phoneticPr fontId="1"/>
  </si>
  <si>
    <r>
      <rPr>
        <sz val="11"/>
        <rFont val="游ゴシック Medium"/>
        <family val="3"/>
        <charset val="128"/>
      </rPr>
      <t>軽便詩誌</t>
    </r>
    <r>
      <rPr>
        <sz val="11"/>
        <rFont val="Consolas"/>
        <family val="3"/>
      </rPr>
      <t xml:space="preserve"> </t>
    </r>
    <r>
      <rPr>
        <sz val="11"/>
        <rFont val="游ゴシック Medium"/>
        <family val="3"/>
        <charset val="128"/>
      </rPr>
      <t>まるまっち</t>
    </r>
    <r>
      <rPr>
        <sz val="11"/>
        <rFont val="Consolas"/>
        <family val="3"/>
      </rPr>
      <t xml:space="preserve"> marmacci </t>
    </r>
    <r>
      <rPr>
        <sz val="11"/>
        <rFont val="游ゴシック Medium"/>
        <family val="3"/>
        <charset val="128"/>
      </rPr>
      <t>創刊準備号</t>
    </r>
    <rPh sb="0" eb="2">
      <t>ケイビン</t>
    </rPh>
    <rPh sb="2" eb="3">
      <t>シ</t>
    </rPh>
    <rPh sb="3" eb="4">
      <t>シ</t>
    </rPh>
    <rPh sb="20" eb="25">
      <t>ソウカンジュンビゴウ</t>
    </rPh>
    <phoneticPr fontId="1"/>
  </si>
  <si>
    <r>
      <t>Various/</t>
    </r>
    <r>
      <rPr>
        <sz val="11"/>
        <rFont val="游ゴシック Medium"/>
        <family val="3"/>
        <charset val="128"/>
      </rPr>
      <t>中原</t>
    </r>
    <r>
      <rPr>
        <sz val="11"/>
        <rFont val="Consolas"/>
        <family val="3"/>
      </rPr>
      <t xml:space="preserve"> </t>
    </r>
    <r>
      <rPr>
        <sz val="11"/>
        <rFont val="游ゴシック Medium"/>
        <family val="3"/>
        <charset val="128"/>
      </rPr>
      <t>岩夫</t>
    </r>
    <rPh sb="8" eb="10">
      <t>ナカハラ</t>
    </rPh>
    <rPh sb="11" eb="13">
      <t>イワオ</t>
    </rPh>
    <phoneticPr fontId="1"/>
  </si>
  <si>
    <r>
      <rPr>
        <sz val="11"/>
        <rFont val="游ゴシック Medium"/>
        <family val="3"/>
        <charset val="128"/>
      </rPr>
      <t>へり</t>
    </r>
    <r>
      <rPr>
        <sz val="11"/>
        <rFont val="Consolas"/>
        <family val="3"/>
      </rPr>
      <t xml:space="preserve"> </t>
    </r>
    <r>
      <rPr>
        <sz val="11"/>
        <rFont val="游ゴシック Medium"/>
        <family val="3"/>
        <charset val="128"/>
      </rPr>
      <t>九号</t>
    </r>
    <rPh sb="3" eb="4">
      <t>9</t>
    </rPh>
    <rPh sb="4" eb="5">
      <t>ゴウ</t>
    </rPh>
    <phoneticPr fontId="1"/>
  </si>
  <si>
    <r>
      <rPr>
        <sz val="11"/>
        <rFont val="游ゴシック Medium"/>
        <family val="3"/>
        <charset val="128"/>
      </rPr>
      <t>へり組</t>
    </r>
    <rPh sb="2" eb="3">
      <t>クミ</t>
    </rPh>
    <phoneticPr fontId="1"/>
  </si>
  <si>
    <r>
      <rPr>
        <strike/>
        <sz val="11"/>
        <rFont val="游ゴシック Medium"/>
        <family val="3"/>
        <charset val="128"/>
      </rPr>
      <t>株式会社ドリームステージエンターテインメント</t>
    </r>
    <rPh sb="0" eb="4">
      <t>カブシキガイシャ</t>
    </rPh>
    <phoneticPr fontId="1"/>
  </si>
  <si>
    <r>
      <rPr>
        <strike/>
        <sz val="11"/>
        <rFont val="游ゴシック Medium"/>
        <family val="3"/>
        <charset val="128"/>
      </rPr>
      <t>ハッスル</t>
    </r>
    <r>
      <rPr>
        <strike/>
        <sz val="11"/>
        <rFont val="Consolas"/>
        <family val="3"/>
      </rPr>
      <t xml:space="preserve"> </t>
    </r>
    <r>
      <rPr>
        <strike/>
        <sz val="11"/>
        <rFont val="游ゴシック Medium"/>
        <family val="3"/>
        <charset val="128"/>
      </rPr>
      <t>ファイティング・オペラ</t>
    </r>
    <phoneticPr fontId="1"/>
  </si>
  <si>
    <r>
      <rPr>
        <sz val="11"/>
        <rFont val="游ゴシック Medium"/>
        <family val="3"/>
        <charset val="128"/>
      </rPr>
      <t>西池袋第一保育園卒園生</t>
    </r>
    <rPh sb="0" eb="3">
      <t>ニシイケブクロ</t>
    </rPh>
    <rPh sb="3" eb="5">
      <t>ダイイチ</t>
    </rPh>
    <rPh sb="5" eb="8">
      <t>ホイクエン</t>
    </rPh>
    <rPh sb="8" eb="11">
      <t>ソツエンセイ</t>
    </rPh>
    <phoneticPr fontId="1"/>
  </si>
  <si>
    <r>
      <rPr>
        <sz val="11"/>
        <rFont val="游ゴシック Medium"/>
        <family val="3"/>
        <charset val="128"/>
      </rPr>
      <t>みんなともだち</t>
    </r>
    <phoneticPr fontId="1"/>
  </si>
  <si>
    <r>
      <rPr>
        <sz val="11"/>
        <rFont val="游ゴシック Medium"/>
        <family val="3"/>
        <charset val="128"/>
      </rPr>
      <t>西池袋第一保育園</t>
    </r>
    <rPh sb="0" eb="3">
      <t>ニシイケブクロ</t>
    </rPh>
    <rPh sb="3" eb="5">
      <t>ダイイチ</t>
    </rPh>
    <rPh sb="5" eb="8">
      <t>ホイクエン</t>
    </rPh>
    <phoneticPr fontId="1"/>
  </si>
  <si>
    <r>
      <rPr>
        <strike/>
        <sz val="11"/>
        <rFont val="游ゴシック Medium"/>
        <family val="3"/>
        <charset val="128"/>
      </rPr>
      <t>野宿者･人権資料</t>
    </r>
    <r>
      <rPr>
        <strike/>
        <sz val="11"/>
        <rFont val="Consolas"/>
        <family val="3"/>
      </rPr>
      <t>Center</t>
    </r>
    <rPh sb="0" eb="2">
      <t>ノジュク</t>
    </rPh>
    <rPh sb="2" eb="3">
      <t>シャ</t>
    </rPh>
    <rPh sb="4" eb="6">
      <t>ジンケン</t>
    </rPh>
    <rPh sb="6" eb="8">
      <t>シリョウ</t>
    </rPh>
    <rPh sb="8" eb="14">
      <t>センター</t>
    </rPh>
    <phoneticPr fontId="1"/>
  </si>
  <si>
    <r>
      <rPr>
        <strike/>
        <sz val="11"/>
        <rFont val="游ゴシック Medium"/>
        <family val="3"/>
        <charset val="128"/>
      </rPr>
      <t>センターニュース</t>
    </r>
    <r>
      <rPr>
        <strike/>
        <sz val="11"/>
        <rFont val="Consolas"/>
        <family val="3"/>
      </rPr>
      <t>/</t>
    </r>
    <r>
      <rPr>
        <strike/>
        <sz val="11"/>
        <rFont val="游ゴシック Medium"/>
        <family val="3"/>
        <charset val="128"/>
      </rPr>
      <t>創刊号</t>
    </r>
    <r>
      <rPr>
        <strike/>
        <sz val="11"/>
        <rFont val="Consolas"/>
        <family val="3"/>
      </rPr>
      <t>/1998</t>
    </r>
    <r>
      <rPr>
        <strike/>
        <sz val="11"/>
        <rFont val="游ゴシック Medium"/>
        <family val="3"/>
        <charset val="128"/>
      </rPr>
      <t>夏</t>
    </r>
    <r>
      <rPr>
        <strike/>
        <sz val="11"/>
        <rFont val="Consolas"/>
        <family val="3"/>
      </rPr>
      <t>/</t>
    </r>
    <r>
      <rPr>
        <strike/>
        <sz val="11"/>
        <rFont val="游ゴシック Medium"/>
        <family val="3"/>
        <charset val="128"/>
      </rPr>
      <t>開設記念特集</t>
    </r>
    <r>
      <rPr>
        <strike/>
        <sz val="11"/>
        <rFont val="Consolas"/>
        <family val="3"/>
      </rPr>
      <t>:</t>
    </r>
    <r>
      <rPr>
        <strike/>
        <sz val="11"/>
        <rFont val="游ゴシック Medium"/>
        <family val="3"/>
        <charset val="128"/>
      </rPr>
      <t>都内全域ホームレス聞き取り調査報告</t>
    </r>
    <rPh sb="9" eb="12">
      <t>ソウカンゴウ</t>
    </rPh>
    <rPh sb="17" eb="18">
      <t>ナツ</t>
    </rPh>
    <rPh sb="19" eb="21">
      <t>カイセツ</t>
    </rPh>
    <rPh sb="21" eb="23">
      <t>キネン</t>
    </rPh>
    <rPh sb="23" eb="25">
      <t>トクシュウ</t>
    </rPh>
    <rPh sb="26" eb="28">
      <t>トナイ</t>
    </rPh>
    <rPh sb="28" eb="30">
      <t>ゼンイキ</t>
    </rPh>
    <rPh sb="35" eb="38">
      <t>キキト</t>
    </rPh>
    <rPh sb="39" eb="41">
      <t>チョウサ</t>
    </rPh>
    <rPh sb="41" eb="43">
      <t>ホウコク</t>
    </rPh>
    <phoneticPr fontId="1"/>
  </si>
  <si>
    <r>
      <rPr>
        <strike/>
        <sz val="11"/>
        <rFont val="游ゴシック Medium"/>
        <family val="3"/>
        <charset val="128"/>
      </rPr>
      <t>山谷を支援する有志の会</t>
    </r>
    <rPh sb="0" eb="2">
      <t>サンヤ</t>
    </rPh>
    <rPh sb="3" eb="5">
      <t>シエン</t>
    </rPh>
    <rPh sb="7" eb="9">
      <t>ユウシ</t>
    </rPh>
    <rPh sb="10" eb="11">
      <t>カイ</t>
    </rPh>
    <phoneticPr fontId="1"/>
  </si>
  <si>
    <r>
      <rPr>
        <strike/>
        <sz val="11"/>
        <rFont val="游ゴシック Medium"/>
        <family val="3"/>
        <charset val="128"/>
      </rPr>
      <t>反撃への葬列</t>
    </r>
    <r>
      <rPr>
        <strike/>
        <sz val="11"/>
        <rFont val="Consolas"/>
        <family val="3"/>
      </rPr>
      <t>/</t>
    </r>
    <r>
      <rPr>
        <strike/>
        <sz val="11"/>
        <rFont val="游ゴシック Medium"/>
        <family val="3"/>
        <charset val="128"/>
      </rPr>
      <t>佐藤満夫追悼集</t>
    </r>
    <r>
      <rPr>
        <strike/>
        <sz val="11"/>
        <rFont val="Consolas"/>
        <family val="3"/>
      </rPr>
      <t>/</t>
    </r>
    <r>
      <rPr>
        <strike/>
        <sz val="11"/>
        <rFont val="游ゴシック Medium"/>
        <family val="3"/>
        <charset val="128"/>
      </rPr>
      <t>復刻</t>
    </r>
    <rPh sb="0" eb="2">
      <t>ハンゲキ</t>
    </rPh>
    <rPh sb="4" eb="6">
      <t>ソウレツ</t>
    </rPh>
    <rPh sb="7" eb="9">
      <t>サトウ</t>
    </rPh>
    <rPh sb="9" eb="11">
      <t>ミツオ</t>
    </rPh>
    <rPh sb="11" eb="13">
      <t>ツイトウ</t>
    </rPh>
    <rPh sb="13" eb="14">
      <t>シュウ</t>
    </rPh>
    <rPh sb="15" eb="17">
      <t>フッコク</t>
    </rPh>
    <phoneticPr fontId="1"/>
  </si>
  <si>
    <r>
      <rPr>
        <strike/>
        <sz val="11"/>
        <rFont val="游ゴシック Medium"/>
        <family val="3"/>
        <charset val="128"/>
      </rPr>
      <t>山谷を支援する有志の会</t>
    </r>
    <r>
      <rPr>
        <strike/>
        <sz val="11"/>
        <rFont val="Consolas"/>
        <family val="3"/>
      </rPr>
      <t>:</t>
    </r>
    <r>
      <rPr>
        <strike/>
        <sz val="11"/>
        <rFont val="游ゴシック Medium"/>
        <family val="3"/>
        <charset val="128"/>
      </rPr>
      <t>編</t>
    </r>
    <rPh sb="0" eb="2">
      <t>サンヤ</t>
    </rPh>
    <rPh sb="3" eb="5">
      <t>シエン</t>
    </rPh>
    <rPh sb="7" eb="9">
      <t>ユウシ</t>
    </rPh>
    <rPh sb="10" eb="11">
      <t>カイ</t>
    </rPh>
    <rPh sb="12" eb="13">
      <t>ヘン</t>
    </rPh>
    <phoneticPr fontId="1"/>
  </si>
  <si>
    <r>
      <rPr>
        <strike/>
        <sz val="11"/>
        <rFont val="游ゴシック Medium"/>
        <family val="3"/>
        <charset val="128"/>
      </rPr>
      <t>「山谷」制作上映委員会</t>
    </r>
    <rPh sb="1" eb="3">
      <t>サンヤ</t>
    </rPh>
    <rPh sb="4" eb="6">
      <t>セイサク</t>
    </rPh>
    <rPh sb="6" eb="8">
      <t>ジョウエイ</t>
    </rPh>
    <rPh sb="8" eb="11">
      <t>イインカイ</t>
    </rPh>
    <phoneticPr fontId="1"/>
  </si>
  <si>
    <r>
      <rPr>
        <strike/>
        <sz val="11"/>
        <rFont val="游ゴシック Medium"/>
        <family val="3"/>
        <charset val="128"/>
      </rPr>
      <t>山谷</t>
    </r>
    <r>
      <rPr>
        <strike/>
        <sz val="11"/>
        <rFont val="Consolas"/>
        <family val="3"/>
      </rPr>
      <t>/</t>
    </r>
    <r>
      <rPr>
        <strike/>
        <sz val="11"/>
        <rFont val="游ゴシック Medium"/>
        <family val="3"/>
        <charset val="128"/>
      </rPr>
      <t>やられたら</t>
    </r>
    <r>
      <rPr>
        <strike/>
        <sz val="11"/>
        <rFont val="Consolas"/>
        <family val="3"/>
      </rPr>
      <t xml:space="preserve"> </t>
    </r>
    <r>
      <rPr>
        <strike/>
        <sz val="11"/>
        <rFont val="游ゴシック Medium"/>
        <family val="3"/>
        <charset val="128"/>
      </rPr>
      <t>やりかえせ</t>
    </r>
    <rPh sb="0" eb="2">
      <t>ヤマ</t>
    </rPh>
    <phoneticPr fontId="1"/>
  </si>
  <si>
    <r>
      <rPr>
        <strike/>
        <sz val="11"/>
        <rFont val="游ゴシック Medium"/>
        <family val="3"/>
        <charset val="128"/>
      </rPr>
      <t>「山谷」制作上映委員会</t>
    </r>
    <r>
      <rPr>
        <strike/>
        <sz val="11"/>
        <rFont val="Consolas"/>
        <family val="3"/>
      </rPr>
      <t>:</t>
    </r>
    <r>
      <rPr>
        <strike/>
        <sz val="11"/>
        <rFont val="游ゴシック Medium"/>
        <family val="3"/>
        <charset val="128"/>
      </rPr>
      <t>編</t>
    </r>
    <rPh sb="1" eb="3">
      <t>ヤマ</t>
    </rPh>
    <rPh sb="4" eb="6">
      <t>セイサク</t>
    </rPh>
    <rPh sb="6" eb="8">
      <t>ジョウエイ</t>
    </rPh>
    <rPh sb="8" eb="11">
      <t>イインカイ</t>
    </rPh>
    <rPh sb="12" eb="13">
      <t>ヘン</t>
    </rPh>
    <phoneticPr fontId="1"/>
  </si>
  <si>
    <r>
      <rPr>
        <strike/>
        <sz val="11"/>
        <rFont val="游ゴシック Medium"/>
        <family val="3"/>
        <charset val="128"/>
      </rPr>
      <t>「山谷」制作･上映</t>
    </r>
    <r>
      <rPr>
        <strike/>
        <sz val="11"/>
        <rFont val="Consolas"/>
        <family val="3"/>
      </rPr>
      <t>news</t>
    </r>
    <rPh sb="1" eb="3">
      <t>ヤマ</t>
    </rPh>
    <rPh sb="4" eb="6">
      <t>セイサク</t>
    </rPh>
    <rPh sb="7" eb="9">
      <t>ジョウエイ</t>
    </rPh>
    <rPh sb="9" eb="13">
      <t>ニュース</t>
    </rPh>
    <phoneticPr fontId="1"/>
  </si>
  <si>
    <r>
      <rPr>
        <strike/>
        <sz val="11"/>
        <rFont val="游ゴシック Medium"/>
        <family val="3"/>
        <charset val="128"/>
      </rPr>
      <t>寄せ場にたった女優たち</t>
    </r>
    <rPh sb="0" eb="1">
      <t>ヨ</t>
    </rPh>
    <rPh sb="2" eb="3">
      <t>バ</t>
    </rPh>
    <rPh sb="7" eb="9">
      <t>ジョユウ</t>
    </rPh>
    <phoneticPr fontId="1"/>
  </si>
  <si>
    <r>
      <rPr>
        <strike/>
        <sz val="11"/>
        <rFont val="游ゴシック Medium"/>
        <family val="3"/>
        <charset val="128"/>
      </rPr>
      <t>第一回</t>
    </r>
    <r>
      <rPr>
        <strike/>
        <sz val="11"/>
        <rFont val="Consolas"/>
        <family val="3"/>
      </rPr>
      <t>/</t>
    </r>
    <r>
      <rPr>
        <strike/>
        <sz val="11"/>
        <rFont val="游ゴシック Medium"/>
        <family val="3"/>
        <charset val="128"/>
      </rPr>
      <t>水野慶子</t>
    </r>
    <rPh sb="0" eb="3">
      <t>ダイイッカイ</t>
    </rPh>
    <rPh sb="4" eb="6">
      <t>ミズノ</t>
    </rPh>
    <rPh sb="6" eb="8">
      <t>ケイコ</t>
    </rPh>
    <phoneticPr fontId="1"/>
  </si>
  <si>
    <r>
      <rPr>
        <strike/>
        <sz val="11"/>
        <rFont val="游ゴシック Medium"/>
        <family val="3"/>
        <charset val="128"/>
      </rPr>
      <t>連続</t>
    </r>
    <r>
      <rPr>
        <strike/>
        <sz val="11"/>
        <rFont val="Consolas"/>
        <family val="3"/>
      </rPr>
      <t>Interview</t>
    </r>
    <rPh sb="0" eb="2">
      <t>レンゾク</t>
    </rPh>
    <rPh sb="2" eb="11">
      <t>インタビュー</t>
    </rPh>
    <phoneticPr fontId="1"/>
  </si>
  <si>
    <r>
      <rPr>
        <strike/>
        <sz val="11"/>
        <rFont val="游ゴシック Medium"/>
        <family val="3"/>
        <charset val="128"/>
      </rPr>
      <t>第二回</t>
    </r>
    <r>
      <rPr>
        <strike/>
        <sz val="11"/>
        <rFont val="Consolas"/>
        <family val="3"/>
      </rPr>
      <t>/</t>
    </r>
    <r>
      <rPr>
        <strike/>
        <sz val="11"/>
        <rFont val="游ゴシック Medium"/>
        <family val="3"/>
        <charset val="128"/>
      </rPr>
      <t>香乃カノ子</t>
    </r>
    <rPh sb="0" eb="1">
      <t>ダイ</t>
    </rPh>
    <rPh sb="1" eb="3">
      <t>ニカイ</t>
    </rPh>
    <rPh sb="4" eb="6">
      <t>カノ</t>
    </rPh>
    <rPh sb="8" eb="9">
      <t>コ</t>
    </rPh>
    <phoneticPr fontId="1"/>
  </si>
  <si>
    <r>
      <rPr>
        <sz val="11"/>
        <rFont val="游ゴシック Medium"/>
        <family val="3"/>
        <charset val="128"/>
      </rPr>
      <t>鶴蒔靖夫</t>
    </r>
    <rPh sb="0" eb="2">
      <t>ツルマキ</t>
    </rPh>
    <rPh sb="2" eb="4">
      <t>ヤスオ</t>
    </rPh>
    <phoneticPr fontId="1"/>
  </si>
  <si>
    <r>
      <rPr>
        <sz val="11"/>
        <rFont val="游ゴシック Medium"/>
        <family val="3"/>
        <charset val="128"/>
      </rPr>
      <t>日本の挑戦</t>
    </r>
    <r>
      <rPr>
        <sz val="11"/>
        <rFont val="Consolas"/>
        <family val="3"/>
      </rPr>
      <t xml:space="preserve"> </t>
    </r>
    <r>
      <rPr>
        <sz val="11"/>
        <rFont val="游ゴシック Medium"/>
        <family val="3"/>
        <charset val="128"/>
      </rPr>
      <t>史上最強の日本円が動くとき</t>
    </r>
    <rPh sb="0" eb="2">
      <t>ニホン</t>
    </rPh>
    <rPh sb="3" eb="5">
      <t>チョウセン</t>
    </rPh>
    <rPh sb="6" eb="8">
      <t>シジョウ</t>
    </rPh>
    <rPh sb="8" eb="10">
      <t>サイキョウ</t>
    </rPh>
    <rPh sb="11" eb="13">
      <t>ニホン</t>
    </rPh>
    <rPh sb="13" eb="14">
      <t>エン</t>
    </rPh>
    <rPh sb="15" eb="16">
      <t>ウゴ</t>
    </rPh>
    <phoneticPr fontId="1"/>
  </si>
  <si>
    <r>
      <t>IN</t>
    </r>
    <r>
      <rPr>
        <sz val="11"/>
        <rFont val="游ゴシック Medium"/>
        <family val="3"/>
        <charset val="128"/>
      </rPr>
      <t>通信社</t>
    </r>
    <rPh sb="2" eb="5">
      <t>ツウシンシャ</t>
    </rPh>
    <phoneticPr fontId="1"/>
  </si>
  <si>
    <r>
      <rPr>
        <sz val="11"/>
        <rFont val="游ゴシック Medium"/>
        <family val="3"/>
        <charset val="128"/>
      </rPr>
      <t>街角アンケートに答えて</t>
    </r>
    <rPh sb="0" eb="2">
      <t>マチカド</t>
    </rPh>
    <rPh sb="8" eb="9">
      <t>コタ</t>
    </rPh>
    <phoneticPr fontId="1"/>
  </si>
  <si>
    <r>
      <rPr>
        <sz val="11"/>
        <rFont val="游ゴシック Medium"/>
        <family val="3"/>
        <charset val="128"/>
      </rPr>
      <t>日本</t>
    </r>
    <r>
      <rPr>
        <sz val="11"/>
        <rFont val="Consolas"/>
        <family val="3"/>
      </rPr>
      <t>Eurasia</t>
    </r>
    <r>
      <rPr>
        <sz val="11"/>
        <rFont val="游ゴシック Medium"/>
        <family val="3"/>
        <charset val="128"/>
      </rPr>
      <t>協会</t>
    </r>
    <rPh sb="0" eb="2">
      <t>ニホン</t>
    </rPh>
    <rPh sb="2" eb="9">
      <t>ユーラシア</t>
    </rPh>
    <rPh sb="9" eb="11">
      <t>キョウカイ</t>
    </rPh>
    <phoneticPr fontId="1"/>
  </si>
  <si>
    <r>
      <rPr>
        <sz val="11"/>
        <rFont val="游ゴシック Medium"/>
        <family val="3"/>
        <charset val="128"/>
      </rPr>
      <t>日本と</t>
    </r>
    <r>
      <rPr>
        <sz val="11"/>
        <rFont val="Consolas"/>
        <family val="3"/>
      </rPr>
      <t>Eurasia</t>
    </r>
    <rPh sb="0" eb="2">
      <t>ニホン</t>
    </rPh>
    <rPh sb="3" eb="10">
      <t>ユーラシア</t>
    </rPh>
    <phoneticPr fontId="1"/>
  </si>
  <si>
    <r>
      <rPr>
        <sz val="11"/>
        <rFont val="游ゴシック Medium"/>
        <family val="3"/>
        <charset val="128"/>
      </rPr>
      <t>新しい食生活を考える会</t>
    </r>
    <rPh sb="0" eb="1">
      <t>アタラ</t>
    </rPh>
    <rPh sb="3" eb="6">
      <t>ショクセイカツ</t>
    </rPh>
    <rPh sb="7" eb="8">
      <t>カンガ</t>
    </rPh>
    <rPh sb="10" eb="11">
      <t>カイ</t>
    </rPh>
    <phoneticPr fontId="1"/>
  </si>
  <si>
    <r>
      <rPr>
        <sz val="11"/>
        <rFont val="游ゴシック Medium"/>
        <family val="3"/>
        <charset val="128"/>
      </rPr>
      <t>編著</t>
    </r>
    <rPh sb="0" eb="2">
      <t>ヘンチ</t>
    </rPh>
    <phoneticPr fontId="1"/>
  </si>
  <si>
    <r>
      <rPr>
        <sz val="11"/>
        <rFont val="游ゴシック Medium"/>
        <family val="3"/>
        <charset val="128"/>
      </rPr>
      <t>鈴木</t>
    </r>
    <r>
      <rPr>
        <sz val="11"/>
        <rFont val="Consolas"/>
        <family val="3"/>
      </rPr>
      <t xml:space="preserve"> </t>
    </r>
    <r>
      <rPr>
        <sz val="11"/>
        <rFont val="游ゴシック Medium"/>
        <family val="3"/>
        <charset val="128"/>
      </rPr>
      <t>一行</t>
    </r>
    <rPh sb="0" eb="2">
      <t>スズキ</t>
    </rPh>
    <rPh sb="3" eb="5">
      <t>カズユキ</t>
    </rPh>
    <phoneticPr fontId="1"/>
  </si>
  <si>
    <r>
      <rPr>
        <sz val="11"/>
        <rFont val="游ゴシック Medium"/>
        <family val="3"/>
        <charset val="128"/>
      </rPr>
      <t>新カラーガイド</t>
    </r>
    <r>
      <rPr>
        <sz val="11"/>
        <rFont val="Consolas"/>
        <family val="3"/>
      </rPr>
      <t xml:space="preserve"> </t>
    </r>
    <r>
      <rPr>
        <sz val="11"/>
        <rFont val="游ゴシック Medium"/>
        <family val="3"/>
        <charset val="128"/>
      </rPr>
      <t>食品成分表</t>
    </r>
    <r>
      <rPr>
        <sz val="11"/>
        <rFont val="Consolas"/>
        <family val="3"/>
      </rPr>
      <t xml:space="preserve"> </t>
    </r>
    <r>
      <rPr>
        <sz val="11"/>
        <rFont val="游ゴシック Medium"/>
        <family val="3"/>
        <charset val="128"/>
      </rPr>
      <t>改訂版</t>
    </r>
    <r>
      <rPr>
        <sz val="11"/>
        <rFont val="Consolas"/>
        <family val="3"/>
      </rPr>
      <t xml:space="preserve"> </t>
    </r>
    <r>
      <rPr>
        <sz val="11"/>
        <rFont val="游ゴシック Medium"/>
        <family val="3"/>
        <charset val="128"/>
      </rPr>
      <t>「食べる」ことの楽しさを知る</t>
    </r>
    <rPh sb="0" eb="1">
      <t>シン</t>
    </rPh>
    <rPh sb="8" eb="13">
      <t>ショクヒンセイブンヒョウ</t>
    </rPh>
    <rPh sb="14" eb="17">
      <t>カイテイバン</t>
    </rPh>
    <rPh sb="19" eb="20">
      <t>タ</t>
    </rPh>
    <rPh sb="26" eb="27">
      <t>タノ</t>
    </rPh>
    <rPh sb="30" eb="31">
      <t>シ</t>
    </rPh>
    <phoneticPr fontId="1"/>
  </si>
  <si>
    <r>
      <rPr>
        <sz val="11"/>
        <rFont val="游ゴシック Medium"/>
        <family val="3"/>
        <charset val="128"/>
      </rPr>
      <t>大修館書店</t>
    </r>
    <rPh sb="0" eb="5">
      <t>タイシュウカンショテン</t>
    </rPh>
    <phoneticPr fontId="1"/>
  </si>
  <si>
    <r>
      <rPr>
        <strike/>
        <sz val="11"/>
        <rFont val="游ゴシック Medium"/>
        <family val="3"/>
        <charset val="128"/>
      </rPr>
      <t>岡田周三</t>
    </r>
    <rPh sb="0" eb="2">
      <t>オカダ</t>
    </rPh>
    <rPh sb="2" eb="4">
      <t>シュウゾウ</t>
    </rPh>
    <phoneticPr fontId="1"/>
  </si>
  <si>
    <r>
      <rPr>
        <strike/>
        <sz val="11"/>
        <rFont val="游ゴシック Medium"/>
        <family val="3"/>
        <charset val="128"/>
      </rPr>
      <t>岡田定三</t>
    </r>
    <rPh sb="0" eb="2">
      <t>オカダ</t>
    </rPh>
    <rPh sb="2" eb="4">
      <t>テイゾウ</t>
    </rPh>
    <phoneticPr fontId="1"/>
  </si>
  <si>
    <r>
      <rPr>
        <strike/>
        <sz val="11"/>
        <rFont val="游ゴシック Medium"/>
        <family val="3"/>
        <charset val="128"/>
      </rPr>
      <t>発行</t>
    </r>
    <rPh sb="0" eb="2">
      <t>ハッコウ</t>
    </rPh>
    <phoneticPr fontId="1"/>
  </si>
  <si>
    <r>
      <rPr>
        <strike/>
        <sz val="11"/>
        <rFont val="游ゴシック Medium"/>
        <family val="3"/>
        <charset val="128"/>
      </rPr>
      <t>玄米正食入門</t>
    </r>
    <r>
      <rPr>
        <strike/>
        <sz val="11"/>
        <rFont val="Consolas"/>
        <family val="3"/>
      </rPr>
      <t>&lt;</t>
    </r>
    <r>
      <rPr>
        <strike/>
        <sz val="11"/>
        <rFont val="游ゴシック Medium"/>
        <family val="3"/>
        <charset val="128"/>
      </rPr>
      <t>新しい健康学</t>
    </r>
    <r>
      <rPr>
        <strike/>
        <sz val="11"/>
        <rFont val="Consolas"/>
        <family val="3"/>
      </rPr>
      <t>&gt;</t>
    </r>
    <rPh sb="0" eb="2">
      <t>ゲンマイ</t>
    </rPh>
    <rPh sb="2" eb="4">
      <t>セイショク</t>
    </rPh>
    <rPh sb="4" eb="6">
      <t>ニュウモン</t>
    </rPh>
    <rPh sb="7" eb="8">
      <t>アタラ</t>
    </rPh>
    <rPh sb="10" eb="13">
      <t>ケンコウガク</t>
    </rPh>
    <phoneticPr fontId="1"/>
  </si>
  <si>
    <r>
      <rPr>
        <strike/>
        <sz val="11"/>
        <rFont val="游ゴシック Medium"/>
        <family val="3"/>
        <charset val="128"/>
      </rPr>
      <t>正食入門Ⅰ</t>
    </r>
    <rPh sb="0" eb="2">
      <t>セイショク</t>
    </rPh>
    <rPh sb="2" eb="4">
      <t>ニュウモン</t>
    </rPh>
    <phoneticPr fontId="1"/>
  </si>
  <si>
    <r>
      <rPr>
        <strike/>
        <sz val="11"/>
        <rFont val="游ゴシック Medium"/>
        <family val="3"/>
        <charset val="128"/>
      </rPr>
      <t>正食出版</t>
    </r>
    <rPh sb="0" eb="2">
      <t>セイショク</t>
    </rPh>
    <rPh sb="2" eb="4">
      <t>シュッパン</t>
    </rPh>
    <phoneticPr fontId="1"/>
  </si>
  <si>
    <r>
      <rPr>
        <strike/>
        <sz val="11"/>
        <rFont val="游ゴシック Medium"/>
        <family val="3"/>
        <charset val="128"/>
      </rPr>
      <t>正食協会</t>
    </r>
    <rPh sb="0" eb="2">
      <t>セイショク</t>
    </rPh>
    <rPh sb="2" eb="4">
      <t>キョウカイ</t>
    </rPh>
    <phoneticPr fontId="1"/>
  </si>
  <si>
    <r>
      <rPr>
        <strike/>
        <sz val="11"/>
        <rFont val="游ゴシック Medium"/>
        <family val="3"/>
        <charset val="128"/>
      </rPr>
      <t>編纂</t>
    </r>
    <rPh sb="0" eb="2">
      <t>ヘンサン</t>
    </rPh>
    <phoneticPr fontId="1"/>
  </si>
  <si>
    <r>
      <t>&lt;</t>
    </r>
    <r>
      <rPr>
        <strike/>
        <sz val="11"/>
        <rFont val="游ゴシック Medium"/>
        <family val="3"/>
        <charset val="128"/>
      </rPr>
      <t>身近な食物による</t>
    </r>
    <r>
      <rPr>
        <strike/>
        <sz val="11"/>
        <rFont val="Consolas"/>
        <family val="3"/>
      </rPr>
      <t>&gt;</t>
    </r>
    <r>
      <rPr>
        <strike/>
        <sz val="11"/>
        <rFont val="游ゴシック Medium"/>
        <family val="3"/>
        <charset val="128"/>
      </rPr>
      <t>手当て法</t>
    </r>
    <r>
      <rPr>
        <strike/>
        <sz val="11"/>
        <rFont val="Consolas"/>
        <family val="3"/>
      </rPr>
      <t>&lt;</t>
    </r>
    <r>
      <rPr>
        <strike/>
        <sz val="11"/>
        <rFont val="游ゴシック Medium"/>
        <family val="3"/>
        <charset val="128"/>
      </rPr>
      <t>おばあちゃんの知恵</t>
    </r>
    <r>
      <rPr>
        <strike/>
        <sz val="11"/>
        <rFont val="Consolas"/>
        <family val="3"/>
      </rPr>
      <t>&gt;</t>
    </r>
    <rPh sb="1" eb="3">
      <t>ミヂカ</t>
    </rPh>
    <rPh sb="4" eb="6">
      <t>ショクモツ</t>
    </rPh>
    <rPh sb="10" eb="12">
      <t>テア</t>
    </rPh>
    <rPh sb="13" eb="14">
      <t>ホウ</t>
    </rPh>
    <rPh sb="22" eb="24">
      <t>チエ</t>
    </rPh>
    <phoneticPr fontId="1"/>
  </si>
  <si>
    <r>
      <rPr>
        <strike/>
        <sz val="11"/>
        <rFont val="游ゴシック Medium"/>
        <family val="3"/>
        <charset val="128"/>
      </rPr>
      <t>ミチオ・クシ</t>
    </r>
    <phoneticPr fontId="1"/>
  </si>
  <si>
    <r>
      <rPr>
        <strike/>
        <sz val="11"/>
        <rFont val="游ゴシック Medium"/>
        <family val="3"/>
        <charset val="128"/>
      </rPr>
      <t>山脇啓央</t>
    </r>
    <r>
      <rPr>
        <strike/>
        <sz val="11"/>
        <rFont val="Consolas"/>
        <family val="3"/>
      </rPr>
      <t>/</t>
    </r>
    <r>
      <rPr>
        <strike/>
        <sz val="11"/>
        <rFont val="游ゴシック Medium"/>
        <family val="3"/>
        <charset val="128"/>
      </rPr>
      <t>岡田定三</t>
    </r>
    <rPh sb="0" eb="2">
      <t>ヤマワキ</t>
    </rPh>
    <rPh sb="5" eb="7">
      <t>オカダ</t>
    </rPh>
    <rPh sb="7" eb="9">
      <t>テイゾウ</t>
    </rPh>
    <phoneticPr fontId="1"/>
  </si>
  <si>
    <r>
      <rPr>
        <strike/>
        <sz val="11"/>
        <rFont val="游ゴシック Medium"/>
        <family val="3"/>
        <charset val="128"/>
      </rPr>
      <t>訳</t>
    </r>
    <r>
      <rPr>
        <strike/>
        <sz val="11"/>
        <rFont val="Consolas"/>
        <family val="3"/>
      </rPr>
      <t>/</t>
    </r>
    <r>
      <rPr>
        <strike/>
        <sz val="11"/>
        <rFont val="游ゴシック Medium"/>
        <family val="3"/>
        <charset val="128"/>
      </rPr>
      <t>発行</t>
    </r>
    <rPh sb="0" eb="1">
      <t>ヤク</t>
    </rPh>
    <rPh sb="2" eb="4">
      <t>ハッコウ</t>
    </rPh>
    <phoneticPr fontId="1"/>
  </si>
  <si>
    <r>
      <rPr>
        <strike/>
        <sz val="11"/>
        <rFont val="游ゴシック Medium"/>
        <family val="3"/>
        <charset val="128"/>
      </rPr>
      <t>穀菜食の</t>
    </r>
    <r>
      <rPr>
        <strike/>
        <sz val="11"/>
        <rFont val="Consolas"/>
        <family val="3"/>
      </rPr>
      <t>ABC</t>
    </r>
    <rPh sb="0" eb="3">
      <t>コクサイショク</t>
    </rPh>
    <phoneticPr fontId="1"/>
  </si>
  <si>
    <r>
      <t>cook/</t>
    </r>
    <r>
      <rPr>
        <sz val="11"/>
        <rFont val="游ゴシック Medium"/>
        <family val="3"/>
        <charset val="128"/>
      </rPr>
      <t>宗教</t>
    </r>
    <rPh sb="5" eb="7">
      <t>シュウキョウ</t>
    </rPh>
    <phoneticPr fontId="1"/>
  </si>
  <si>
    <r>
      <rPr>
        <sz val="11"/>
        <rFont val="游ゴシック Medium"/>
        <family val="3"/>
        <charset val="128"/>
      </rPr>
      <t>上田祖峯</t>
    </r>
    <rPh sb="0" eb="2">
      <t>ウエダ</t>
    </rPh>
    <rPh sb="2" eb="4">
      <t>ソホウ</t>
    </rPh>
    <phoneticPr fontId="1"/>
  </si>
  <si>
    <r>
      <rPr>
        <sz val="11"/>
        <rFont val="游ゴシック Medium"/>
        <family val="3"/>
        <charset val="128"/>
      </rPr>
      <t>禅と食事</t>
    </r>
    <rPh sb="0" eb="1">
      <t>ゼン</t>
    </rPh>
    <rPh sb="2" eb="4">
      <t>ショクジ</t>
    </rPh>
    <phoneticPr fontId="1"/>
  </si>
  <si>
    <r>
      <rPr>
        <sz val="11"/>
        <rFont val="游ゴシック Medium"/>
        <family val="3"/>
        <charset val="128"/>
      </rPr>
      <t>牛尾</t>
    </r>
    <r>
      <rPr>
        <sz val="11"/>
        <rFont val="Consolas"/>
        <family val="3"/>
      </rPr>
      <t xml:space="preserve"> </t>
    </r>
    <r>
      <rPr>
        <sz val="11"/>
        <rFont val="游ゴシック Medium"/>
        <family val="3"/>
        <charset val="128"/>
      </rPr>
      <t>理恵</t>
    </r>
    <rPh sb="0" eb="2">
      <t>ウシオ</t>
    </rPh>
    <rPh sb="3" eb="5">
      <t>リエ</t>
    </rPh>
    <phoneticPr fontId="1"/>
  </si>
  <si>
    <r>
      <rPr>
        <sz val="11"/>
        <rFont val="游ゴシック Medium"/>
        <family val="3"/>
        <charset val="128"/>
      </rPr>
      <t>作りおきで朝ラク</t>
    </r>
    <r>
      <rPr>
        <sz val="11"/>
        <rFont val="Consolas"/>
        <family val="3"/>
      </rPr>
      <t xml:space="preserve">! </t>
    </r>
    <r>
      <rPr>
        <sz val="11"/>
        <rFont val="游ゴシック Medium"/>
        <family val="3"/>
        <charset val="128"/>
      </rPr>
      <t>きほんのお弁当</t>
    </r>
    <r>
      <rPr>
        <sz val="11"/>
        <rFont val="Consolas"/>
        <family val="3"/>
      </rPr>
      <t xml:space="preserve"> (</t>
    </r>
    <r>
      <rPr>
        <sz val="11"/>
        <rFont val="游ゴシック Medium"/>
        <family val="3"/>
        <charset val="128"/>
      </rPr>
      <t>おいしい</t>
    </r>
    <r>
      <rPr>
        <sz val="11"/>
        <rFont val="Consolas"/>
        <family val="3"/>
      </rPr>
      <t>Lesson)</t>
    </r>
    <rPh sb="0" eb="1">
      <t>ツク</t>
    </rPh>
    <rPh sb="5" eb="6">
      <t>アサ</t>
    </rPh>
    <rPh sb="15" eb="17">
      <t>ベントウ</t>
    </rPh>
    <phoneticPr fontId="1"/>
  </si>
  <si>
    <r>
      <rPr>
        <sz val="11"/>
        <rFont val="游ゴシック Medium"/>
        <family val="3"/>
        <charset val="128"/>
      </rPr>
      <t>朝日新聞出版</t>
    </r>
    <rPh sb="0" eb="2">
      <t>アサヒ</t>
    </rPh>
    <rPh sb="2" eb="4">
      <t>シンブン</t>
    </rPh>
    <rPh sb="4" eb="6">
      <t>シュッパン</t>
    </rPh>
    <phoneticPr fontId="1"/>
  </si>
  <si>
    <r>
      <rPr>
        <sz val="11"/>
        <rFont val="游ゴシック Medium"/>
        <family val="3"/>
        <charset val="128"/>
      </rPr>
      <t>まほの新居へ</t>
    </r>
    <rPh sb="3" eb="5">
      <t>シンキョ</t>
    </rPh>
    <phoneticPr fontId="1"/>
  </si>
  <si>
    <r>
      <rPr>
        <sz val="11"/>
        <rFont val="游ゴシック Medium"/>
        <family val="3"/>
        <charset val="128"/>
      </rPr>
      <t>雑誌</t>
    </r>
    <r>
      <rPr>
        <sz val="11"/>
        <rFont val="Consolas"/>
        <family val="3"/>
      </rPr>
      <t>89403-02</t>
    </r>
    <rPh sb="0" eb="2">
      <t>ザッシ</t>
    </rPh>
    <phoneticPr fontId="1"/>
  </si>
  <si>
    <r>
      <rPr>
        <sz val="11"/>
        <rFont val="游ゴシック Medium"/>
        <family val="3"/>
        <charset val="128"/>
      </rPr>
      <t>株式会社創発としま</t>
    </r>
    <rPh sb="0" eb="4">
      <t>カブシキガイシャ</t>
    </rPh>
    <rPh sb="4" eb="6">
      <t>ソウハツ</t>
    </rPh>
    <phoneticPr fontId="1"/>
  </si>
  <si>
    <r>
      <rPr>
        <sz val="11"/>
        <rFont val="游ゴシック Medium"/>
        <family val="3"/>
        <charset val="128"/>
      </rPr>
      <t>ワンコインランチ東京</t>
    </r>
    <r>
      <rPr>
        <sz val="11"/>
        <rFont val="Consolas"/>
        <family val="3"/>
      </rPr>
      <t xml:space="preserve"> 2020 </t>
    </r>
    <r>
      <rPr>
        <sz val="11"/>
        <rFont val="游ゴシック Medium"/>
        <family val="3"/>
        <charset val="128"/>
      </rPr>
      <t>池袋版</t>
    </r>
    <r>
      <rPr>
        <sz val="11"/>
        <rFont val="Consolas"/>
        <family val="3"/>
      </rPr>
      <t xml:space="preserve"> </t>
    </r>
    <r>
      <rPr>
        <sz val="11"/>
        <rFont val="游ゴシック Medium"/>
        <family val="3"/>
        <charset val="128"/>
      </rPr>
      <t>春号</t>
    </r>
    <r>
      <rPr>
        <sz val="11"/>
        <rFont val="Consolas"/>
        <family val="3"/>
      </rPr>
      <t xml:space="preserve"> </t>
    </r>
    <r>
      <rPr>
        <sz val="11"/>
        <rFont val="游ゴシック Medium"/>
        <family val="3"/>
        <charset val="128"/>
      </rPr>
      <t>第</t>
    </r>
    <r>
      <rPr>
        <sz val="11"/>
        <rFont val="Consolas"/>
        <family val="3"/>
      </rPr>
      <t>25</t>
    </r>
    <r>
      <rPr>
        <sz val="11"/>
        <rFont val="游ゴシック Medium"/>
        <family val="3"/>
        <charset val="128"/>
      </rPr>
      <t>弾</t>
    </r>
    <rPh sb="8" eb="10">
      <t>トウキョウ</t>
    </rPh>
    <rPh sb="16" eb="18">
      <t>イケブクロ</t>
    </rPh>
    <rPh sb="18" eb="19">
      <t>バン</t>
    </rPh>
    <rPh sb="20" eb="22">
      <t>ハルゴウ</t>
    </rPh>
    <rPh sb="23" eb="24">
      <t>ダイ</t>
    </rPh>
    <rPh sb="26" eb="27">
      <t>ダン</t>
    </rPh>
    <phoneticPr fontId="1"/>
  </si>
  <si>
    <r>
      <rPr>
        <sz val="11"/>
        <rFont val="游ゴシック Medium"/>
        <family val="3"/>
        <charset val="128"/>
      </rPr>
      <t>使えば</t>
    </r>
    <r>
      <rPr>
        <sz val="11"/>
        <rFont val="Consolas"/>
        <family val="3"/>
      </rPr>
      <t xml:space="preserve"> !! </t>
    </r>
    <r>
      <rPr>
        <sz val="11"/>
        <rFont val="游ゴシック Medium"/>
        <family val="3"/>
        <charset val="128"/>
      </rPr>
      <t>必ず得する</t>
    </r>
    <r>
      <rPr>
        <sz val="11"/>
        <rFont val="Consolas"/>
        <family val="3"/>
      </rPr>
      <t xml:space="preserve"> ! </t>
    </r>
    <r>
      <rPr>
        <sz val="11"/>
        <rFont val="游ゴシック Medium"/>
        <family val="3"/>
        <charset val="128"/>
      </rPr>
      <t>魔法のグルメ本</t>
    </r>
    <r>
      <rPr>
        <sz val="11"/>
        <rFont val="Consolas"/>
        <family val="3"/>
      </rPr>
      <t xml:space="preserve"> !</t>
    </r>
    <rPh sb="0" eb="1">
      <t>ツカ</t>
    </rPh>
    <rPh sb="7" eb="8">
      <t>カナラ</t>
    </rPh>
    <rPh sb="9" eb="10">
      <t>トク</t>
    </rPh>
    <rPh sb="15" eb="17">
      <t>マホウ</t>
    </rPh>
    <rPh sb="21" eb="22">
      <t>ボン</t>
    </rPh>
    <phoneticPr fontId="1"/>
  </si>
  <si>
    <r>
      <rPr>
        <sz val="11"/>
        <rFont val="游ゴシック Medium"/>
        <family val="3"/>
        <charset val="128"/>
      </rPr>
      <t>あやかわいい、</t>
    </r>
    <r>
      <rPr>
        <sz val="11"/>
        <rFont val="Consolas"/>
        <family val="3"/>
      </rPr>
      <t>GEKIPA</t>
    </r>
    <r>
      <rPr>
        <sz val="11"/>
        <rFont val="游ゴシック Medium"/>
        <family val="3"/>
        <charset val="128"/>
      </rPr>
      <t>から贈与</t>
    </r>
    <rPh sb="15" eb="17">
      <t>ゾウヨ</t>
    </rPh>
    <phoneticPr fontId="1"/>
  </si>
  <si>
    <r>
      <rPr>
        <sz val="11"/>
        <rFont val="游ゴシック Medium"/>
        <family val="3"/>
        <charset val="128"/>
      </rPr>
      <t>食べようび</t>
    </r>
    <r>
      <rPr>
        <sz val="11"/>
        <rFont val="Consolas"/>
        <family val="3"/>
      </rPr>
      <t xml:space="preserve"> 2013/08</t>
    </r>
    <rPh sb="0" eb="1">
      <t>タ</t>
    </rPh>
    <phoneticPr fontId="1"/>
  </si>
  <si>
    <r>
      <rPr>
        <sz val="11"/>
        <rFont val="游ゴシック Medium"/>
        <family val="3"/>
        <charset val="128"/>
      </rPr>
      <t>特別付録「くさりかけ事典」</t>
    </r>
    <rPh sb="0" eb="2">
      <t>トクベツ</t>
    </rPh>
    <rPh sb="2" eb="4">
      <t>フロク</t>
    </rPh>
    <rPh sb="10" eb="12">
      <t>ジテン</t>
    </rPh>
    <phoneticPr fontId="1"/>
  </si>
  <si>
    <r>
      <rPr>
        <sz val="11"/>
        <rFont val="游ゴシック Medium"/>
        <family val="3"/>
        <charset val="128"/>
      </rPr>
      <t>小川聖子</t>
    </r>
    <rPh sb="0" eb="2">
      <t>オガワ</t>
    </rPh>
    <rPh sb="2" eb="4">
      <t>セイコ</t>
    </rPh>
    <phoneticPr fontId="1"/>
  </si>
  <si>
    <r>
      <rPr>
        <sz val="11"/>
        <rFont val="游ゴシック Medium"/>
        <family val="3"/>
        <charset val="128"/>
      </rPr>
      <t>料理</t>
    </r>
    <rPh sb="0" eb="2">
      <t>リョウリ</t>
    </rPh>
    <phoneticPr fontId="1"/>
  </si>
  <si>
    <r>
      <rPr>
        <sz val="11"/>
        <rFont val="游ゴシック Medium"/>
        <family val="3"/>
        <charset val="128"/>
      </rPr>
      <t>かわいさいちばん</t>
    </r>
    <r>
      <rPr>
        <sz val="11"/>
        <rFont val="Consolas"/>
        <family val="3"/>
      </rPr>
      <t>/</t>
    </r>
    <r>
      <rPr>
        <sz val="11"/>
        <rFont val="游ゴシック Medium"/>
        <family val="3"/>
        <charset val="128"/>
      </rPr>
      <t>幼稚園のおべんとう</t>
    </r>
    <rPh sb="9" eb="12">
      <t>ヨウチエン</t>
    </rPh>
    <phoneticPr fontId="1"/>
  </si>
  <si>
    <r>
      <rPr>
        <sz val="11"/>
        <rFont val="游ゴシック Medium"/>
        <family val="3"/>
        <charset val="128"/>
      </rPr>
      <t>別冊家庭画報</t>
    </r>
    <rPh sb="0" eb="2">
      <t>ベッサツ</t>
    </rPh>
    <rPh sb="2" eb="4">
      <t>カテイ</t>
    </rPh>
    <rPh sb="4" eb="6">
      <t>ガホウ</t>
    </rPh>
    <phoneticPr fontId="1"/>
  </si>
  <si>
    <r>
      <t>non</t>
    </r>
    <r>
      <rPr>
        <sz val="11"/>
        <rFont val="游ゴシック Medium"/>
        <family val="3"/>
        <charset val="128"/>
      </rPr>
      <t>・</t>
    </r>
    <r>
      <rPr>
        <sz val="11"/>
        <rFont val="Consolas"/>
        <family val="3"/>
      </rPr>
      <t>no</t>
    </r>
    <phoneticPr fontId="1"/>
  </si>
  <si>
    <r>
      <rPr>
        <sz val="11"/>
        <rFont val="游ゴシック Medium"/>
        <family val="3"/>
        <charset val="128"/>
      </rPr>
      <t>クッキングブック</t>
    </r>
    <r>
      <rPr>
        <sz val="11"/>
        <rFont val="Consolas"/>
        <family val="3"/>
      </rPr>
      <t>PART5/</t>
    </r>
    <r>
      <rPr>
        <sz val="11"/>
        <rFont val="游ゴシック Medium"/>
        <family val="3"/>
        <charset val="128"/>
      </rPr>
      <t>材料別・目的別</t>
    </r>
    <rPh sb="14" eb="16">
      <t>ザイリョウ</t>
    </rPh>
    <rPh sb="16" eb="17">
      <t>ベツ</t>
    </rPh>
    <rPh sb="18" eb="20">
      <t>モクテキ</t>
    </rPh>
    <rPh sb="20" eb="21">
      <t>ベツ</t>
    </rPh>
    <phoneticPr fontId="1"/>
  </si>
  <si>
    <r>
      <rPr>
        <sz val="11"/>
        <rFont val="游ゴシック Medium"/>
        <family val="3"/>
        <charset val="128"/>
      </rPr>
      <t>出村</t>
    </r>
    <r>
      <rPr>
        <sz val="11"/>
        <rFont val="Consolas"/>
        <family val="3"/>
      </rPr>
      <t xml:space="preserve"> </t>
    </r>
    <r>
      <rPr>
        <sz val="11"/>
        <rFont val="游ゴシック Medium"/>
        <family val="3"/>
        <charset val="128"/>
      </rPr>
      <t>成和</t>
    </r>
    <rPh sb="0" eb="2">
      <t>デムラ</t>
    </rPh>
    <rPh sb="3" eb="5">
      <t>ナリカズ</t>
    </rPh>
    <phoneticPr fontId="1"/>
  </si>
  <si>
    <r>
      <rPr>
        <sz val="11"/>
        <rFont val="游ゴシック Medium"/>
        <family val="3"/>
        <charset val="128"/>
      </rPr>
      <t>クラウド活用のための</t>
    </r>
    <r>
      <rPr>
        <sz val="11"/>
        <rFont val="Consolas"/>
        <family val="3"/>
      </rPr>
      <t>Android</t>
    </r>
    <r>
      <rPr>
        <sz val="11"/>
        <rFont val="游ゴシック Medium"/>
        <family val="3"/>
        <charset val="128"/>
      </rPr>
      <t>業務アプリ開発入門</t>
    </r>
    <rPh sb="4" eb="6">
      <t>カツヨウ</t>
    </rPh>
    <rPh sb="17" eb="19">
      <t>ギョウム</t>
    </rPh>
    <rPh sb="22" eb="24">
      <t>カイハツ</t>
    </rPh>
    <rPh sb="24" eb="26">
      <t>ニュウモン</t>
    </rPh>
    <phoneticPr fontId="1"/>
  </si>
  <si>
    <r>
      <rPr>
        <sz val="11"/>
        <rFont val="游ゴシック Medium"/>
        <family val="3"/>
        <charset val="128"/>
      </rPr>
      <t>日経</t>
    </r>
    <r>
      <rPr>
        <sz val="11"/>
        <rFont val="Consolas"/>
        <family val="3"/>
      </rPr>
      <t>BP</t>
    </r>
    <r>
      <rPr>
        <sz val="11"/>
        <rFont val="游ゴシック Medium"/>
        <family val="3"/>
        <charset val="128"/>
      </rPr>
      <t>社</t>
    </r>
    <rPh sb="0" eb="2">
      <t>ニッケイ</t>
    </rPh>
    <rPh sb="4" eb="5">
      <t>シャ</t>
    </rPh>
    <phoneticPr fontId="1"/>
  </si>
  <si>
    <r>
      <rPr>
        <sz val="11"/>
        <rFont val="游ゴシック Medium"/>
        <family val="3"/>
        <charset val="128"/>
      </rPr>
      <t>ビックパソコン館</t>
    </r>
    <rPh sb="7" eb="8">
      <t>カン</t>
    </rPh>
    <phoneticPr fontId="1"/>
  </si>
  <si>
    <r>
      <rPr>
        <sz val="11"/>
        <rFont val="游ゴシック Medium"/>
        <family val="3"/>
        <charset val="128"/>
      </rPr>
      <t>社の経費で全</t>
    </r>
    <r>
      <rPr>
        <sz val="11"/>
        <rFont val="Consolas"/>
        <family val="3"/>
      </rPr>
      <t>2</t>
    </r>
    <r>
      <rPr>
        <sz val="11"/>
        <rFont val="游ゴシック Medium"/>
        <family val="3"/>
        <charset val="128"/>
      </rPr>
      <t>冊</t>
    </r>
    <rPh sb="0" eb="1">
      <t>シャ</t>
    </rPh>
    <rPh sb="2" eb="4">
      <t>ケイヒ</t>
    </rPh>
    <rPh sb="5" eb="6">
      <t>ゼン</t>
    </rPh>
    <rPh sb="7" eb="8">
      <t>サツ</t>
    </rPh>
    <phoneticPr fontId="1"/>
  </si>
  <si>
    <r>
      <rPr>
        <sz val="11"/>
        <rFont val="游ゴシック Medium"/>
        <family val="3"/>
        <charset val="128"/>
      </rPr>
      <t>ハーシー</t>
    </r>
    <phoneticPr fontId="1"/>
  </si>
  <si>
    <r>
      <rPr>
        <sz val="11"/>
        <rFont val="游ゴシック Medium"/>
        <family val="3"/>
        <charset val="128"/>
      </rPr>
      <t>中川</t>
    </r>
    <r>
      <rPr>
        <sz val="11"/>
        <rFont val="Consolas"/>
        <family val="3"/>
      </rPr>
      <t xml:space="preserve"> </t>
    </r>
    <r>
      <rPr>
        <sz val="11"/>
        <rFont val="游ゴシック Medium"/>
        <family val="3"/>
        <charset val="128"/>
      </rPr>
      <t>信行</t>
    </r>
    <rPh sb="0" eb="2">
      <t>ナカガワ</t>
    </rPh>
    <rPh sb="3" eb="5">
      <t>ノブユキ</t>
    </rPh>
    <phoneticPr fontId="1"/>
  </si>
  <si>
    <r>
      <rPr>
        <sz val="11"/>
        <rFont val="游ゴシック Medium"/>
        <family val="3"/>
        <charset val="128"/>
      </rPr>
      <t>発行者</t>
    </r>
    <rPh sb="0" eb="3">
      <t>ハッコウシャ</t>
    </rPh>
    <phoneticPr fontId="1"/>
  </si>
  <si>
    <r>
      <rPr>
        <sz val="11"/>
        <rFont val="游ゴシック Medium"/>
        <family val="3"/>
        <charset val="128"/>
      </rPr>
      <t>速効</t>
    </r>
    <r>
      <rPr>
        <sz val="11"/>
        <rFont val="Consolas"/>
        <family val="3"/>
      </rPr>
      <t>!</t>
    </r>
    <r>
      <rPr>
        <sz val="11"/>
        <rFont val="游ゴシック Medium"/>
        <family val="3"/>
        <charset val="128"/>
      </rPr>
      <t>図解プログラミング</t>
    </r>
    <r>
      <rPr>
        <sz val="11"/>
        <rFont val="Consolas"/>
        <family val="3"/>
      </rPr>
      <t xml:space="preserve"> PHP+MySQL</t>
    </r>
    <rPh sb="0" eb="2">
      <t>ソッコウ</t>
    </rPh>
    <rPh sb="3" eb="5">
      <t>ズカイ</t>
    </rPh>
    <phoneticPr fontId="1"/>
  </si>
  <si>
    <r>
      <rPr>
        <sz val="11"/>
        <rFont val="游ゴシック Medium"/>
        <family val="3"/>
        <charset val="128"/>
      </rPr>
      <t>毎日コミュニケーションズ</t>
    </r>
    <rPh sb="0" eb="2">
      <t>マイニチ</t>
    </rPh>
    <phoneticPr fontId="1"/>
  </si>
  <si>
    <r>
      <rPr>
        <sz val="11"/>
        <rFont val="游ゴシック Medium"/>
        <family val="3"/>
        <charset val="128"/>
      </rPr>
      <t>社の経費で必要数分</t>
    </r>
    <rPh sb="0" eb="1">
      <t>シャ</t>
    </rPh>
    <rPh sb="2" eb="4">
      <t>ケイヒ</t>
    </rPh>
    <rPh sb="5" eb="8">
      <t>ヒツヨウスウ</t>
    </rPh>
    <rPh sb="8" eb="9">
      <t>ブン</t>
    </rPh>
    <phoneticPr fontId="1"/>
  </si>
  <si>
    <r>
      <rPr>
        <sz val="11"/>
        <rFont val="游ゴシック Medium"/>
        <family val="3"/>
        <charset val="128"/>
      </rPr>
      <t>小川</t>
    </r>
    <r>
      <rPr>
        <sz val="11"/>
        <rFont val="Consolas"/>
        <family val="3"/>
      </rPr>
      <t xml:space="preserve"> </t>
    </r>
    <r>
      <rPr>
        <sz val="11"/>
        <rFont val="游ゴシック Medium"/>
        <family val="3"/>
        <charset val="128"/>
      </rPr>
      <t>雄大</t>
    </r>
    <r>
      <rPr>
        <sz val="11"/>
        <rFont val="Consolas"/>
        <family val="3"/>
      </rPr>
      <t>/</t>
    </r>
    <r>
      <rPr>
        <sz val="11"/>
        <rFont val="游ゴシック Medium"/>
        <family val="3"/>
        <charset val="128"/>
      </rPr>
      <t>柄沢</t>
    </r>
    <r>
      <rPr>
        <sz val="11"/>
        <rFont val="Consolas"/>
        <family val="3"/>
      </rPr>
      <t xml:space="preserve"> </t>
    </r>
    <r>
      <rPr>
        <sz val="11"/>
        <rFont val="游ゴシック Medium"/>
        <family val="3"/>
        <charset val="128"/>
      </rPr>
      <t>聡太郎</t>
    </r>
    <r>
      <rPr>
        <sz val="11"/>
        <rFont val="Consolas"/>
        <family val="3"/>
      </rPr>
      <t>/</t>
    </r>
    <r>
      <rPr>
        <sz val="11"/>
        <rFont val="游ゴシック Medium"/>
        <family val="3"/>
        <charset val="128"/>
      </rPr>
      <t>橋口</t>
    </r>
    <r>
      <rPr>
        <sz val="11"/>
        <rFont val="Consolas"/>
        <family val="3"/>
      </rPr>
      <t xml:space="preserve"> </t>
    </r>
    <r>
      <rPr>
        <sz val="11"/>
        <rFont val="游ゴシック Medium"/>
        <family val="3"/>
        <charset val="128"/>
      </rPr>
      <t>誠</t>
    </r>
    <rPh sb="0" eb="2">
      <t>オガワ</t>
    </rPh>
    <rPh sb="3" eb="5">
      <t>カツヒロ</t>
    </rPh>
    <rPh sb="6" eb="8">
      <t>カラサワ</t>
    </rPh>
    <rPh sb="9" eb="12">
      <t>ソウタロウ</t>
    </rPh>
    <rPh sb="13" eb="15">
      <t>ハシグチ</t>
    </rPh>
    <rPh sb="16" eb="17">
      <t>マコト</t>
    </rPh>
    <phoneticPr fontId="1"/>
  </si>
  <si>
    <r>
      <rPr>
        <sz val="11"/>
        <rFont val="游ゴシック Medium"/>
        <family val="3"/>
        <charset val="128"/>
      </rPr>
      <t>片岡</t>
    </r>
    <r>
      <rPr>
        <sz val="11"/>
        <rFont val="Consolas"/>
        <family val="3"/>
      </rPr>
      <t xml:space="preserve"> </t>
    </r>
    <r>
      <rPr>
        <sz val="11"/>
        <rFont val="游ゴシック Medium"/>
        <family val="3"/>
        <charset val="128"/>
      </rPr>
      <t>巌</t>
    </r>
    <rPh sb="0" eb="2">
      <t>カタオカ</t>
    </rPh>
    <rPh sb="3" eb="4">
      <t>イワオ</t>
    </rPh>
    <phoneticPr fontId="1"/>
  </si>
  <si>
    <r>
      <rPr>
        <sz val="11"/>
        <rFont val="游ゴシック Medium"/>
        <family val="3"/>
        <charset val="128"/>
      </rPr>
      <t>パーフェクト</t>
    </r>
    <r>
      <rPr>
        <sz val="11"/>
        <rFont val="Consolas"/>
        <family val="3"/>
      </rPr>
      <t xml:space="preserve"> PHP</t>
    </r>
    <phoneticPr fontId="1"/>
  </si>
  <si>
    <r>
      <rPr>
        <sz val="11"/>
        <rFont val="游ゴシック Medium"/>
        <family val="3"/>
        <charset val="128"/>
      </rPr>
      <t>技術評論社</t>
    </r>
    <rPh sb="0" eb="2">
      <t>ギジュツ</t>
    </rPh>
    <rPh sb="2" eb="4">
      <t>ヒョウロン</t>
    </rPh>
    <rPh sb="4" eb="5">
      <t>シャ</t>
    </rPh>
    <phoneticPr fontId="1"/>
  </si>
  <si>
    <r>
      <rPr>
        <sz val="11"/>
        <rFont val="游ゴシック Medium"/>
        <family val="3"/>
        <charset val="128"/>
      </rPr>
      <t>村上</t>
    </r>
    <r>
      <rPr>
        <sz val="11"/>
        <rFont val="Consolas"/>
        <family val="3"/>
      </rPr>
      <t xml:space="preserve"> </t>
    </r>
    <r>
      <rPr>
        <sz val="11"/>
        <rFont val="游ゴシック Medium"/>
        <family val="3"/>
        <charset val="128"/>
      </rPr>
      <t>列</t>
    </r>
    <rPh sb="0" eb="2">
      <t>ムラカミ</t>
    </rPh>
    <rPh sb="3" eb="4">
      <t>レツ</t>
    </rPh>
    <phoneticPr fontId="1"/>
  </si>
  <si>
    <r>
      <t>JavaScript &amp; DHTML</t>
    </r>
    <r>
      <rPr>
        <sz val="11"/>
        <rFont val="游ゴシック Medium"/>
        <family val="3"/>
        <charset val="128"/>
      </rPr>
      <t>クックブック</t>
    </r>
    <r>
      <rPr>
        <sz val="11"/>
        <rFont val="Consolas"/>
        <family val="3"/>
      </rPr>
      <t xml:space="preserve"> </t>
    </r>
    <r>
      <rPr>
        <sz val="11"/>
        <rFont val="游ゴシック Medium"/>
        <family val="3"/>
        <charset val="128"/>
      </rPr>
      <t>第</t>
    </r>
    <r>
      <rPr>
        <sz val="11"/>
        <rFont val="Consolas"/>
        <family val="3"/>
      </rPr>
      <t>2</t>
    </r>
    <r>
      <rPr>
        <sz val="11"/>
        <rFont val="游ゴシック Medium"/>
        <family val="3"/>
        <charset val="128"/>
      </rPr>
      <t>版</t>
    </r>
    <rPh sb="25" eb="26">
      <t>ダイ</t>
    </rPh>
    <rPh sb="27" eb="28">
      <t>バン</t>
    </rPh>
    <phoneticPr fontId="1"/>
  </si>
  <si>
    <r>
      <t>O'REILLY/</t>
    </r>
    <r>
      <rPr>
        <sz val="11"/>
        <rFont val="游ゴシック Medium"/>
        <family val="3"/>
        <charset val="128"/>
      </rPr>
      <t>オーム社</t>
    </r>
    <rPh sb="0" eb="8">
      <t>オライリー・ジャパン</t>
    </rPh>
    <rPh sb="12" eb="13">
      <t>シャ</t>
    </rPh>
    <phoneticPr fontId="1"/>
  </si>
  <si>
    <r>
      <rPr>
        <sz val="11"/>
        <rFont val="游ゴシック Medium"/>
        <family val="3"/>
        <charset val="128"/>
      </rPr>
      <t>柴田</t>
    </r>
    <r>
      <rPr>
        <sz val="11"/>
        <rFont val="Consolas"/>
        <family val="3"/>
      </rPr>
      <t xml:space="preserve"> </t>
    </r>
    <r>
      <rPr>
        <sz val="11"/>
        <rFont val="游ゴシック Medium"/>
        <family val="3"/>
        <charset val="128"/>
      </rPr>
      <t>芳樹</t>
    </r>
    <rPh sb="0" eb="2">
      <t>シバタ</t>
    </rPh>
    <rPh sb="3" eb="5">
      <t>ヨシキ</t>
    </rPh>
    <phoneticPr fontId="1"/>
  </si>
  <si>
    <r>
      <rPr>
        <sz val="11"/>
        <rFont val="游ゴシック Medium"/>
        <family val="3"/>
        <charset val="128"/>
      </rPr>
      <t>プログラミング言語</t>
    </r>
    <r>
      <rPr>
        <sz val="11"/>
        <rFont val="Consolas"/>
        <family val="3"/>
      </rPr>
      <t xml:space="preserve"> Java </t>
    </r>
    <r>
      <rPr>
        <sz val="11"/>
        <rFont val="游ゴシック Medium"/>
        <family val="3"/>
        <charset val="128"/>
      </rPr>
      <t>第</t>
    </r>
    <r>
      <rPr>
        <sz val="11"/>
        <rFont val="Consolas"/>
        <family val="3"/>
      </rPr>
      <t>4</t>
    </r>
    <r>
      <rPr>
        <sz val="11"/>
        <rFont val="游ゴシック Medium"/>
        <family val="3"/>
        <charset val="128"/>
      </rPr>
      <t>版</t>
    </r>
    <rPh sb="7" eb="9">
      <t>ゲンゴ</t>
    </rPh>
    <rPh sb="15" eb="16">
      <t>ダイ</t>
    </rPh>
    <rPh sb="17" eb="18">
      <t>バン</t>
    </rPh>
    <phoneticPr fontId="1"/>
  </si>
  <si>
    <r>
      <rPr>
        <sz val="11"/>
        <rFont val="游ゴシック Medium"/>
        <family val="3"/>
        <charset val="128"/>
      </rPr>
      <t>福田</t>
    </r>
    <r>
      <rPr>
        <sz val="11"/>
        <rFont val="Consolas"/>
        <family val="3"/>
      </rPr>
      <t xml:space="preserve"> </t>
    </r>
    <r>
      <rPr>
        <sz val="11"/>
        <rFont val="游ゴシック Medium"/>
        <family val="3"/>
        <charset val="128"/>
      </rPr>
      <t>博一</t>
    </r>
    <r>
      <rPr>
        <sz val="11"/>
        <rFont val="Consolas"/>
        <family val="3"/>
      </rPr>
      <t>/</t>
    </r>
    <r>
      <rPr>
        <sz val="11"/>
        <rFont val="游ゴシック Medium"/>
        <family val="3"/>
        <charset val="128"/>
      </rPr>
      <t>梶原</t>
    </r>
    <r>
      <rPr>
        <sz val="11"/>
        <rFont val="Consolas"/>
        <family val="3"/>
      </rPr>
      <t xml:space="preserve"> </t>
    </r>
    <r>
      <rPr>
        <sz val="11"/>
        <rFont val="游ゴシック Medium"/>
        <family val="3"/>
        <charset val="128"/>
      </rPr>
      <t>直樹</t>
    </r>
    <rPh sb="0" eb="2">
      <t>フクダ</t>
    </rPh>
    <rPh sb="3" eb="5">
      <t>ヒロカズ</t>
    </rPh>
    <rPh sb="6" eb="8">
      <t>カジワラ</t>
    </rPh>
    <rPh sb="9" eb="11">
      <t>ナオキ</t>
    </rPh>
    <phoneticPr fontId="1"/>
  </si>
  <si>
    <r>
      <rPr>
        <sz val="11"/>
        <rFont val="游ゴシック Medium"/>
        <family val="3"/>
        <charset val="128"/>
      </rPr>
      <t>オープンソース</t>
    </r>
    <r>
      <rPr>
        <sz val="11"/>
        <rFont val="Consolas"/>
        <family val="3"/>
      </rPr>
      <t>EC</t>
    </r>
    <r>
      <rPr>
        <sz val="11"/>
        <rFont val="游ゴシック Medium"/>
        <family val="3"/>
        <charset val="128"/>
      </rPr>
      <t>サイト構築ソフト</t>
    </r>
    <r>
      <rPr>
        <sz val="11"/>
        <rFont val="Consolas"/>
        <family val="3"/>
      </rPr>
      <t xml:space="preserve"> EC-CUBE</t>
    </r>
    <r>
      <rPr>
        <sz val="11"/>
        <rFont val="游ゴシック Medium"/>
        <family val="3"/>
        <charset val="128"/>
      </rPr>
      <t>【</t>
    </r>
    <r>
      <rPr>
        <sz val="11"/>
        <rFont val="Consolas"/>
        <family val="3"/>
      </rPr>
      <t xml:space="preserve">ver2.11 </t>
    </r>
    <r>
      <rPr>
        <sz val="11"/>
        <rFont val="游ゴシック Medium"/>
        <family val="3"/>
        <charset val="128"/>
      </rPr>
      <t>対応】</t>
    </r>
    <r>
      <rPr>
        <sz val="11"/>
        <rFont val="Consolas"/>
        <family val="3"/>
      </rPr>
      <t xml:space="preserve"> </t>
    </r>
    <r>
      <rPr>
        <sz val="11"/>
        <rFont val="游ゴシック Medium"/>
        <family val="3"/>
        <charset val="128"/>
      </rPr>
      <t>公式ガイドブック</t>
    </r>
    <r>
      <rPr>
        <sz val="11"/>
        <rFont val="Consolas"/>
        <family val="3"/>
      </rPr>
      <t xml:space="preserve"> </t>
    </r>
    <r>
      <rPr>
        <sz val="11"/>
        <rFont val="游ゴシック Medium"/>
        <family val="3"/>
        <charset val="128"/>
      </rPr>
      <t>基本編</t>
    </r>
    <rPh sb="12" eb="14">
      <t>コウチク</t>
    </rPh>
    <rPh sb="34" eb="36">
      <t>タイオウ</t>
    </rPh>
    <rPh sb="38" eb="40">
      <t>コウシキ</t>
    </rPh>
    <rPh sb="47" eb="49">
      <t>キホン</t>
    </rPh>
    <rPh sb="49" eb="50">
      <t>ヘン</t>
    </rPh>
    <phoneticPr fontId="1"/>
  </si>
  <si>
    <r>
      <rPr>
        <sz val="11"/>
        <rFont val="游ゴシック Medium"/>
        <family val="3"/>
        <charset val="128"/>
      </rPr>
      <t>秀和システム</t>
    </r>
    <rPh sb="0" eb="2">
      <t>シュウワ</t>
    </rPh>
    <phoneticPr fontId="1"/>
  </si>
  <si>
    <r>
      <rPr>
        <sz val="11"/>
        <rFont val="游ゴシック Medium"/>
        <family val="3"/>
        <charset val="128"/>
      </rPr>
      <t>ファーストサーバ</t>
    </r>
    <r>
      <rPr>
        <sz val="11"/>
        <rFont val="Consolas"/>
        <family val="3"/>
      </rPr>
      <t>EC-CUBE</t>
    </r>
    <r>
      <rPr>
        <sz val="11"/>
        <rFont val="游ゴシック Medium"/>
        <family val="3"/>
        <charset val="128"/>
      </rPr>
      <t>契約時の付録</t>
    </r>
    <rPh sb="15" eb="17">
      <t>ケイヤク</t>
    </rPh>
    <rPh sb="17" eb="18">
      <t>ジ</t>
    </rPh>
    <rPh sb="19" eb="21">
      <t>フロク</t>
    </rPh>
    <phoneticPr fontId="1"/>
  </si>
  <si>
    <r>
      <rPr>
        <sz val="11"/>
        <rFont val="游ゴシック Medium"/>
        <family val="3"/>
        <charset val="128"/>
      </rPr>
      <t>日経ソフトウエア</t>
    </r>
    <rPh sb="0" eb="2">
      <t>ニッケイ</t>
    </rPh>
    <phoneticPr fontId="1"/>
  </si>
  <si>
    <r>
      <t xml:space="preserve">iPhone/iPad &amp; Android </t>
    </r>
    <r>
      <rPr>
        <sz val="11"/>
        <rFont val="游ゴシック Medium"/>
        <family val="3"/>
        <charset val="128"/>
      </rPr>
      <t>プログラミング</t>
    </r>
    <r>
      <rPr>
        <sz val="11"/>
        <rFont val="Consolas"/>
        <family val="3"/>
      </rPr>
      <t xml:space="preserve"> </t>
    </r>
    <r>
      <rPr>
        <sz val="11"/>
        <rFont val="游ゴシック Medium"/>
        <family val="3"/>
        <charset val="128"/>
      </rPr>
      <t>入門</t>
    </r>
    <rPh sb="30" eb="32">
      <t>ニュウモン</t>
    </rPh>
    <phoneticPr fontId="1"/>
  </si>
  <si>
    <r>
      <rPr>
        <sz val="11"/>
        <rFont val="游ゴシック Medium"/>
        <family val="3"/>
        <charset val="128"/>
      </rPr>
      <t>日経</t>
    </r>
    <r>
      <rPr>
        <sz val="11"/>
        <rFont val="Consolas"/>
        <family val="3"/>
      </rPr>
      <t>BP</t>
    </r>
    <r>
      <rPr>
        <sz val="11"/>
        <rFont val="游ゴシック Medium"/>
        <family val="3"/>
        <charset val="128"/>
      </rPr>
      <t>パソコンベストムック</t>
    </r>
    <r>
      <rPr>
        <sz val="11"/>
        <rFont val="Consolas"/>
        <family val="3"/>
      </rPr>
      <t xml:space="preserve"> </t>
    </r>
    <r>
      <rPr>
        <sz val="11"/>
        <rFont val="游ゴシック Medium"/>
        <family val="3"/>
        <charset val="128"/>
      </rPr>
      <t>雑誌</t>
    </r>
    <r>
      <rPr>
        <sz val="11"/>
        <rFont val="Consolas"/>
        <family val="3"/>
      </rPr>
      <t>66994-11</t>
    </r>
    <rPh sb="0" eb="2">
      <t>ニッケイ</t>
    </rPh>
    <rPh sb="15" eb="17">
      <t>ザッシ</t>
    </rPh>
    <phoneticPr fontId="1"/>
  </si>
  <si>
    <r>
      <rPr>
        <sz val="11"/>
        <rFont val="游ゴシック Medium"/>
        <family val="3"/>
        <charset val="128"/>
      </rPr>
      <t>日経</t>
    </r>
    <r>
      <rPr>
        <sz val="11"/>
        <rFont val="Consolas"/>
        <family val="3"/>
      </rPr>
      <t>BP</t>
    </r>
    <r>
      <rPr>
        <sz val="11"/>
        <rFont val="游ゴシック Medium"/>
        <family val="3"/>
        <charset val="128"/>
      </rPr>
      <t>社</t>
    </r>
    <r>
      <rPr>
        <sz val="11"/>
        <rFont val="Consolas"/>
        <family val="3"/>
      </rPr>
      <t>/</t>
    </r>
    <r>
      <rPr>
        <sz val="11"/>
        <rFont val="游ゴシック Medium"/>
        <family val="3"/>
        <charset val="128"/>
      </rPr>
      <t>日経</t>
    </r>
    <r>
      <rPr>
        <sz val="11"/>
        <rFont val="Consolas"/>
        <family val="3"/>
      </rPr>
      <t>BP</t>
    </r>
    <r>
      <rPr>
        <sz val="11"/>
        <rFont val="游ゴシック Medium"/>
        <family val="3"/>
        <charset val="128"/>
      </rPr>
      <t>マーケティング</t>
    </r>
    <rPh sb="0" eb="2">
      <t>ニッケイ</t>
    </rPh>
    <rPh sb="4" eb="5">
      <t>シャ</t>
    </rPh>
    <phoneticPr fontId="1"/>
  </si>
  <si>
    <r>
      <rPr>
        <sz val="11"/>
        <rFont val="游ゴシック Medium"/>
        <family val="3"/>
        <charset val="128"/>
      </rPr>
      <t>講習会の付録</t>
    </r>
    <rPh sb="0" eb="2">
      <t>コウシュウ</t>
    </rPh>
    <rPh sb="2" eb="3">
      <t>カイ</t>
    </rPh>
    <rPh sb="4" eb="6">
      <t>フロク</t>
    </rPh>
    <phoneticPr fontId="1"/>
  </si>
  <si>
    <r>
      <rPr>
        <sz val="11"/>
        <rFont val="游ゴシック Medium"/>
        <family val="3"/>
        <charset val="128"/>
      </rPr>
      <t>天野</t>
    </r>
    <r>
      <rPr>
        <sz val="11"/>
        <rFont val="Consolas"/>
        <family val="3"/>
      </rPr>
      <t xml:space="preserve"> </t>
    </r>
    <r>
      <rPr>
        <sz val="11"/>
        <rFont val="游ゴシック Medium"/>
        <family val="3"/>
        <charset val="128"/>
      </rPr>
      <t>司</t>
    </r>
    <rPh sb="0" eb="2">
      <t>アマノ</t>
    </rPh>
    <rPh sb="3" eb="4">
      <t>ツカサ</t>
    </rPh>
    <phoneticPr fontId="1"/>
  </si>
  <si>
    <r>
      <t xml:space="preserve">Windows Vista </t>
    </r>
    <r>
      <rPr>
        <sz val="11"/>
        <rFont val="游ゴシック Medium"/>
        <family val="3"/>
        <charset val="128"/>
      </rPr>
      <t>コマンドプロンプト</t>
    </r>
    <r>
      <rPr>
        <sz val="11"/>
        <rFont val="Consolas"/>
        <family val="3"/>
      </rPr>
      <t xml:space="preserve"> </t>
    </r>
    <r>
      <rPr>
        <sz val="11"/>
        <rFont val="游ゴシック Medium"/>
        <family val="3"/>
        <charset val="128"/>
      </rPr>
      <t>ポケットリファレンス</t>
    </r>
    <phoneticPr fontId="1"/>
  </si>
  <si>
    <r>
      <rPr>
        <sz val="11"/>
        <rFont val="游ゴシック Medium"/>
        <family val="3"/>
        <charset val="128"/>
      </rPr>
      <t>西</t>
    </r>
    <r>
      <rPr>
        <sz val="11"/>
        <rFont val="Consolas"/>
        <family val="3"/>
      </rPr>
      <t xml:space="preserve"> </t>
    </r>
    <r>
      <rPr>
        <sz val="11"/>
        <rFont val="游ゴシック Medium"/>
        <family val="3"/>
        <charset val="128"/>
      </rPr>
      <t>真由</t>
    </r>
    <rPh sb="0" eb="1">
      <t>ニシ</t>
    </rPh>
    <rPh sb="2" eb="4">
      <t>マユ</t>
    </rPh>
    <phoneticPr fontId="1"/>
  </si>
  <si>
    <r>
      <rPr>
        <sz val="11"/>
        <rFont val="游ゴシック Medium"/>
        <family val="3"/>
        <charset val="128"/>
      </rPr>
      <t>ホームページ・ビルダー</t>
    </r>
    <r>
      <rPr>
        <sz val="11"/>
        <rFont val="Consolas"/>
        <family val="3"/>
      </rPr>
      <t xml:space="preserve"> 12 </t>
    </r>
    <r>
      <rPr>
        <sz val="11"/>
        <rFont val="游ゴシック Medium"/>
        <family val="3"/>
        <charset val="128"/>
      </rPr>
      <t>スパテク</t>
    </r>
    <r>
      <rPr>
        <sz val="11"/>
        <rFont val="Consolas"/>
        <family val="3"/>
      </rPr>
      <t xml:space="preserve"> 160</t>
    </r>
    <phoneticPr fontId="1"/>
  </si>
  <si>
    <r>
      <rPr>
        <sz val="11"/>
        <rFont val="游ゴシック Medium"/>
        <family val="3"/>
        <charset val="128"/>
      </rPr>
      <t>スパテク</t>
    </r>
    <phoneticPr fontId="1"/>
  </si>
  <si>
    <r>
      <rPr>
        <sz val="11"/>
        <rFont val="游ゴシック Medium"/>
        <family val="3"/>
        <charset val="128"/>
      </rPr>
      <t>翔泳社</t>
    </r>
    <rPh sb="0" eb="3">
      <t>ショウエイシャ</t>
    </rPh>
    <phoneticPr fontId="1"/>
  </si>
  <si>
    <r>
      <rPr>
        <sz val="11"/>
        <rFont val="游ゴシック Medium"/>
        <family val="3"/>
        <charset val="128"/>
      </rPr>
      <t>福光</t>
    </r>
    <r>
      <rPr>
        <sz val="11"/>
        <rFont val="Consolas"/>
        <family val="3"/>
      </rPr>
      <t xml:space="preserve"> </t>
    </r>
    <r>
      <rPr>
        <sz val="11"/>
        <rFont val="游ゴシック Medium"/>
        <family val="3"/>
        <charset val="128"/>
      </rPr>
      <t>洋子</t>
    </r>
    <rPh sb="0" eb="2">
      <t>フクミツ</t>
    </rPh>
    <rPh sb="3" eb="5">
      <t>ヨウコ</t>
    </rPh>
    <phoneticPr fontId="1"/>
  </si>
  <si>
    <r>
      <rPr>
        <sz val="11"/>
        <rFont val="游ゴシック Medium"/>
        <family val="3"/>
        <charset val="128"/>
      </rPr>
      <t>チーム・エムツー</t>
    </r>
    <r>
      <rPr>
        <sz val="11"/>
        <rFont val="Consolas"/>
        <family val="3"/>
      </rPr>
      <t>/</t>
    </r>
    <r>
      <rPr>
        <sz val="11"/>
        <rFont val="游ゴシック Medium"/>
        <family val="3"/>
        <charset val="128"/>
      </rPr>
      <t>アリエスコンピュータ</t>
    </r>
    <phoneticPr fontId="1"/>
  </si>
  <si>
    <r>
      <rPr>
        <sz val="11"/>
        <rFont val="游ゴシック Medium"/>
        <family val="3"/>
        <charset val="128"/>
      </rPr>
      <t>編著</t>
    </r>
    <r>
      <rPr>
        <sz val="11"/>
        <rFont val="Consolas"/>
        <family val="3"/>
      </rPr>
      <t>/</t>
    </r>
    <r>
      <rPr>
        <sz val="11"/>
        <rFont val="游ゴシック Medium"/>
        <family val="3"/>
        <charset val="128"/>
      </rPr>
      <t>監修</t>
    </r>
    <rPh sb="0" eb="1">
      <t>ヘン</t>
    </rPh>
    <rPh sb="1" eb="2">
      <t>チョ</t>
    </rPh>
    <rPh sb="3" eb="5">
      <t>カンシュウ</t>
    </rPh>
    <phoneticPr fontId="1"/>
  </si>
  <si>
    <r>
      <t xml:space="preserve">ExcelVBA </t>
    </r>
    <r>
      <rPr>
        <sz val="11"/>
        <rFont val="游ゴシック Medium"/>
        <family val="3"/>
        <charset val="128"/>
      </rPr>
      <t>スパテク</t>
    </r>
    <r>
      <rPr>
        <sz val="11"/>
        <rFont val="Consolas"/>
        <family val="3"/>
      </rPr>
      <t xml:space="preserve"> 368</t>
    </r>
    <phoneticPr fontId="1"/>
  </si>
  <si>
    <r>
      <rPr>
        <sz val="11"/>
        <rFont val="游ゴシック Medium"/>
        <family val="3"/>
        <charset val="128"/>
      </rPr>
      <t>外崎</t>
    </r>
    <r>
      <rPr>
        <sz val="11"/>
        <rFont val="Consolas"/>
        <family val="3"/>
      </rPr>
      <t xml:space="preserve"> </t>
    </r>
    <r>
      <rPr>
        <sz val="11"/>
        <rFont val="游ゴシック Medium"/>
        <family val="3"/>
        <charset val="128"/>
      </rPr>
      <t>則夫</t>
    </r>
    <r>
      <rPr>
        <sz val="11"/>
        <rFont val="Consolas"/>
        <family val="3"/>
      </rPr>
      <t xml:space="preserve"> &amp; </t>
    </r>
    <r>
      <rPr>
        <sz val="11"/>
        <rFont val="游ゴシック Medium"/>
        <family val="3"/>
        <charset val="128"/>
      </rPr>
      <t>梅津</t>
    </r>
    <r>
      <rPr>
        <sz val="11"/>
        <rFont val="Consolas"/>
        <family val="3"/>
      </rPr>
      <t xml:space="preserve"> </t>
    </r>
    <r>
      <rPr>
        <sz val="11"/>
        <rFont val="游ゴシック Medium"/>
        <family val="3"/>
        <charset val="128"/>
      </rPr>
      <t>信幸</t>
    </r>
    <rPh sb="0" eb="2">
      <t>ソトザキ</t>
    </rPh>
    <rPh sb="3" eb="5">
      <t>ノリオ</t>
    </rPh>
    <rPh sb="8" eb="10">
      <t>ウメヅ</t>
    </rPh>
    <rPh sb="11" eb="13">
      <t>ノブユキ</t>
    </rPh>
    <phoneticPr fontId="1"/>
  </si>
  <si>
    <r>
      <t>Microsoft Syndrome</t>
    </r>
    <r>
      <rPr>
        <sz val="11"/>
        <rFont val="游ゴシック Medium"/>
        <family val="3"/>
        <charset val="128"/>
      </rPr>
      <t>─</t>
    </r>
    <r>
      <rPr>
        <sz val="11"/>
        <rFont val="Consolas"/>
        <family val="3"/>
      </rPr>
      <t>Computer</t>
    </r>
    <r>
      <rPr>
        <sz val="11"/>
        <rFont val="游ゴシック Medium"/>
        <family val="3"/>
        <charset val="128"/>
      </rPr>
      <t>はこれでいいのか</t>
    </r>
    <r>
      <rPr>
        <sz val="11"/>
        <rFont val="Consolas"/>
        <family val="3"/>
      </rPr>
      <t>!?</t>
    </r>
    <rPh sb="0" eb="9">
      <t>マイクロソフト</t>
    </rPh>
    <rPh sb="10" eb="18">
      <t>シンドローム</t>
    </rPh>
    <rPh sb="19" eb="27">
      <t>コンピュータ</t>
    </rPh>
    <phoneticPr fontId="1"/>
  </si>
  <si>
    <r>
      <rPr>
        <sz val="11"/>
        <rFont val="游ゴシック Medium"/>
        <family val="3"/>
        <charset val="128"/>
      </rPr>
      <t>有楽町駅構内</t>
    </r>
    <rPh sb="0" eb="3">
      <t>ユウラクチョウ</t>
    </rPh>
    <rPh sb="3" eb="4">
      <t>エキ</t>
    </rPh>
    <rPh sb="4" eb="6">
      <t>コウナイ</t>
    </rPh>
    <phoneticPr fontId="1"/>
  </si>
  <si>
    <r>
      <rPr>
        <sz val="11"/>
        <rFont val="游ゴシック Medium"/>
        <family val="3"/>
        <charset val="128"/>
      </rPr>
      <t>行列と</t>
    </r>
    <r>
      <rPr>
        <sz val="11"/>
        <rFont val="Consolas"/>
        <family val="3"/>
      </rPr>
      <t>Vector</t>
    </r>
    <r>
      <rPr>
        <sz val="11"/>
        <rFont val="游ゴシック Medium"/>
        <family val="3"/>
        <charset val="128"/>
      </rPr>
      <t>のはなし</t>
    </r>
    <rPh sb="0" eb="2">
      <t>ギョウレツ</t>
    </rPh>
    <rPh sb="3" eb="9">
      <t>ベクトル</t>
    </rPh>
    <phoneticPr fontId="1"/>
  </si>
  <si>
    <r>
      <rPr>
        <sz val="11"/>
        <rFont val="游ゴシック Medium"/>
        <family val="3"/>
        <charset val="128"/>
      </rPr>
      <t>林</t>
    </r>
    <r>
      <rPr>
        <sz val="11"/>
        <rFont val="Consolas"/>
        <family val="3"/>
      </rPr>
      <t xml:space="preserve"> </t>
    </r>
    <r>
      <rPr>
        <sz val="11"/>
        <rFont val="游ゴシック Medium"/>
        <family val="3"/>
        <charset val="128"/>
      </rPr>
      <t>晴比古</t>
    </r>
    <rPh sb="0" eb="1">
      <t>ハヤシ</t>
    </rPh>
    <rPh sb="2" eb="5">
      <t>ハルヒコ</t>
    </rPh>
    <phoneticPr fontId="1"/>
  </si>
  <si>
    <r>
      <rPr>
        <sz val="11"/>
        <rFont val="游ゴシック Medium"/>
        <family val="3"/>
        <charset val="128"/>
      </rPr>
      <t>新</t>
    </r>
    <r>
      <rPr>
        <sz val="11"/>
        <rFont val="Consolas"/>
        <family val="3"/>
      </rPr>
      <t xml:space="preserve">Visual Basic </t>
    </r>
    <r>
      <rPr>
        <sz val="11"/>
        <rFont val="游ゴシック Medium"/>
        <family val="3"/>
        <charset val="128"/>
      </rPr>
      <t>入門</t>
    </r>
    <r>
      <rPr>
        <sz val="11"/>
        <rFont val="Consolas"/>
        <family val="3"/>
      </rPr>
      <t>/Beginner</t>
    </r>
    <r>
      <rPr>
        <sz val="11"/>
        <rFont val="游ゴシック Medium"/>
        <family val="3"/>
        <charset val="128"/>
      </rPr>
      <t>編</t>
    </r>
    <r>
      <rPr>
        <sz val="11"/>
        <rFont val="Consolas"/>
        <family val="3"/>
      </rPr>
      <t>/Ver.6.0</t>
    </r>
    <r>
      <rPr>
        <sz val="11"/>
        <rFont val="游ゴシック Medium"/>
        <family val="3"/>
        <charset val="128"/>
      </rPr>
      <t>対応</t>
    </r>
    <rPh sb="0" eb="1">
      <t>シン</t>
    </rPh>
    <rPh sb="1" eb="7">
      <t>ヴィジュアル</t>
    </rPh>
    <rPh sb="8" eb="13">
      <t>ベーシック</t>
    </rPh>
    <rPh sb="14" eb="16">
      <t>ニュウモン</t>
    </rPh>
    <rPh sb="17" eb="25">
      <t>ビギナー</t>
    </rPh>
    <rPh sb="25" eb="26">
      <t>ヘン</t>
    </rPh>
    <rPh sb="34" eb="36">
      <t>タイオウ</t>
    </rPh>
    <phoneticPr fontId="1"/>
  </si>
  <si>
    <r>
      <t xml:space="preserve">Visual Basic 6.0 </t>
    </r>
    <r>
      <rPr>
        <sz val="11"/>
        <rFont val="游ゴシック Medium"/>
        <family val="3"/>
        <charset val="128"/>
      </rPr>
      <t>実用マスターシリーズ</t>
    </r>
    <r>
      <rPr>
        <sz val="11"/>
        <rFont val="Consolas"/>
        <family val="3"/>
      </rPr>
      <t>/1</t>
    </r>
    <rPh sb="17" eb="19">
      <t>ジツヨウ</t>
    </rPh>
    <phoneticPr fontId="1"/>
  </si>
  <si>
    <r>
      <rPr>
        <sz val="11"/>
        <rFont val="游ゴシック Medium"/>
        <family val="3"/>
        <charset val="128"/>
      </rPr>
      <t>テクノメディア</t>
    </r>
    <phoneticPr fontId="1"/>
  </si>
  <si>
    <r>
      <rPr>
        <sz val="11"/>
        <rFont val="游ゴシック Medium"/>
        <family val="3"/>
        <charset val="128"/>
      </rPr>
      <t>ベスト</t>
    </r>
    <r>
      <rPr>
        <sz val="11"/>
        <rFont val="Consolas"/>
        <family val="3"/>
      </rPr>
      <t>! Excel97/</t>
    </r>
    <r>
      <rPr>
        <sz val="11"/>
        <rFont val="游ゴシック Medium"/>
        <family val="3"/>
        <charset val="128"/>
      </rPr>
      <t>基本操作編</t>
    </r>
    <r>
      <rPr>
        <sz val="11"/>
        <rFont val="Consolas"/>
        <family val="3"/>
      </rPr>
      <t>/</t>
    </r>
    <r>
      <rPr>
        <sz val="11"/>
        <rFont val="游ゴシック Medium"/>
        <family val="3"/>
        <charset val="128"/>
      </rPr>
      <t>活用編</t>
    </r>
    <rPh sb="5" eb="10">
      <t>エクセル</t>
    </rPh>
    <rPh sb="13" eb="17">
      <t>キホンソウサ</t>
    </rPh>
    <rPh sb="17" eb="18">
      <t>ヘン</t>
    </rPh>
    <rPh sb="19" eb="21">
      <t>カツヨウ</t>
    </rPh>
    <rPh sb="21" eb="22">
      <t>ヘン</t>
    </rPh>
    <phoneticPr fontId="1"/>
  </si>
  <si>
    <r>
      <rPr>
        <sz val="11"/>
        <rFont val="游ゴシック Medium"/>
        <family val="3"/>
        <charset val="128"/>
      </rPr>
      <t>梅原</t>
    </r>
    <r>
      <rPr>
        <sz val="11"/>
        <rFont val="Consolas"/>
        <family val="3"/>
      </rPr>
      <t xml:space="preserve"> </t>
    </r>
    <r>
      <rPr>
        <sz val="11"/>
        <rFont val="游ゴシック Medium"/>
        <family val="3"/>
        <charset val="128"/>
      </rPr>
      <t>玲子</t>
    </r>
    <rPh sb="0" eb="2">
      <t>ウメハラ</t>
    </rPh>
    <rPh sb="3" eb="5">
      <t>レイコ</t>
    </rPh>
    <phoneticPr fontId="1"/>
  </si>
  <si>
    <r>
      <rPr>
        <sz val="11"/>
        <rFont val="游ゴシック Medium"/>
        <family val="3"/>
        <charset val="128"/>
      </rPr>
      <t>一夜づけの</t>
    </r>
    <r>
      <rPr>
        <sz val="11"/>
        <rFont val="Consolas"/>
        <family val="3"/>
      </rPr>
      <t xml:space="preserve"> Word97 </t>
    </r>
    <r>
      <rPr>
        <sz val="11"/>
        <rFont val="游ゴシック Medium"/>
        <family val="3"/>
        <charset val="128"/>
      </rPr>
      <t>はがき・チラシ作り</t>
    </r>
    <r>
      <rPr>
        <sz val="11"/>
        <rFont val="Consolas"/>
        <family val="3"/>
      </rPr>
      <t>/</t>
    </r>
    <r>
      <rPr>
        <sz val="11"/>
        <rFont val="游ゴシック Medium"/>
        <family val="3"/>
        <charset val="128"/>
      </rPr>
      <t>このとおりやれば作れます</t>
    </r>
    <rPh sb="0" eb="3">
      <t>イチヤヅ</t>
    </rPh>
    <rPh sb="6" eb="10">
      <t>ワード</t>
    </rPh>
    <rPh sb="20" eb="21">
      <t>ヅク</t>
    </rPh>
    <rPh sb="31" eb="32">
      <t>ツク</t>
    </rPh>
    <phoneticPr fontId="1"/>
  </si>
  <si>
    <r>
      <rPr>
        <sz val="11"/>
        <rFont val="游ゴシック Medium"/>
        <family val="3"/>
        <charset val="128"/>
      </rPr>
      <t>開いたら閉じないバインダー方式</t>
    </r>
    <rPh sb="0" eb="1">
      <t>ヒラ</t>
    </rPh>
    <rPh sb="4" eb="5">
      <t>ト</t>
    </rPh>
    <rPh sb="13" eb="15">
      <t>ホウシキ</t>
    </rPh>
    <phoneticPr fontId="1"/>
  </si>
  <si>
    <r>
      <rPr>
        <sz val="11"/>
        <rFont val="游ゴシック Medium"/>
        <family val="3"/>
        <charset val="128"/>
      </rPr>
      <t>明日香出版社</t>
    </r>
    <rPh sb="0" eb="6">
      <t>アスカシュッパンシャ</t>
    </rPh>
    <phoneticPr fontId="1"/>
  </si>
  <si>
    <r>
      <rPr>
        <sz val="11"/>
        <rFont val="游ゴシック Medium"/>
        <family val="3"/>
        <charset val="128"/>
      </rPr>
      <t>井上</t>
    </r>
    <r>
      <rPr>
        <sz val="11"/>
        <rFont val="Consolas"/>
        <family val="3"/>
      </rPr>
      <t xml:space="preserve"> </t>
    </r>
    <r>
      <rPr>
        <sz val="11"/>
        <rFont val="游ゴシック Medium"/>
        <family val="3"/>
        <charset val="128"/>
      </rPr>
      <t>健語</t>
    </r>
    <rPh sb="0" eb="2">
      <t>イノウエ</t>
    </rPh>
    <rPh sb="3" eb="5">
      <t>ケンゴ</t>
    </rPh>
    <phoneticPr fontId="1"/>
  </si>
  <si>
    <r>
      <rPr>
        <sz val="11"/>
        <rFont val="游ゴシック Medium"/>
        <family val="3"/>
        <charset val="128"/>
      </rPr>
      <t>川島</t>
    </r>
    <r>
      <rPr>
        <sz val="11"/>
        <rFont val="Consolas"/>
        <family val="3"/>
      </rPr>
      <t xml:space="preserve"> </t>
    </r>
    <r>
      <rPr>
        <sz val="11"/>
        <rFont val="游ゴシック Medium"/>
        <family val="3"/>
        <charset val="128"/>
      </rPr>
      <t>北京</t>
    </r>
    <rPh sb="0" eb="2">
      <t>カワシマ</t>
    </rPh>
    <rPh sb="3" eb="5">
      <t>ペキン</t>
    </rPh>
    <phoneticPr fontId="1"/>
  </si>
  <si>
    <r>
      <rPr>
        <sz val="11"/>
        <rFont val="游ゴシック Medium"/>
        <family val="3"/>
        <charset val="128"/>
      </rPr>
      <t>マンガ</t>
    </r>
    <phoneticPr fontId="1"/>
  </si>
  <si>
    <r>
      <rPr>
        <sz val="11"/>
        <rFont val="游ゴシック Medium"/>
        <family val="3"/>
        <charset val="128"/>
      </rPr>
      <t>サルにもわかる</t>
    </r>
    <r>
      <rPr>
        <sz val="11"/>
        <rFont val="Consolas"/>
        <family val="3"/>
      </rPr>
      <t>Word</t>
    </r>
    <r>
      <rPr>
        <sz val="11"/>
        <rFont val="游ゴシック Medium"/>
        <family val="3"/>
        <charset val="128"/>
      </rPr>
      <t>の本</t>
    </r>
    <r>
      <rPr>
        <sz val="11"/>
        <rFont val="Consolas"/>
        <family val="3"/>
      </rPr>
      <t>/</t>
    </r>
    <r>
      <rPr>
        <sz val="11"/>
        <rFont val="游ゴシック Medium"/>
        <family val="3"/>
        <charset val="128"/>
      </rPr>
      <t>マンガ</t>
    </r>
    <rPh sb="7" eb="11">
      <t>ワード</t>
    </rPh>
    <rPh sb="12" eb="13">
      <t>ホン</t>
    </rPh>
    <phoneticPr fontId="1"/>
  </si>
  <si>
    <r>
      <rPr>
        <sz val="11"/>
        <rFont val="游ゴシック Medium"/>
        <family val="3"/>
        <charset val="128"/>
      </rPr>
      <t>春日</t>
    </r>
    <r>
      <rPr>
        <sz val="11"/>
        <rFont val="Consolas"/>
        <family val="3"/>
      </rPr>
      <t xml:space="preserve"> </t>
    </r>
    <r>
      <rPr>
        <sz val="11"/>
        <rFont val="游ゴシック Medium"/>
        <family val="3"/>
        <charset val="128"/>
      </rPr>
      <t>正夫・沢田</t>
    </r>
    <r>
      <rPr>
        <sz val="11"/>
        <rFont val="Consolas"/>
        <family val="3"/>
      </rPr>
      <t xml:space="preserve"> </t>
    </r>
    <r>
      <rPr>
        <sz val="11"/>
        <rFont val="游ゴシック Medium"/>
        <family val="3"/>
        <charset val="128"/>
      </rPr>
      <t>昭</t>
    </r>
    <rPh sb="0" eb="2">
      <t>カスガ</t>
    </rPh>
    <rPh sb="3" eb="5">
      <t>マサオ</t>
    </rPh>
    <rPh sb="6" eb="8">
      <t>サワダ</t>
    </rPh>
    <rPh sb="9" eb="10">
      <t>アキラ</t>
    </rPh>
    <phoneticPr fontId="1"/>
  </si>
  <si>
    <r>
      <t xml:space="preserve">MS-Dos Ver.3.1 </t>
    </r>
    <r>
      <rPr>
        <sz val="11"/>
        <rFont val="游ゴシック Medium"/>
        <family val="3"/>
        <charset val="128"/>
      </rPr>
      <t>ハンディ</t>
    </r>
    <r>
      <rPr>
        <sz val="11"/>
        <rFont val="Consolas"/>
        <family val="3"/>
      </rPr>
      <t xml:space="preserve"> Manual</t>
    </r>
    <rPh sb="20" eb="26">
      <t>マニュアル</t>
    </rPh>
    <phoneticPr fontId="1"/>
  </si>
  <si>
    <r>
      <rPr>
        <sz val="11"/>
        <rFont val="游ゴシック Medium"/>
        <family val="3"/>
        <charset val="128"/>
      </rPr>
      <t>新星出版社</t>
    </r>
    <rPh sb="0" eb="2">
      <t>シンセイ</t>
    </rPh>
    <rPh sb="2" eb="5">
      <t>シュッパンシャ</t>
    </rPh>
    <phoneticPr fontId="1"/>
  </si>
  <si>
    <r>
      <rPr>
        <sz val="11"/>
        <rFont val="游ゴシック Medium"/>
        <family val="3"/>
        <charset val="128"/>
      </rPr>
      <t>福崎</t>
    </r>
    <r>
      <rPr>
        <sz val="11"/>
        <rFont val="Consolas"/>
        <family val="3"/>
      </rPr>
      <t xml:space="preserve"> </t>
    </r>
    <r>
      <rPr>
        <sz val="11"/>
        <rFont val="游ゴシック Medium"/>
        <family val="3"/>
        <charset val="128"/>
      </rPr>
      <t>俊博</t>
    </r>
    <rPh sb="0" eb="2">
      <t>フクザキ</t>
    </rPh>
    <rPh sb="3" eb="5">
      <t>トシヒロ</t>
    </rPh>
    <phoneticPr fontId="1"/>
  </si>
  <si>
    <r>
      <t>MS-Dos</t>
    </r>
    <r>
      <rPr>
        <sz val="11"/>
        <rFont val="游ゴシック Medium"/>
        <family val="3"/>
        <charset val="128"/>
      </rPr>
      <t>を</t>
    </r>
    <r>
      <rPr>
        <sz val="11"/>
        <rFont val="Consolas"/>
        <family val="3"/>
      </rPr>
      <t>256</t>
    </r>
    <r>
      <rPr>
        <sz val="11"/>
        <rFont val="游ゴシック Medium"/>
        <family val="3"/>
        <charset val="128"/>
      </rPr>
      <t>倍使うための本</t>
    </r>
    <r>
      <rPr>
        <sz val="11"/>
        <rFont val="Consolas"/>
        <family val="3"/>
      </rPr>
      <t xml:space="preserve"> Vol.1</t>
    </r>
    <rPh sb="7" eb="11">
      <t>ニゴロバイ</t>
    </rPh>
    <rPh sb="11" eb="12">
      <t>ツカ</t>
    </rPh>
    <rPh sb="16" eb="17">
      <t>ホン</t>
    </rPh>
    <phoneticPr fontId="1"/>
  </si>
  <si>
    <r>
      <t>ASCII</t>
    </r>
    <r>
      <rPr>
        <sz val="11"/>
        <rFont val="游ゴシック Medium"/>
        <family val="3"/>
        <charset val="128"/>
      </rPr>
      <t>出版局</t>
    </r>
    <rPh sb="0" eb="5">
      <t>アスキー</t>
    </rPh>
    <rPh sb="5" eb="8">
      <t>シュッパンキョク</t>
    </rPh>
    <phoneticPr fontId="1"/>
  </si>
  <si>
    <r>
      <t>MS-Dos</t>
    </r>
    <r>
      <rPr>
        <sz val="11"/>
        <rFont val="游ゴシック Medium"/>
        <family val="3"/>
        <charset val="128"/>
      </rPr>
      <t>を</t>
    </r>
    <r>
      <rPr>
        <sz val="11"/>
        <rFont val="Consolas"/>
        <family val="3"/>
      </rPr>
      <t>256</t>
    </r>
    <r>
      <rPr>
        <sz val="11"/>
        <rFont val="游ゴシック Medium"/>
        <family val="3"/>
        <charset val="128"/>
      </rPr>
      <t>倍使うための本</t>
    </r>
    <r>
      <rPr>
        <sz val="11"/>
        <rFont val="Consolas"/>
        <family val="3"/>
      </rPr>
      <t xml:space="preserve"> Vol.2</t>
    </r>
    <rPh sb="7" eb="11">
      <t>ニゴロバイ</t>
    </rPh>
    <rPh sb="11" eb="12">
      <t>ツカ</t>
    </rPh>
    <rPh sb="16" eb="17">
      <t>ホン</t>
    </rPh>
    <phoneticPr fontId="1"/>
  </si>
  <si>
    <r>
      <rPr>
        <sz val="11"/>
        <rFont val="游ゴシック Medium"/>
        <family val="3"/>
        <charset val="128"/>
      </rPr>
      <t>村瀬</t>
    </r>
    <r>
      <rPr>
        <sz val="11"/>
        <rFont val="Consolas"/>
        <family val="3"/>
      </rPr>
      <t xml:space="preserve"> </t>
    </r>
    <r>
      <rPr>
        <sz val="11"/>
        <rFont val="游ゴシック Medium"/>
        <family val="3"/>
        <charset val="128"/>
      </rPr>
      <t>康治</t>
    </r>
    <rPh sb="0" eb="2">
      <t>ムラセ</t>
    </rPh>
    <rPh sb="3" eb="5">
      <t>コウジ</t>
    </rPh>
    <phoneticPr fontId="1"/>
  </si>
  <si>
    <r>
      <rPr>
        <sz val="11"/>
        <rFont val="游ゴシック Medium"/>
        <family val="3"/>
        <charset val="128"/>
      </rPr>
      <t>入門</t>
    </r>
    <r>
      <rPr>
        <sz val="11"/>
        <rFont val="Consolas"/>
        <family val="3"/>
      </rPr>
      <t xml:space="preserve"> Ms-Dos</t>
    </r>
    <rPh sb="0" eb="2">
      <t>ニュウモン</t>
    </rPh>
    <rPh sb="3" eb="9">
      <t>エムエスドス</t>
    </rPh>
    <phoneticPr fontId="1"/>
  </si>
  <si>
    <r>
      <rPr>
        <sz val="11"/>
        <rFont val="游ゴシック Medium"/>
        <family val="3"/>
        <charset val="128"/>
      </rPr>
      <t>三田</t>
    </r>
    <r>
      <rPr>
        <sz val="11"/>
        <rFont val="Consolas"/>
        <family val="3"/>
      </rPr>
      <t xml:space="preserve"> </t>
    </r>
    <r>
      <rPr>
        <sz val="11"/>
        <rFont val="游ゴシック Medium"/>
        <family val="3"/>
        <charset val="128"/>
      </rPr>
      <t>典玄</t>
    </r>
    <rPh sb="0" eb="2">
      <t>ミタ</t>
    </rPh>
    <phoneticPr fontId="1"/>
  </si>
  <si>
    <r>
      <rPr>
        <sz val="11"/>
        <rFont val="游ゴシック Medium"/>
        <family val="3"/>
        <charset val="128"/>
      </rPr>
      <t>入門</t>
    </r>
    <r>
      <rPr>
        <sz val="11"/>
        <rFont val="Consolas"/>
        <family val="3"/>
      </rPr>
      <t xml:space="preserve"> C</t>
    </r>
    <r>
      <rPr>
        <sz val="11"/>
        <rFont val="游ゴシック Medium"/>
        <family val="3"/>
        <charset val="128"/>
      </rPr>
      <t>言語</t>
    </r>
    <rPh sb="0" eb="2">
      <t>ニュウモン</t>
    </rPh>
    <rPh sb="4" eb="6">
      <t>ゲンゴ</t>
    </rPh>
    <phoneticPr fontId="1"/>
  </si>
  <si>
    <r>
      <t>ASCII</t>
    </r>
    <r>
      <rPr>
        <sz val="11"/>
        <rFont val="游ゴシック Medium"/>
        <family val="3"/>
        <charset val="128"/>
      </rPr>
      <t>出版局</t>
    </r>
    <rPh sb="5" eb="8">
      <t>シュッパンキョク</t>
    </rPh>
    <phoneticPr fontId="1"/>
  </si>
  <si>
    <r>
      <t>Computer</t>
    </r>
    <r>
      <rPr>
        <sz val="11"/>
        <rFont val="游ゴシック Medium"/>
        <family val="3"/>
        <charset val="128"/>
      </rPr>
      <t>業界</t>
    </r>
    <r>
      <rPr>
        <sz val="11"/>
        <rFont val="Consolas"/>
        <family val="3"/>
      </rPr>
      <t>Handbook</t>
    </r>
    <rPh sb="0" eb="8">
      <t>コンピュータ</t>
    </rPh>
    <rPh sb="8" eb="10">
      <t>ギョウカイ</t>
    </rPh>
    <rPh sb="10" eb="18">
      <t>ハンドブック</t>
    </rPh>
    <phoneticPr fontId="1"/>
  </si>
  <si>
    <r>
      <rPr>
        <sz val="11"/>
        <rFont val="游ゴシック Medium"/>
        <family val="3"/>
        <charset val="128"/>
      </rPr>
      <t>電脳騒乱節</t>
    </r>
    <r>
      <rPr>
        <sz val="11"/>
        <rFont val="Consolas"/>
        <family val="3"/>
      </rPr>
      <t>/vol.1</t>
    </r>
    <rPh sb="0" eb="2">
      <t>デンノウ</t>
    </rPh>
    <rPh sb="2" eb="4">
      <t>ソウラン</t>
    </rPh>
    <rPh sb="4" eb="5">
      <t>ブシ</t>
    </rPh>
    <phoneticPr fontId="1"/>
  </si>
  <si>
    <r>
      <rPr>
        <sz val="11"/>
        <rFont val="游ゴシック Medium"/>
        <family val="3"/>
        <charset val="128"/>
      </rPr>
      <t>電脳騒乱節</t>
    </r>
    <r>
      <rPr>
        <sz val="11"/>
        <rFont val="Consolas"/>
        <family val="3"/>
      </rPr>
      <t>/vol.2</t>
    </r>
    <rPh sb="0" eb="2">
      <t>デンノウ</t>
    </rPh>
    <rPh sb="2" eb="4">
      <t>ソウラン</t>
    </rPh>
    <rPh sb="4" eb="5">
      <t>ブシ</t>
    </rPh>
    <phoneticPr fontId="1"/>
  </si>
  <si>
    <r>
      <t xml:space="preserve">SONAR X1 </t>
    </r>
    <r>
      <rPr>
        <sz val="11"/>
        <rFont val="游ゴシック Medium"/>
        <family val="3"/>
        <charset val="128"/>
      </rPr>
      <t>完全攻略ガイド</t>
    </r>
    <rPh sb="9" eb="11">
      <t>カンゼン</t>
    </rPh>
    <rPh sb="11" eb="13">
      <t>コウリャク</t>
    </rPh>
    <phoneticPr fontId="1"/>
  </si>
  <si>
    <r>
      <rPr>
        <sz val="11"/>
        <rFont val="游ゴシック Medium"/>
        <family val="3"/>
        <charset val="128"/>
      </rPr>
      <t>楽譜</t>
    </r>
    <rPh sb="0" eb="2">
      <t>ガクフ</t>
    </rPh>
    <phoneticPr fontId="1"/>
  </si>
  <si>
    <r>
      <rPr>
        <sz val="11"/>
        <rFont val="游ゴシック Medium"/>
        <family val="3"/>
        <charset val="128"/>
      </rPr>
      <t>楽譜</t>
    </r>
    <r>
      <rPr>
        <sz val="11"/>
        <rFont val="Consolas"/>
        <family val="3"/>
      </rPr>
      <t>copy</t>
    </r>
    <rPh sb="0" eb="2">
      <t>ガクフ</t>
    </rPh>
    <phoneticPr fontId="1"/>
  </si>
  <si>
    <r>
      <rPr>
        <sz val="11"/>
        <rFont val="游ゴシック Medium"/>
        <family val="3"/>
        <charset val="128"/>
      </rPr>
      <t>現代音楽</t>
    </r>
    <rPh sb="0" eb="2">
      <t>ゲンダイ</t>
    </rPh>
    <rPh sb="2" eb="4">
      <t>オンガク</t>
    </rPh>
    <phoneticPr fontId="1"/>
  </si>
  <si>
    <r>
      <t>Imagenary Landscape No.1</t>
    </r>
    <r>
      <rPr>
        <b/>
        <sz val="11"/>
        <color indexed="33"/>
        <rFont val="游ゴシック Medium"/>
        <family val="3"/>
        <charset val="128"/>
      </rPr>
      <t>／</t>
    </r>
    <r>
      <rPr>
        <b/>
        <sz val="11"/>
        <color indexed="33"/>
        <rFont val="Consolas"/>
        <family val="3"/>
      </rPr>
      <t>No.4</t>
    </r>
    <phoneticPr fontId="1"/>
  </si>
  <si>
    <r>
      <t>5</t>
    </r>
    <r>
      <rPr>
        <b/>
        <sz val="11"/>
        <color indexed="33"/>
        <rFont val="游ゴシック Medium"/>
        <family val="3"/>
        <charset val="128"/>
      </rPr>
      <t>本のクラベスの音楽</t>
    </r>
    <r>
      <rPr>
        <b/>
        <sz val="11"/>
        <color indexed="33"/>
        <rFont val="Consolas"/>
        <family val="3"/>
      </rPr>
      <t>/Music for Pieces of Wood fur funf Paargestimmte Holzstabe</t>
    </r>
    <rPh sb="1" eb="2">
      <t>ホン</t>
    </rPh>
    <rPh sb="8" eb="10">
      <t>オンガク</t>
    </rPh>
    <phoneticPr fontId="1"/>
  </si>
  <si>
    <r>
      <rPr>
        <b/>
        <sz val="11"/>
        <color indexed="33"/>
        <rFont val="游ゴシック Medium"/>
        <family val="3"/>
        <charset val="128"/>
      </rPr>
      <t>西村</t>
    </r>
    <r>
      <rPr>
        <b/>
        <sz val="11"/>
        <color indexed="33"/>
        <rFont val="Consolas"/>
        <family val="3"/>
      </rPr>
      <t xml:space="preserve"> </t>
    </r>
    <r>
      <rPr>
        <b/>
        <sz val="11"/>
        <color indexed="33"/>
        <rFont val="游ゴシック Medium"/>
        <family val="3"/>
        <charset val="128"/>
      </rPr>
      <t>朗</t>
    </r>
    <rPh sb="0" eb="2">
      <t>ニシムラ</t>
    </rPh>
    <rPh sb="3" eb="4">
      <t>アキラ</t>
    </rPh>
    <phoneticPr fontId="1"/>
  </si>
  <si>
    <r>
      <rPr>
        <b/>
        <sz val="11"/>
        <color indexed="33"/>
        <rFont val="游ゴシック Medium"/>
        <family val="3"/>
        <charset val="128"/>
      </rPr>
      <t>打楽器作品集</t>
    </r>
    <r>
      <rPr>
        <b/>
        <sz val="11"/>
        <color indexed="33"/>
        <rFont val="Consolas"/>
        <family val="3"/>
      </rPr>
      <t xml:space="preserve"> </t>
    </r>
    <r>
      <rPr>
        <b/>
        <sz val="11"/>
        <color indexed="33"/>
        <rFont val="游ゴシック Medium"/>
        <family val="3"/>
        <charset val="128"/>
      </rPr>
      <t>第</t>
    </r>
    <r>
      <rPr>
        <b/>
        <sz val="11"/>
        <color indexed="33"/>
        <rFont val="Consolas"/>
        <family val="3"/>
      </rPr>
      <t>1</t>
    </r>
    <r>
      <rPr>
        <b/>
        <sz val="11"/>
        <color indexed="33"/>
        <rFont val="游ゴシック Medium"/>
        <family val="3"/>
        <charset val="128"/>
      </rPr>
      <t>集</t>
    </r>
    <rPh sb="0" eb="3">
      <t>ダガッキ</t>
    </rPh>
    <rPh sb="3" eb="6">
      <t>サクヒンシュウ</t>
    </rPh>
    <rPh sb="7" eb="10">
      <t>ダイ１シュウ</t>
    </rPh>
    <phoneticPr fontId="1"/>
  </si>
  <si>
    <r>
      <rPr>
        <sz val="11"/>
        <rFont val="游ゴシック Medium"/>
        <family val="3"/>
        <charset val="128"/>
      </rPr>
      <t>全音楽譜出版社</t>
    </r>
    <rPh sb="0" eb="7">
      <t>ゼンオンガクフシュッパンシャ</t>
    </rPh>
    <phoneticPr fontId="1"/>
  </si>
  <si>
    <r>
      <rPr>
        <sz val="11"/>
        <rFont val="游ゴシック Medium"/>
        <family val="3"/>
        <charset val="128"/>
      </rPr>
      <t>管弦楽組曲ロ短調</t>
    </r>
    <rPh sb="0" eb="3">
      <t>カンゲンガク</t>
    </rPh>
    <rPh sb="3" eb="5">
      <t>クミキョク</t>
    </rPh>
    <rPh sb="5" eb="8">
      <t>ロタンチョウ</t>
    </rPh>
    <phoneticPr fontId="1"/>
  </si>
  <si>
    <r>
      <t>Flute</t>
    </r>
    <r>
      <rPr>
        <sz val="11"/>
        <rFont val="游ゴシック Medium"/>
        <family val="3"/>
        <charset val="128"/>
      </rPr>
      <t>名曲</t>
    </r>
    <r>
      <rPr>
        <sz val="11"/>
        <rFont val="Consolas"/>
        <family val="3"/>
      </rPr>
      <t>31</t>
    </r>
    <r>
      <rPr>
        <sz val="11"/>
        <rFont val="游ゴシック Medium"/>
        <family val="3"/>
        <charset val="128"/>
      </rPr>
      <t>選</t>
    </r>
    <rPh sb="0" eb="5">
      <t>フルート</t>
    </rPh>
    <rPh sb="5" eb="7">
      <t>メイキョク</t>
    </rPh>
    <rPh sb="9" eb="10">
      <t>セン</t>
    </rPh>
    <phoneticPr fontId="1"/>
  </si>
  <si>
    <r>
      <rPr>
        <sz val="11"/>
        <rFont val="游ゴシック Medium"/>
        <family val="3"/>
        <charset val="128"/>
      </rPr>
      <t>ドレミ楽譜出版社</t>
    </r>
    <rPh sb="3" eb="8">
      <t>ガクフシュッパンシャ</t>
    </rPh>
    <phoneticPr fontId="1"/>
  </si>
  <si>
    <r>
      <rPr>
        <sz val="11"/>
        <rFont val="游ゴシック Medium"/>
        <family val="3"/>
        <charset val="128"/>
      </rPr>
      <t>詞</t>
    </r>
    <rPh sb="0" eb="1">
      <t>シ</t>
    </rPh>
    <phoneticPr fontId="1"/>
  </si>
  <si>
    <r>
      <rPr>
        <b/>
        <sz val="11"/>
        <color indexed="33"/>
        <rFont val="游ゴシック Medium"/>
        <family val="3"/>
        <charset val="128"/>
      </rPr>
      <t>魚と</t>
    </r>
    <r>
      <rPr>
        <b/>
        <sz val="11"/>
        <color indexed="33"/>
        <rFont val="Consolas"/>
        <family val="3"/>
      </rPr>
      <t>Orange:</t>
    </r>
    <r>
      <rPr>
        <b/>
        <sz val="11"/>
        <color indexed="33"/>
        <rFont val="游ゴシック Medium"/>
        <family val="3"/>
        <charset val="128"/>
      </rPr>
      <t>歌曲集</t>
    </r>
    <rPh sb="0" eb="1">
      <t>サカナ</t>
    </rPh>
    <rPh sb="2" eb="8">
      <t>オレンジ</t>
    </rPh>
    <rPh sb="9" eb="12">
      <t>カキョクシュウ</t>
    </rPh>
    <phoneticPr fontId="1"/>
  </si>
  <si>
    <r>
      <rPr>
        <sz val="11"/>
        <rFont val="游ゴシック Medium"/>
        <family val="3"/>
        <charset val="128"/>
      </rPr>
      <t>波</t>
    </r>
    <r>
      <rPr>
        <sz val="11"/>
        <rFont val="Consolas"/>
        <family val="3"/>
      </rPr>
      <t>/Waves/for Gamelan Ensemble</t>
    </r>
    <rPh sb="0" eb="1">
      <t>ナミ</t>
    </rPh>
    <phoneticPr fontId="1"/>
  </si>
  <si>
    <r>
      <rPr>
        <sz val="11"/>
        <rFont val="游ゴシック Medium"/>
        <family val="3"/>
        <charset val="128"/>
      </rPr>
      <t>音楽芸術</t>
    </r>
    <r>
      <rPr>
        <sz val="11"/>
        <rFont val="Consolas"/>
        <family val="3"/>
      </rPr>
      <t>/</t>
    </r>
    <r>
      <rPr>
        <sz val="11"/>
        <rFont val="游ゴシック Medium"/>
        <family val="3"/>
        <charset val="128"/>
      </rPr>
      <t>第</t>
    </r>
    <r>
      <rPr>
        <sz val="11"/>
        <rFont val="Consolas"/>
        <family val="3"/>
      </rPr>
      <t>39</t>
    </r>
    <r>
      <rPr>
        <sz val="11"/>
        <rFont val="游ゴシック Medium"/>
        <family val="3"/>
        <charset val="128"/>
      </rPr>
      <t>巻第</t>
    </r>
    <r>
      <rPr>
        <sz val="11"/>
        <rFont val="Consolas"/>
        <family val="3"/>
      </rPr>
      <t>10</t>
    </r>
    <r>
      <rPr>
        <sz val="11"/>
        <rFont val="游ゴシック Medium"/>
        <family val="3"/>
        <charset val="128"/>
      </rPr>
      <t>号付録</t>
    </r>
    <r>
      <rPr>
        <sz val="11"/>
        <rFont val="Consolas"/>
        <family val="3"/>
      </rPr>
      <t>/Contemporary Japanese Music Series/193</t>
    </r>
    <rPh sb="0" eb="2">
      <t>オンガク</t>
    </rPh>
    <rPh sb="2" eb="4">
      <t>ゲイジュツ</t>
    </rPh>
    <rPh sb="5" eb="6">
      <t>ダイ</t>
    </rPh>
    <rPh sb="6" eb="9">
      <t>３９カン</t>
    </rPh>
    <rPh sb="9" eb="10">
      <t>ダイ</t>
    </rPh>
    <rPh sb="10" eb="13">
      <t>１０ゴウ</t>
    </rPh>
    <rPh sb="13" eb="15">
      <t>フロク</t>
    </rPh>
    <phoneticPr fontId="1"/>
  </si>
  <si>
    <r>
      <rPr>
        <sz val="11"/>
        <rFont val="游ゴシック Medium"/>
        <family val="3"/>
        <charset val="128"/>
      </rPr>
      <t>サラベール</t>
    </r>
    <phoneticPr fontId="1"/>
  </si>
  <si>
    <r>
      <rPr>
        <b/>
        <sz val="11"/>
        <color indexed="33"/>
        <rFont val="游ゴシック Medium"/>
        <family val="3"/>
        <charset val="128"/>
      </rPr>
      <t>歌劇</t>
    </r>
    <r>
      <rPr>
        <b/>
        <sz val="11"/>
        <color indexed="33"/>
        <rFont val="Consolas"/>
        <family val="3"/>
      </rPr>
      <t>:Carmen:</t>
    </r>
    <r>
      <rPr>
        <b/>
        <sz val="11"/>
        <color indexed="33"/>
        <rFont val="游ゴシック Medium"/>
        <family val="3"/>
        <charset val="128"/>
      </rPr>
      <t>全曲</t>
    </r>
    <rPh sb="0" eb="2">
      <t>カゲキ</t>
    </rPh>
    <rPh sb="3" eb="9">
      <t>カルメン</t>
    </rPh>
    <rPh sb="10" eb="12">
      <t>ゼンキョク</t>
    </rPh>
    <phoneticPr fontId="1"/>
  </si>
  <si>
    <r>
      <rPr>
        <sz val="11"/>
        <rFont val="游ゴシック Medium"/>
        <family val="3"/>
        <charset val="128"/>
      </rPr>
      <t>世界歌劇全集</t>
    </r>
    <r>
      <rPr>
        <sz val="11"/>
        <rFont val="Consolas"/>
        <family val="3"/>
      </rPr>
      <t>15</t>
    </r>
    <rPh sb="0" eb="2">
      <t>セカイ</t>
    </rPh>
    <rPh sb="2" eb="4">
      <t>カゲキ</t>
    </rPh>
    <rPh sb="4" eb="6">
      <t>ゼンシュウ</t>
    </rPh>
    <phoneticPr fontId="1"/>
  </si>
  <si>
    <r>
      <rPr>
        <sz val="11"/>
        <rFont val="游ゴシック Medium"/>
        <family val="3"/>
        <charset val="128"/>
      </rPr>
      <t>歌曲集</t>
    </r>
    <r>
      <rPr>
        <sz val="11"/>
        <rFont val="Consolas"/>
        <family val="3"/>
      </rPr>
      <t>:</t>
    </r>
    <r>
      <rPr>
        <sz val="11"/>
        <rFont val="游ゴシック Medium"/>
        <family val="3"/>
        <charset val="128"/>
      </rPr>
      <t>冬の旅</t>
    </r>
    <rPh sb="0" eb="2">
      <t>カキョク</t>
    </rPh>
    <rPh sb="2" eb="3">
      <t>シュウ</t>
    </rPh>
    <rPh sb="4" eb="5">
      <t>フユ</t>
    </rPh>
    <rPh sb="6" eb="7">
      <t>タビ</t>
    </rPh>
    <phoneticPr fontId="1"/>
  </si>
  <si>
    <r>
      <rPr>
        <sz val="11"/>
        <rFont val="游ゴシック Medium"/>
        <family val="3"/>
        <charset val="128"/>
      </rPr>
      <t>歌曲集</t>
    </r>
    <r>
      <rPr>
        <sz val="11"/>
        <rFont val="Consolas"/>
        <family val="3"/>
      </rPr>
      <t>:</t>
    </r>
    <r>
      <rPr>
        <sz val="11"/>
        <rFont val="游ゴシック Medium"/>
        <family val="3"/>
        <charset val="128"/>
      </rPr>
      <t>美しき水車小屋の娘</t>
    </r>
    <rPh sb="0" eb="2">
      <t>カキョク</t>
    </rPh>
    <rPh sb="2" eb="3">
      <t>シュウ</t>
    </rPh>
    <rPh sb="4" eb="5">
      <t>ウツク</t>
    </rPh>
    <rPh sb="7" eb="11">
      <t>スイシャゴヤ</t>
    </rPh>
    <rPh sb="12" eb="13">
      <t>ムスメ</t>
    </rPh>
    <phoneticPr fontId="1"/>
  </si>
  <si>
    <r>
      <rPr>
        <b/>
        <sz val="11"/>
        <color indexed="33"/>
        <rFont val="游ゴシック Medium"/>
        <family val="3"/>
        <charset val="128"/>
      </rPr>
      <t>ドイツ歌曲集</t>
    </r>
    <rPh sb="3" eb="6">
      <t>カキョクシュウ</t>
    </rPh>
    <phoneticPr fontId="1"/>
  </si>
  <si>
    <r>
      <rPr>
        <b/>
        <sz val="11"/>
        <color indexed="33"/>
        <rFont val="游ゴシック Medium"/>
        <family val="3"/>
        <charset val="128"/>
      </rPr>
      <t>武満</t>
    </r>
    <r>
      <rPr>
        <b/>
        <sz val="11"/>
        <color indexed="33"/>
        <rFont val="Consolas"/>
        <family val="3"/>
      </rPr>
      <t xml:space="preserve"> </t>
    </r>
    <r>
      <rPr>
        <b/>
        <sz val="11"/>
        <color indexed="33"/>
        <rFont val="游ゴシック Medium"/>
        <family val="3"/>
        <charset val="128"/>
      </rPr>
      <t>徹</t>
    </r>
    <rPh sb="0" eb="2">
      <t>タケミツ</t>
    </rPh>
    <rPh sb="3" eb="4">
      <t>トオル</t>
    </rPh>
    <phoneticPr fontId="1"/>
  </si>
  <si>
    <r>
      <t>Cavaye,Ronald/</t>
    </r>
    <r>
      <rPr>
        <sz val="11"/>
        <rFont val="游ゴシック Medium"/>
        <family val="3"/>
        <charset val="128"/>
      </rPr>
      <t>中川弘一郎</t>
    </r>
    <rPh sb="0" eb="6">
      <t>カヴァイエ</t>
    </rPh>
    <rPh sb="7" eb="13">
      <t>ロナルド</t>
    </rPh>
    <rPh sb="14" eb="16">
      <t>ナカガワ</t>
    </rPh>
    <rPh sb="16" eb="19">
      <t>コウイチロウ</t>
    </rPh>
    <phoneticPr fontId="1"/>
  </si>
  <si>
    <r>
      <rPr>
        <sz val="11"/>
        <rFont val="游ゴシック Medium"/>
        <family val="3"/>
        <charset val="128"/>
      </rPr>
      <t>遊び</t>
    </r>
    <r>
      <rPr>
        <sz val="11"/>
        <rFont val="Consolas"/>
        <family val="3"/>
      </rPr>
      <t xml:space="preserve"> [</t>
    </r>
    <r>
      <rPr>
        <sz val="11"/>
        <rFont val="游ゴシック Medium"/>
        <family val="3"/>
        <charset val="128"/>
      </rPr>
      <t>ピアノのために</t>
    </r>
    <r>
      <rPr>
        <sz val="11"/>
        <rFont val="Consolas"/>
        <family val="3"/>
      </rPr>
      <t>] I / Ja'te'kok / zongora'ra</t>
    </r>
    <rPh sb="0" eb="1">
      <t>アソ</t>
    </rPh>
    <phoneticPr fontId="1"/>
  </si>
  <si>
    <r>
      <t>Musica Budapest/</t>
    </r>
    <r>
      <rPr>
        <sz val="11"/>
        <rFont val="游ゴシック Medium"/>
        <family val="3"/>
        <charset val="128"/>
      </rPr>
      <t>全音楽譜出版社</t>
    </r>
    <rPh sb="16" eb="23">
      <t>ゼンオンガクフシュッパンシャ</t>
    </rPh>
    <phoneticPr fontId="1"/>
  </si>
  <si>
    <r>
      <t xml:space="preserve">amazon/p-hearts </t>
    </r>
    <r>
      <rPr>
        <sz val="11"/>
        <rFont val="游ゴシック Medium"/>
        <family val="3"/>
        <charset val="128"/>
      </rPr>
      <t>金子哲也</t>
    </r>
  </si>
  <si>
    <r>
      <rPr>
        <sz val="11"/>
        <rFont val="游ゴシック Medium"/>
        <family val="3"/>
        <charset val="128"/>
      </rPr>
      <t>遊び</t>
    </r>
    <r>
      <rPr>
        <sz val="11"/>
        <rFont val="Consolas"/>
        <family val="3"/>
      </rPr>
      <t xml:space="preserve"> [</t>
    </r>
    <r>
      <rPr>
        <sz val="11"/>
        <rFont val="游ゴシック Medium"/>
        <family val="3"/>
        <charset val="128"/>
      </rPr>
      <t>ピアノのために</t>
    </r>
    <r>
      <rPr>
        <sz val="11"/>
        <rFont val="Consolas"/>
        <family val="3"/>
      </rPr>
      <t>] II / Ja'te'kok / zongora'ra</t>
    </r>
    <rPh sb="0" eb="1">
      <t>アソ</t>
    </rPh>
    <phoneticPr fontId="1"/>
  </si>
  <si>
    <r>
      <t>Rhapsodie in Blue/Paris</t>
    </r>
    <r>
      <rPr>
        <b/>
        <sz val="11"/>
        <color indexed="33"/>
        <rFont val="游ゴシック Medium"/>
        <family val="3"/>
        <charset val="128"/>
      </rPr>
      <t>の</t>
    </r>
    <r>
      <rPr>
        <b/>
        <sz val="11"/>
        <color indexed="33"/>
        <rFont val="Consolas"/>
        <family val="3"/>
      </rPr>
      <t>America</t>
    </r>
    <r>
      <rPr>
        <b/>
        <sz val="11"/>
        <color indexed="33"/>
        <rFont val="游ゴシック Medium"/>
        <family val="3"/>
        <charset val="128"/>
      </rPr>
      <t>人</t>
    </r>
    <rPh sb="0" eb="17">
      <t>ラプソディ　イン　ブルー</t>
    </rPh>
    <rPh sb="18" eb="23">
      <t>パリ</t>
    </rPh>
    <rPh sb="24" eb="32">
      <t>アメリカジン</t>
    </rPh>
    <phoneticPr fontId="1"/>
  </si>
  <si>
    <r>
      <rPr>
        <sz val="11"/>
        <rFont val="游ゴシック Medium"/>
        <family val="3"/>
        <charset val="128"/>
      </rPr>
      <t>日音</t>
    </r>
    <rPh sb="0" eb="1">
      <t>ニチ</t>
    </rPh>
    <rPh sb="1" eb="2">
      <t>オン</t>
    </rPh>
    <phoneticPr fontId="1"/>
  </si>
  <si>
    <r>
      <t>Grofe'</t>
    </r>
    <r>
      <rPr>
        <sz val="11"/>
        <rFont val="Consolas"/>
        <family val="3"/>
      </rPr>
      <t>,</t>
    </r>
    <r>
      <rPr>
        <sz val="11"/>
        <rFont val="游ゴシック Medium"/>
        <family val="3"/>
        <charset val="128"/>
      </rPr>
      <t>ファード</t>
    </r>
    <rPh sb="0" eb="6">
      <t>グローフェ</t>
    </rPh>
    <phoneticPr fontId="1"/>
  </si>
  <si>
    <r>
      <rPr>
        <b/>
        <sz val="11"/>
        <color indexed="33"/>
        <rFont val="游ゴシック Medium"/>
        <family val="3"/>
        <charset val="128"/>
      </rPr>
      <t>組曲</t>
    </r>
    <r>
      <rPr>
        <b/>
        <sz val="11"/>
        <color indexed="33"/>
        <rFont val="Consolas"/>
        <family val="3"/>
      </rPr>
      <t>:Grand Canyon/</t>
    </r>
    <r>
      <rPr>
        <b/>
        <sz val="11"/>
        <color indexed="33"/>
        <rFont val="游ゴシック Medium"/>
        <family val="3"/>
        <charset val="128"/>
      </rPr>
      <t>大峡谷</t>
    </r>
    <rPh sb="0" eb="2">
      <t>クミキョク</t>
    </rPh>
    <rPh sb="3" eb="15">
      <t>グランド　キャニオン</t>
    </rPh>
    <rPh sb="16" eb="17">
      <t>ダイ</t>
    </rPh>
    <rPh sb="17" eb="19">
      <t>キョウコク</t>
    </rPh>
    <phoneticPr fontId="1"/>
  </si>
  <si>
    <r>
      <t xml:space="preserve">Mikrokosmos </t>
    </r>
    <r>
      <rPr>
        <sz val="11"/>
        <rFont val="游ゴシック Medium"/>
        <family val="3"/>
        <charset val="128"/>
      </rPr>
      <t>上</t>
    </r>
    <r>
      <rPr>
        <sz val="11"/>
        <rFont val="Consolas"/>
        <family val="3"/>
      </rPr>
      <t xml:space="preserve"> (1~3</t>
    </r>
    <r>
      <rPr>
        <sz val="11"/>
        <rFont val="游ゴシック Medium"/>
        <family val="3"/>
        <charset val="128"/>
      </rPr>
      <t>巻</t>
    </r>
    <r>
      <rPr>
        <sz val="11"/>
        <rFont val="Consolas"/>
        <family val="3"/>
      </rPr>
      <t>)</t>
    </r>
    <rPh sb="0" eb="11">
      <t>ミクロコスモス</t>
    </rPh>
    <rPh sb="12" eb="13">
      <t>ジョウ</t>
    </rPh>
    <rPh sb="18" eb="19">
      <t>カン</t>
    </rPh>
    <phoneticPr fontId="1"/>
  </si>
  <si>
    <r>
      <t xml:space="preserve">Mikrokosmos </t>
    </r>
    <r>
      <rPr>
        <sz val="11"/>
        <rFont val="游ゴシック Medium"/>
        <family val="3"/>
        <charset val="128"/>
      </rPr>
      <t>下</t>
    </r>
    <r>
      <rPr>
        <sz val="11"/>
        <rFont val="Consolas"/>
        <family val="3"/>
      </rPr>
      <t xml:space="preserve"> (4~6</t>
    </r>
    <r>
      <rPr>
        <sz val="11"/>
        <rFont val="游ゴシック Medium"/>
        <family val="3"/>
        <charset val="128"/>
      </rPr>
      <t>巻</t>
    </r>
    <r>
      <rPr>
        <sz val="11"/>
        <rFont val="Consolas"/>
        <family val="3"/>
      </rPr>
      <t>)</t>
    </r>
    <rPh sb="0" eb="11">
      <t>ミクロコスモス</t>
    </rPh>
    <rPh sb="12" eb="13">
      <t>ゲ</t>
    </rPh>
    <rPh sb="18" eb="19">
      <t>カン</t>
    </rPh>
    <phoneticPr fontId="1"/>
  </si>
  <si>
    <r>
      <rPr>
        <sz val="11"/>
        <rFont val="游ゴシック Medium"/>
        <family val="3"/>
        <charset val="128"/>
      </rPr>
      <t>渡辺</t>
    </r>
    <r>
      <rPr>
        <sz val="11"/>
        <rFont val="Consolas"/>
        <family val="3"/>
      </rPr>
      <t xml:space="preserve"> </t>
    </r>
    <r>
      <rPr>
        <sz val="11"/>
        <rFont val="游ゴシック Medium"/>
        <family val="3"/>
        <charset val="128"/>
      </rPr>
      <t>鉄雄</t>
    </r>
    <rPh sb="0" eb="2">
      <t>ワタナベ</t>
    </rPh>
    <rPh sb="3" eb="5">
      <t>テツオ</t>
    </rPh>
    <phoneticPr fontId="1"/>
  </si>
  <si>
    <r>
      <rPr>
        <sz val="11"/>
        <rFont val="游ゴシック Medium"/>
        <family val="3"/>
        <charset val="128"/>
      </rPr>
      <t>編曲</t>
    </r>
    <rPh sb="0" eb="2">
      <t>ヘンキョク</t>
    </rPh>
    <phoneticPr fontId="1"/>
  </si>
  <si>
    <r>
      <t>Salut d'amour/</t>
    </r>
    <r>
      <rPr>
        <sz val="11"/>
        <rFont val="游ゴシック Medium"/>
        <family val="3"/>
        <charset val="128"/>
      </rPr>
      <t>愛の挨拶</t>
    </r>
    <rPh sb="14" eb="15">
      <t>アイ</t>
    </rPh>
    <rPh sb="16" eb="18">
      <t>アイサツ</t>
    </rPh>
    <phoneticPr fontId="1"/>
  </si>
  <si>
    <r>
      <t>6</t>
    </r>
    <r>
      <rPr>
        <sz val="11"/>
        <rFont val="游ゴシック Medium"/>
        <family val="3"/>
        <charset val="128"/>
      </rPr>
      <t>つの小曲集</t>
    </r>
    <r>
      <rPr>
        <sz val="11"/>
        <rFont val="Consolas"/>
        <family val="3"/>
      </rPr>
      <t>/</t>
    </r>
    <r>
      <rPr>
        <sz val="11"/>
        <rFont val="游ゴシック Medium"/>
        <family val="3"/>
        <charset val="128"/>
      </rPr>
      <t>こどもの夢</t>
    </r>
    <rPh sb="3" eb="6">
      <t>ショウキョクシュウ</t>
    </rPh>
    <rPh sb="11" eb="12">
      <t>ユメ</t>
    </rPh>
    <phoneticPr fontId="1"/>
  </si>
  <si>
    <r>
      <rPr>
        <sz val="11"/>
        <rFont val="游ゴシック Medium"/>
        <family val="3"/>
        <charset val="128"/>
      </rPr>
      <t>第</t>
    </r>
    <r>
      <rPr>
        <sz val="11"/>
        <rFont val="Consolas"/>
        <family val="3"/>
      </rPr>
      <t>2</t>
    </r>
    <r>
      <rPr>
        <sz val="11"/>
        <rFont val="游ゴシック Medium"/>
        <family val="3"/>
        <charset val="128"/>
      </rPr>
      <t>課程</t>
    </r>
    <rPh sb="0" eb="1">
      <t>ダイ</t>
    </rPh>
    <rPh sb="2" eb="4">
      <t>カテイ</t>
    </rPh>
    <phoneticPr fontId="1"/>
  </si>
  <si>
    <r>
      <t>6</t>
    </r>
    <r>
      <rPr>
        <sz val="11"/>
        <rFont val="游ゴシック Medium"/>
        <family val="3"/>
        <charset val="128"/>
      </rPr>
      <t>つの</t>
    </r>
    <r>
      <rPr>
        <sz val="11"/>
        <rFont val="Consolas"/>
        <family val="3"/>
      </rPr>
      <t>Pre'lude</t>
    </r>
    <r>
      <rPr>
        <sz val="11"/>
        <rFont val="游ゴシック Medium"/>
        <family val="3"/>
        <charset val="128"/>
      </rPr>
      <t>と</t>
    </r>
    <r>
      <rPr>
        <sz val="11"/>
        <rFont val="Consolas"/>
        <family val="3"/>
      </rPr>
      <t>Fugue</t>
    </r>
    <rPh sb="3" eb="11">
      <t>プレリュード</t>
    </rPh>
    <rPh sb="12" eb="17">
      <t>フーガ</t>
    </rPh>
    <phoneticPr fontId="1"/>
  </si>
  <si>
    <r>
      <rPr>
        <sz val="11"/>
        <rFont val="游ゴシック Medium"/>
        <family val="3"/>
        <charset val="128"/>
      </rPr>
      <t>春の遊びと踊り</t>
    </r>
    <r>
      <rPr>
        <sz val="11"/>
        <rFont val="Consolas"/>
        <family val="3"/>
      </rPr>
      <t>/</t>
    </r>
    <r>
      <rPr>
        <sz val="11"/>
        <rFont val="游ゴシック Medium"/>
        <family val="3"/>
        <charset val="128"/>
      </rPr>
      <t>叙情的旋律</t>
    </r>
    <rPh sb="0" eb="1">
      <t>ハル</t>
    </rPh>
    <rPh sb="2" eb="3">
      <t>アソ</t>
    </rPh>
    <rPh sb="5" eb="6">
      <t>オド</t>
    </rPh>
    <rPh sb="8" eb="11">
      <t>ジョジョウテキ</t>
    </rPh>
    <rPh sb="11" eb="13">
      <t>センリツ</t>
    </rPh>
    <phoneticPr fontId="1"/>
  </si>
  <si>
    <r>
      <rPr>
        <sz val="11"/>
        <rFont val="游ゴシック Medium"/>
        <family val="3"/>
        <charset val="128"/>
      </rPr>
      <t>第</t>
    </r>
    <r>
      <rPr>
        <sz val="11"/>
        <rFont val="Consolas"/>
        <family val="3"/>
      </rPr>
      <t>3</t>
    </r>
    <r>
      <rPr>
        <sz val="11"/>
        <rFont val="游ゴシック Medium"/>
        <family val="3"/>
        <charset val="128"/>
      </rPr>
      <t>課程</t>
    </r>
    <rPh sb="0" eb="1">
      <t>ダイ</t>
    </rPh>
    <phoneticPr fontId="1"/>
  </si>
  <si>
    <r>
      <rPr>
        <sz val="11"/>
        <rFont val="游ゴシック Medium"/>
        <family val="3"/>
        <charset val="128"/>
      </rPr>
      <t>少年時代の画集</t>
    </r>
    <rPh sb="0" eb="4">
      <t>ショウネンジダイ</t>
    </rPh>
    <rPh sb="5" eb="7">
      <t>ガシュウ</t>
    </rPh>
    <phoneticPr fontId="1"/>
  </si>
  <si>
    <r>
      <rPr>
        <sz val="11"/>
        <rFont val="游ゴシック Medium"/>
        <family val="3"/>
        <charset val="128"/>
      </rPr>
      <t>つかの間の幻影</t>
    </r>
    <rPh sb="3" eb="4">
      <t>マ</t>
    </rPh>
    <rPh sb="5" eb="7">
      <t>ゲンエイ</t>
    </rPh>
    <phoneticPr fontId="1"/>
  </si>
  <si>
    <r>
      <rPr>
        <sz val="11"/>
        <rFont val="游ゴシック Medium"/>
        <family val="3"/>
        <charset val="128"/>
      </rPr>
      <t>第</t>
    </r>
    <r>
      <rPr>
        <sz val="11"/>
        <rFont val="Consolas"/>
        <family val="3"/>
      </rPr>
      <t>4</t>
    </r>
    <r>
      <rPr>
        <sz val="11"/>
        <rFont val="游ゴシック Medium"/>
        <family val="3"/>
        <charset val="128"/>
      </rPr>
      <t>課程</t>
    </r>
    <rPh sb="0" eb="1">
      <t>ダイ</t>
    </rPh>
    <rPh sb="2" eb="4">
      <t>カテイ</t>
    </rPh>
    <phoneticPr fontId="1"/>
  </si>
  <si>
    <r>
      <t>Piano</t>
    </r>
    <r>
      <rPr>
        <sz val="11"/>
        <rFont val="游ゴシック Medium"/>
        <family val="3"/>
        <charset val="128"/>
      </rPr>
      <t>協奏曲イ短調</t>
    </r>
    <rPh sb="0" eb="8">
      <t>ピアノキョウソウキョク</t>
    </rPh>
    <rPh sb="9" eb="11">
      <t>タンチョウ</t>
    </rPh>
    <phoneticPr fontId="1"/>
  </si>
  <si>
    <r>
      <rPr>
        <sz val="11"/>
        <rFont val="游ゴシック Medium"/>
        <family val="3"/>
        <charset val="128"/>
      </rPr>
      <t>第</t>
    </r>
    <r>
      <rPr>
        <sz val="11"/>
        <rFont val="Consolas"/>
        <family val="3"/>
      </rPr>
      <t>6</t>
    </r>
    <r>
      <rPr>
        <sz val="11"/>
        <rFont val="游ゴシック Medium"/>
        <family val="3"/>
        <charset val="128"/>
      </rPr>
      <t>課程</t>
    </r>
    <rPh sb="0" eb="1">
      <t>ダイ</t>
    </rPh>
    <rPh sb="2" eb="4">
      <t>カテイ</t>
    </rPh>
    <phoneticPr fontId="1"/>
  </si>
  <si>
    <r>
      <t>Piano</t>
    </r>
    <r>
      <rPr>
        <sz val="11"/>
        <rFont val="游ゴシック Medium"/>
        <family val="3"/>
        <charset val="128"/>
      </rPr>
      <t>協奏曲第</t>
    </r>
    <r>
      <rPr>
        <sz val="11"/>
        <rFont val="Consolas"/>
        <family val="3"/>
      </rPr>
      <t>1</t>
    </r>
    <r>
      <rPr>
        <sz val="11"/>
        <rFont val="游ゴシック Medium"/>
        <family val="3"/>
        <charset val="128"/>
      </rPr>
      <t>番</t>
    </r>
    <rPh sb="0" eb="8">
      <t>ピアノキョウソウキョク</t>
    </rPh>
    <rPh sb="8" eb="9">
      <t>ダイ</t>
    </rPh>
    <rPh sb="10" eb="11">
      <t>バン</t>
    </rPh>
    <phoneticPr fontId="1"/>
  </si>
  <si>
    <r>
      <rPr>
        <sz val="11"/>
        <rFont val="游ゴシック Medium"/>
        <family val="3"/>
        <charset val="128"/>
      </rPr>
      <t>くるみわり人形</t>
    </r>
    <rPh sb="5" eb="7">
      <t>ニンギョウ</t>
    </rPh>
    <phoneticPr fontId="1"/>
  </si>
  <si>
    <r>
      <rPr>
        <sz val="11"/>
        <rFont val="游ゴシック Medium"/>
        <family val="3"/>
        <charset val="128"/>
      </rPr>
      <t>白鳥の湖</t>
    </r>
    <rPh sb="0" eb="2">
      <t>ハクチョウ</t>
    </rPh>
    <rPh sb="3" eb="4">
      <t>ミズウミ</t>
    </rPh>
    <phoneticPr fontId="1"/>
  </si>
  <si>
    <r>
      <rPr>
        <b/>
        <sz val="11"/>
        <color indexed="33"/>
        <rFont val="游ゴシック Medium"/>
        <family val="3"/>
        <charset val="128"/>
      </rPr>
      <t>四季</t>
    </r>
    <rPh sb="0" eb="2">
      <t>シキ</t>
    </rPh>
    <phoneticPr fontId="1"/>
  </si>
  <si>
    <r>
      <rPr>
        <sz val="11"/>
        <rFont val="游ゴシック Medium"/>
        <family val="3"/>
        <charset val="128"/>
      </rPr>
      <t>子供のための</t>
    </r>
    <r>
      <rPr>
        <sz val="11"/>
        <rFont val="Consolas"/>
        <family val="3"/>
      </rPr>
      <t>Album</t>
    </r>
    <rPh sb="0" eb="2">
      <t>コドモ</t>
    </rPh>
    <rPh sb="6" eb="11">
      <t>アルバム</t>
    </rPh>
    <phoneticPr fontId="1"/>
  </si>
  <si>
    <r>
      <rPr>
        <sz val="11"/>
        <rFont val="游ゴシック Medium"/>
        <family val="3"/>
        <charset val="128"/>
      </rPr>
      <t>展覧会の絵</t>
    </r>
    <rPh sb="0" eb="3">
      <t>テンランカイ</t>
    </rPh>
    <rPh sb="4" eb="5">
      <t>エ</t>
    </rPh>
    <phoneticPr fontId="1"/>
  </si>
  <si>
    <r>
      <t>Waltz</t>
    </r>
    <r>
      <rPr>
        <sz val="11"/>
        <rFont val="游ゴシック Medium"/>
        <family val="3"/>
        <charset val="128"/>
      </rPr>
      <t>・</t>
    </r>
    <r>
      <rPr>
        <sz val="11"/>
        <rFont val="Consolas"/>
        <family val="3"/>
      </rPr>
      <t>Polka</t>
    </r>
    <r>
      <rPr>
        <sz val="11"/>
        <rFont val="游ゴシック Medium"/>
        <family val="3"/>
        <charset val="128"/>
      </rPr>
      <t>集</t>
    </r>
    <rPh sb="0" eb="5">
      <t>ワルツ</t>
    </rPh>
    <rPh sb="6" eb="11">
      <t>ポルカ</t>
    </rPh>
    <rPh sb="11" eb="12">
      <t>シュウ</t>
    </rPh>
    <phoneticPr fontId="1"/>
  </si>
  <si>
    <r>
      <rPr>
        <sz val="11"/>
        <rFont val="游ゴシック Medium"/>
        <family val="3"/>
        <charset val="128"/>
      </rPr>
      <t>幻想小曲集</t>
    </r>
    <r>
      <rPr>
        <sz val="11"/>
        <rFont val="Consolas"/>
        <family val="3"/>
      </rPr>
      <t>Op12</t>
    </r>
    <rPh sb="0" eb="2">
      <t>ゲンソウ</t>
    </rPh>
    <rPh sb="2" eb="5">
      <t>ショウキョクシュウ</t>
    </rPh>
    <phoneticPr fontId="1"/>
  </si>
  <si>
    <r>
      <t>Ballade</t>
    </r>
    <r>
      <rPr>
        <sz val="11"/>
        <rFont val="游ゴシック Medium"/>
        <family val="3"/>
        <charset val="128"/>
      </rPr>
      <t>とアンプロンプチュ</t>
    </r>
    <rPh sb="0" eb="7">
      <t>バラード</t>
    </rPh>
    <phoneticPr fontId="1"/>
  </si>
  <si>
    <r>
      <rPr>
        <sz val="11"/>
        <rFont val="游ゴシック Medium"/>
        <family val="3"/>
        <charset val="128"/>
      </rPr>
      <t>即興曲・楽興の時</t>
    </r>
    <rPh sb="0" eb="3">
      <t>ソッキョウキョク</t>
    </rPh>
    <rPh sb="4" eb="6">
      <t>ガッキョウ</t>
    </rPh>
    <rPh sb="7" eb="8">
      <t>トキ</t>
    </rPh>
    <phoneticPr fontId="1"/>
  </si>
  <si>
    <r>
      <rPr>
        <sz val="11"/>
        <rFont val="游ゴシック Medium"/>
        <family val="3"/>
        <charset val="128"/>
      </rPr>
      <t>交響曲第</t>
    </r>
    <r>
      <rPr>
        <sz val="11"/>
        <rFont val="Consolas"/>
        <family val="3"/>
      </rPr>
      <t>8</t>
    </r>
    <r>
      <rPr>
        <sz val="11"/>
        <rFont val="游ゴシック Medium"/>
        <family val="3"/>
        <charset val="128"/>
      </rPr>
      <t>番</t>
    </r>
    <r>
      <rPr>
        <sz val="11"/>
        <rFont val="Consolas"/>
        <family val="3"/>
      </rPr>
      <t>/</t>
    </r>
    <r>
      <rPr>
        <sz val="11"/>
        <rFont val="游ゴシック Medium"/>
        <family val="3"/>
        <charset val="128"/>
      </rPr>
      <t>未完成</t>
    </r>
    <rPh sb="0" eb="3">
      <t>コウキョウキョク</t>
    </rPh>
    <rPh sb="3" eb="4">
      <t>ダイ</t>
    </rPh>
    <rPh sb="5" eb="6">
      <t>バン</t>
    </rPh>
    <rPh sb="7" eb="10">
      <t>ミカンセイ</t>
    </rPh>
    <phoneticPr fontId="1"/>
  </si>
  <si>
    <r>
      <rPr>
        <sz val="11"/>
        <rFont val="游ゴシック Medium"/>
        <family val="3"/>
        <charset val="128"/>
      </rPr>
      <t>全曲</t>
    </r>
    <r>
      <rPr>
        <sz val="11"/>
        <rFont val="Consolas"/>
        <family val="3"/>
      </rPr>
      <t>/</t>
    </r>
    <r>
      <rPr>
        <sz val="11"/>
        <rFont val="游ゴシック Medium"/>
        <family val="3"/>
        <charset val="128"/>
      </rPr>
      <t>上下</t>
    </r>
    <rPh sb="0" eb="2">
      <t>ゼンキョク</t>
    </rPh>
    <rPh sb="3" eb="5">
      <t>ジョウゲ</t>
    </rPh>
    <phoneticPr fontId="1"/>
  </si>
  <si>
    <r>
      <rPr>
        <sz val="11"/>
        <rFont val="游ゴシック Medium"/>
        <family val="3"/>
        <charset val="128"/>
      </rPr>
      <t>イギリス組曲</t>
    </r>
    <rPh sb="4" eb="6">
      <t>クミキョク</t>
    </rPh>
    <phoneticPr fontId="1"/>
  </si>
  <si>
    <r>
      <t>YAMAHA</t>
    </r>
    <r>
      <rPr>
        <sz val="11"/>
        <rFont val="游ゴシック Medium"/>
        <family val="3"/>
        <charset val="128"/>
      </rPr>
      <t>池袋</t>
    </r>
    <rPh sb="6" eb="8">
      <t>イケブクロ</t>
    </rPh>
    <phoneticPr fontId="1"/>
  </si>
  <si>
    <r>
      <t>Easiest Pieces For Pianoforte/</t>
    </r>
    <r>
      <rPr>
        <sz val="11"/>
        <rFont val="游ゴシック Medium"/>
        <family val="3"/>
        <charset val="128"/>
      </rPr>
      <t>バッハ・ピアノ小品集</t>
    </r>
    <rPh sb="37" eb="39">
      <t>ショウヒン</t>
    </rPh>
    <rPh sb="39" eb="40">
      <t>シュウ</t>
    </rPh>
    <phoneticPr fontId="1"/>
  </si>
  <si>
    <r>
      <t>10 Stucke von Bach fur das Pianoforte/</t>
    </r>
    <r>
      <rPr>
        <sz val="11"/>
        <rFont val="游ゴシック Medium"/>
        <family val="3"/>
        <charset val="128"/>
      </rPr>
      <t>ピアノのための</t>
    </r>
    <r>
      <rPr>
        <sz val="11"/>
        <rFont val="Consolas"/>
        <family val="3"/>
      </rPr>
      <t>10</t>
    </r>
    <r>
      <rPr>
        <sz val="11"/>
        <rFont val="游ゴシック Medium"/>
        <family val="3"/>
        <charset val="128"/>
      </rPr>
      <t>の編曲</t>
    </r>
    <rPh sb="48" eb="50">
      <t>ヘンキョク</t>
    </rPh>
    <phoneticPr fontId="1"/>
  </si>
  <si>
    <r>
      <rPr>
        <sz val="11"/>
        <rFont val="游ゴシック Medium"/>
        <family val="3"/>
        <charset val="128"/>
      </rPr>
      <t>版</t>
    </r>
    <rPh sb="0" eb="1">
      <t>ハン</t>
    </rPh>
    <phoneticPr fontId="1"/>
  </si>
  <si>
    <r>
      <t>Busoni,Ferruccio/</t>
    </r>
    <r>
      <rPr>
        <sz val="11"/>
        <rFont val="游ゴシック Medium"/>
        <family val="3"/>
        <charset val="128"/>
      </rPr>
      <t>饗庭裕子</t>
    </r>
    <rPh sb="0" eb="6">
      <t>ブゾーニ</t>
    </rPh>
    <rPh sb="7" eb="16">
      <t>フェルッチョ</t>
    </rPh>
    <rPh sb="17" eb="19">
      <t>アイバ</t>
    </rPh>
    <rPh sb="19" eb="21">
      <t>ヒロコ</t>
    </rPh>
    <phoneticPr fontId="1"/>
  </si>
  <si>
    <r>
      <rPr>
        <sz val="11"/>
        <rFont val="游ゴシック Medium"/>
        <family val="3"/>
        <charset val="128"/>
      </rPr>
      <t>版</t>
    </r>
    <r>
      <rPr>
        <sz val="11"/>
        <rFont val="Consolas"/>
        <family val="3"/>
      </rPr>
      <t>/</t>
    </r>
    <r>
      <rPr>
        <sz val="11"/>
        <rFont val="游ゴシック Medium"/>
        <family val="3"/>
        <charset val="128"/>
      </rPr>
      <t>訳</t>
    </r>
    <rPh sb="0" eb="1">
      <t>ハン</t>
    </rPh>
    <rPh sb="2" eb="3">
      <t>ヤク</t>
    </rPh>
    <phoneticPr fontId="1"/>
  </si>
  <si>
    <r>
      <t>Inventionen und Sinfonien BWV772-786, 787-801/</t>
    </r>
    <r>
      <rPr>
        <sz val="11"/>
        <rFont val="游ゴシック Medium"/>
        <family val="3"/>
        <charset val="128"/>
      </rPr>
      <t>インヴェンションとシンフォニア</t>
    </r>
    <rPh sb="0" eb="9">
      <t>インヴェンション</t>
    </rPh>
    <phoneticPr fontId="1"/>
  </si>
  <si>
    <r>
      <t>Klavierwerke Busoni-Ausgabe/</t>
    </r>
    <r>
      <rPr>
        <sz val="11"/>
        <rFont val="游ゴシック Medium"/>
        <family val="3"/>
        <charset val="128"/>
      </rPr>
      <t>フェルッチョ・ブゾーニ版</t>
    </r>
    <r>
      <rPr>
        <sz val="11"/>
        <rFont val="Consolas"/>
        <family val="3"/>
      </rPr>
      <t>/EDITION BREITKOPF/BREITKOPF &amp; HARTEL</t>
    </r>
    <r>
      <rPr>
        <sz val="11"/>
        <rFont val="游ゴシック Medium"/>
        <family val="3"/>
        <charset val="128"/>
      </rPr>
      <t>版</t>
    </r>
    <rPh sb="39" eb="40">
      <t>ハン</t>
    </rPh>
    <rPh sb="77" eb="78">
      <t>ハン</t>
    </rPh>
    <phoneticPr fontId="1"/>
  </si>
  <si>
    <r>
      <rPr>
        <strike/>
        <sz val="11"/>
        <rFont val="游ゴシック Medium"/>
        <family val="3"/>
        <charset val="128"/>
      </rPr>
      <t>楽譜</t>
    </r>
    <rPh sb="0" eb="2">
      <t>ガクフ</t>
    </rPh>
    <phoneticPr fontId="1"/>
  </si>
  <si>
    <r>
      <rPr>
        <strike/>
        <sz val="11"/>
        <rFont val="游ゴシック Medium"/>
        <family val="3"/>
        <charset val="128"/>
      </rPr>
      <t>全音楽譜出版社</t>
    </r>
    <rPh sb="0" eb="7">
      <t>ゼンオンガクフシュッパンシャ</t>
    </rPh>
    <phoneticPr fontId="1"/>
  </si>
  <si>
    <r>
      <rPr>
        <sz val="11"/>
        <rFont val="游ゴシック Medium"/>
        <family val="3"/>
        <charset val="128"/>
      </rPr>
      <t>日下部憲夫</t>
    </r>
    <rPh sb="0" eb="3">
      <t>クサカベ</t>
    </rPh>
    <rPh sb="3" eb="5">
      <t>ノリオ</t>
    </rPh>
    <phoneticPr fontId="1"/>
  </si>
  <si>
    <r>
      <t>PRECEDE INVENTION/</t>
    </r>
    <r>
      <rPr>
        <sz val="11"/>
        <rFont val="游ゴシック Medium"/>
        <family val="3"/>
        <charset val="128"/>
      </rPr>
      <t>プレ・インベンション</t>
    </r>
    <phoneticPr fontId="1"/>
  </si>
  <si>
    <r>
      <rPr>
        <sz val="11"/>
        <rFont val="游ゴシック Medium"/>
        <family val="3"/>
        <charset val="128"/>
      </rPr>
      <t>中島克磨</t>
    </r>
    <rPh sb="0" eb="2">
      <t>ナカジマ</t>
    </rPh>
    <rPh sb="2" eb="4">
      <t>カツマ</t>
    </rPh>
    <phoneticPr fontId="1"/>
  </si>
  <si>
    <r>
      <t>[The Planets] Suite for Solo Piano/</t>
    </r>
    <r>
      <rPr>
        <sz val="11"/>
        <rFont val="游ゴシック Medium"/>
        <family val="3"/>
        <charset val="128"/>
      </rPr>
      <t>組曲</t>
    </r>
    <r>
      <rPr>
        <sz val="11"/>
        <rFont val="Consolas"/>
        <family val="3"/>
      </rPr>
      <t xml:space="preserve"> [</t>
    </r>
    <r>
      <rPr>
        <sz val="11"/>
        <rFont val="游ゴシック Medium"/>
        <family val="3"/>
        <charset val="128"/>
      </rPr>
      <t>惑星</t>
    </r>
    <r>
      <rPr>
        <sz val="11"/>
        <rFont val="Consolas"/>
        <family val="3"/>
      </rPr>
      <t xml:space="preserve">] </t>
    </r>
    <r>
      <rPr>
        <sz val="11"/>
        <rFont val="游ゴシック Medium"/>
        <family val="3"/>
        <charset val="128"/>
      </rPr>
      <t>ピアノ・ソロ版</t>
    </r>
    <rPh sb="35" eb="37">
      <t>クミキョク</t>
    </rPh>
    <rPh sb="39" eb="41">
      <t>ワクセイ</t>
    </rPh>
    <rPh sb="49" eb="50">
      <t>バン</t>
    </rPh>
    <phoneticPr fontId="1"/>
  </si>
  <si>
    <r>
      <rPr>
        <sz val="11"/>
        <rFont val="游ゴシック Medium"/>
        <family val="3"/>
        <charset val="128"/>
      </rPr>
      <t>全音</t>
    </r>
    <r>
      <rPr>
        <sz val="11"/>
        <rFont val="Consolas"/>
        <family val="3"/>
      </rPr>
      <t>Piano</t>
    </r>
    <r>
      <rPr>
        <sz val="11"/>
        <rFont val="游ゴシック Medium"/>
        <family val="3"/>
        <charset val="128"/>
      </rPr>
      <t>名曲選集・上巻</t>
    </r>
    <rPh sb="0" eb="2">
      <t>ゼンオン</t>
    </rPh>
    <rPh sb="2" eb="7">
      <t>ピアノ</t>
    </rPh>
    <rPh sb="7" eb="9">
      <t>メイキョク</t>
    </rPh>
    <rPh sb="9" eb="11">
      <t>センシュウ</t>
    </rPh>
    <rPh sb="12" eb="14">
      <t>ジョウカン</t>
    </rPh>
    <phoneticPr fontId="1"/>
  </si>
  <si>
    <r>
      <rPr>
        <sz val="11"/>
        <rFont val="游ゴシック Medium"/>
        <family val="3"/>
        <charset val="128"/>
      </rPr>
      <t>上巻</t>
    </r>
    <rPh sb="0" eb="2">
      <t>ジョウカン</t>
    </rPh>
    <phoneticPr fontId="1"/>
  </si>
  <si>
    <r>
      <rPr>
        <sz val="11"/>
        <rFont val="游ゴシック Medium"/>
        <family val="3"/>
        <charset val="128"/>
      </rPr>
      <t>教本</t>
    </r>
    <rPh sb="0" eb="2">
      <t>キョウホン</t>
    </rPh>
    <phoneticPr fontId="1"/>
  </si>
  <si>
    <r>
      <rPr>
        <sz val="11"/>
        <rFont val="游ゴシック Medium"/>
        <family val="3"/>
        <charset val="128"/>
      </rPr>
      <t>カワイ</t>
    </r>
    <phoneticPr fontId="1"/>
  </si>
  <si>
    <r>
      <rPr>
        <sz val="11"/>
        <rFont val="游ゴシック Medium"/>
        <family val="3"/>
        <charset val="128"/>
      </rPr>
      <t>ヤマハ音楽教室</t>
    </r>
    <rPh sb="3" eb="5">
      <t>オンガク</t>
    </rPh>
    <rPh sb="5" eb="7">
      <t>キョウシツ</t>
    </rPh>
    <phoneticPr fontId="1"/>
  </si>
  <si>
    <r>
      <rPr>
        <b/>
        <sz val="11"/>
        <color indexed="33"/>
        <rFont val="游ゴシック Medium"/>
        <family val="3"/>
        <charset val="128"/>
      </rPr>
      <t>じゅにあー</t>
    </r>
    <r>
      <rPr>
        <b/>
        <sz val="11"/>
        <color indexed="33"/>
        <rFont val="Consolas"/>
        <family val="3"/>
      </rPr>
      <t xml:space="preserve"> 3</t>
    </r>
    <phoneticPr fontId="1"/>
  </si>
  <si>
    <r>
      <rPr>
        <b/>
        <sz val="11"/>
        <color indexed="33"/>
        <rFont val="游ゴシック Medium"/>
        <family val="3"/>
        <charset val="128"/>
      </rPr>
      <t>じゅにあー</t>
    </r>
    <r>
      <rPr>
        <b/>
        <sz val="11"/>
        <color indexed="33"/>
        <rFont val="Consolas"/>
        <family val="3"/>
      </rPr>
      <t xml:space="preserve"> 4</t>
    </r>
    <phoneticPr fontId="1"/>
  </si>
  <si>
    <r>
      <rPr>
        <sz val="11"/>
        <rFont val="游ゴシック Medium"/>
        <family val="3"/>
        <charset val="128"/>
      </rPr>
      <t>バイエルとともに</t>
    </r>
    <r>
      <rPr>
        <sz val="11"/>
        <rFont val="Consolas"/>
        <family val="3"/>
      </rPr>
      <t>/</t>
    </r>
    <r>
      <rPr>
        <sz val="11"/>
        <rFont val="游ゴシック Medium"/>
        <family val="3"/>
        <charset val="128"/>
      </rPr>
      <t>秀樹</t>
    </r>
    <r>
      <rPr>
        <sz val="11"/>
        <rFont val="Consolas"/>
        <family val="3"/>
      </rPr>
      <t>1</t>
    </r>
    <rPh sb="9" eb="11">
      <t>ヒデキ</t>
    </rPh>
    <phoneticPr fontId="1"/>
  </si>
  <si>
    <r>
      <rPr>
        <sz val="11"/>
        <rFont val="游ゴシック Medium"/>
        <family val="3"/>
        <charset val="128"/>
      </rPr>
      <t>みんなのオルガン・ピアノの本</t>
    </r>
    <rPh sb="13" eb="14">
      <t>ホン</t>
    </rPh>
    <phoneticPr fontId="1"/>
  </si>
  <si>
    <r>
      <rPr>
        <b/>
        <sz val="11"/>
        <color indexed="33"/>
        <rFont val="游ゴシック Medium"/>
        <family val="3"/>
        <charset val="128"/>
      </rPr>
      <t>明治</t>
    </r>
    <r>
      <rPr>
        <b/>
        <sz val="11"/>
        <color indexed="33"/>
        <rFont val="Consolas"/>
        <family val="3"/>
      </rPr>
      <t>17</t>
    </r>
    <r>
      <rPr>
        <b/>
        <sz val="11"/>
        <color indexed="33"/>
        <rFont val="游ゴシック Medium"/>
        <family val="3"/>
        <charset val="128"/>
      </rPr>
      <t>年</t>
    </r>
    <r>
      <rPr>
        <b/>
        <sz val="11"/>
        <color indexed="33"/>
        <rFont val="Consolas"/>
        <family val="3"/>
      </rPr>
      <t>~</t>
    </r>
    <r>
      <rPr>
        <b/>
        <sz val="11"/>
        <color indexed="33"/>
        <rFont val="游ゴシック Medium"/>
        <family val="3"/>
        <charset val="128"/>
      </rPr>
      <t>昭和</t>
    </r>
    <r>
      <rPr>
        <b/>
        <sz val="11"/>
        <color indexed="33"/>
        <rFont val="Consolas"/>
        <family val="3"/>
      </rPr>
      <t>22</t>
    </r>
    <r>
      <rPr>
        <b/>
        <sz val="11"/>
        <color indexed="33"/>
        <rFont val="游ゴシック Medium"/>
        <family val="3"/>
        <charset val="128"/>
      </rPr>
      <t>年</t>
    </r>
    <r>
      <rPr>
        <b/>
        <sz val="11"/>
        <color indexed="33"/>
        <rFont val="Consolas"/>
        <family val="3"/>
      </rPr>
      <t xml:space="preserve"> </t>
    </r>
    <r>
      <rPr>
        <b/>
        <sz val="11"/>
        <color indexed="33"/>
        <rFont val="游ゴシック Medium"/>
        <family val="3"/>
        <charset val="128"/>
      </rPr>
      <t>上</t>
    </r>
    <rPh sb="0" eb="2">
      <t>メイジ</t>
    </rPh>
    <rPh sb="4" eb="5">
      <t>ネン</t>
    </rPh>
    <rPh sb="6" eb="8">
      <t>ショウワ</t>
    </rPh>
    <rPh sb="10" eb="11">
      <t>ネン</t>
    </rPh>
    <rPh sb="12" eb="13">
      <t>ジョウ</t>
    </rPh>
    <phoneticPr fontId="1"/>
  </si>
  <si>
    <r>
      <rPr>
        <sz val="11"/>
        <rFont val="游ゴシック Medium"/>
        <family val="3"/>
        <charset val="128"/>
      </rPr>
      <t>全音</t>
    </r>
    <r>
      <rPr>
        <sz val="11"/>
        <rFont val="Consolas"/>
        <family val="3"/>
      </rPr>
      <t xml:space="preserve"> </t>
    </r>
    <r>
      <rPr>
        <sz val="11"/>
        <rFont val="游ゴシック Medium"/>
        <family val="3"/>
        <charset val="128"/>
      </rPr>
      <t>歌謡曲大全集〔</t>
    </r>
    <r>
      <rPr>
        <sz val="11"/>
        <rFont val="Consolas"/>
        <family val="3"/>
      </rPr>
      <t>1</t>
    </r>
    <r>
      <rPr>
        <sz val="11"/>
        <rFont val="游ゴシック Medium"/>
        <family val="3"/>
        <charset val="128"/>
      </rPr>
      <t>〕</t>
    </r>
    <rPh sb="0" eb="2">
      <t>ゼンオン</t>
    </rPh>
    <rPh sb="3" eb="6">
      <t>カヨウキョク</t>
    </rPh>
    <rPh sb="6" eb="9">
      <t>ダイゼンシュウ</t>
    </rPh>
    <phoneticPr fontId="1"/>
  </si>
  <si>
    <r>
      <rPr>
        <sz val="11"/>
        <rFont val="游ゴシック Medium"/>
        <family val="3"/>
        <charset val="128"/>
      </rPr>
      <t>プロフェッショナル･ユース</t>
    </r>
    <phoneticPr fontId="1"/>
  </si>
  <si>
    <r>
      <rPr>
        <b/>
        <sz val="11"/>
        <color indexed="33"/>
        <rFont val="游ゴシック Medium"/>
        <family val="3"/>
        <charset val="128"/>
      </rPr>
      <t>昭和</t>
    </r>
    <r>
      <rPr>
        <b/>
        <sz val="11"/>
        <color indexed="33"/>
        <rFont val="Consolas"/>
        <family val="3"/>
      </rPr>
      <t>22</t>
    </r>
    <r>
      <rPr>
        <b/>
        <sz val="11"/>
        <color indexed="33"/>
        <rFont val="游ゴシック Medium"/>
        <family val="3"/>
        <charset val="128"/>
      </rPr>
      <t>年</t>
    </r>
    <r>
      <rPr>
        <b/>
        <sz val="11"/>
        <color indexed="33"/>
        <rFont val="Consolas"/>
        <family val="3"/>
      </rPr>
      <t xml:space="preserve"> </t>
    </r>
    <r>
      <rPr>
        <b/>
        <sz val="11"/>
        <color indexed="33"/>
        <rFont val="游ゴシック Medium"/>
        <family val="3"/>
        <charset val="128"/>
      </rPr>
      <t>下</t>
    </r>
    <r>
      <rPr>
        <b/>
        <sz val="11"/>
        <color indexed="33"/>
        <rFont val="Consolas"/>
        <family val="3"/>
      </rPr>
      <t>~34</t>
    </r>
    <r>
      <rPr>
        <b/>
        <sz val="11"/>
        <color indexed="33"/>
        <rFont val="游ゴシック Medium"/>
        <family val="3"/>
        <charset val="128"/>
      </rPr>
      <t>年</t>
    </r>
    <r>
      <rPr>
        <b/>
        <sz val="11"/>
        <color indexed="33"/>
        <rFont val="Consolas"/>
        <family val="3"/>
      </rPr>
      <t xml:space="preserve"> </t>
    </r>
    <r>
      <rPr>
        <b/>
        <sz val="11"/>
        <color indexed="33"/>
        <rFont val="游ゴシック Medium"/>
        <family val="3"/>
        <charset val="128"/>
      </rPr>
      <t>上</t>
    </r>
    <rPh sb="0" eb="2">
      <t>ショウワ</t>
    </rPh>
    <rPh sb="4" eb="5">
      <t>ネン</t>
    </rPh>
    <rPh sb="6" eb="7">
      <t>ゲ</t>
    </rPh>
    <rPh sb="10" eb="11">
      <t>ネン</t>
    </rPh>
    <rPh sb="12" eb="13">
      <t>ジョウ</t>
    </rPh>
    <phoneticPr fontId="1"/>
  </si>
  <si>
    <r>
      <rPr>
        <sz val="11"/>
        <rFont val="游ゴシック Medium"/>
        <family val="3"/>
        <charset val="128"/>
      </rPr>
      <t>全音</t>
    </r>
    <r>
      <rPr>
        <sz val="11"/>
        <rFont val="Consolas"/>
        <family val="3"/>
      </rPr>
      <t xml:space="preserve"> </t>
    </r>
    <r>
      <rPr>
        <sz val="11"/>
        <rFont val="游ゴシック Medium"/>
        <family val="3"/>
        <charset val="128"/>
      </rPr>
      <t>歌謡曲大全集〔</t>
    </r>
    <r>
      <rPr>
        <sz val="11"/>
        <rFont val="Consolas"/>
        <family val="3"/>
      </rPr>
      <t>2</t>
    </r>
    <r>
      <rPr>
        <sz val="11"/>
        <rFont val="游ゴシック Medium"/>
        <family val="3"/>
        <charset val="128"/>
      </rPr>
      <t>〕</t>
    </r>
    <rPh sb="0" eb="2">
      <t>ゼンオン</t>
    </rPh>
    <rPh sb="3" eb="6">
      <t>カヨウキョク</t>
    </rPh>
    <rPh sb="6" eb="9">
      <t>ダイゼンシュウ</t>
    </rPh>
    <phoneticPr fontId="1"/>
  </si>
  <si>
    <r>
      <rPr>
        <b/>
        <sz val="11"/>
        <color indexed="33"/>
        <rFont val="游ゴシック Medium"/>
        <family val="3"/>
        <charset val="128"/>
      </rPr>
      <t>昭和</t>
    </r>
    <r>
      <rPr>
        <b/>
        <sz val="11"/>
        <color indexed="33"/>
        <rFont val="Consolas"/>
        <family val="3"/>
      </rPr>
      <t>34</t>
    </r>
    <r>
      <rPr>
        <b/>
        <sz val="11"/>
        <color indexed="33"/>
        <rFont val="游ゴシック Medium"/>
        <family val="3"/>
        <charset val="128"/>
      </rPr>
      <t>年</t>
    </r>
    <r>
      <rPr>
        <b/>
        <sz val="11"/>
        <color indexed="33"/>
        <rFont val="Consolas"/>
        <family val="3"/>
      </rPr>
      <t xml:space="preserve"> </t>
    </r>
    <r>
      <rPr>
        <b/>
        <sz val="11"/>
        <color indexed="33"/>
        <rFont val="游ゴシック Medium"/>
        <family val="3"/>
        <charset val="128"/>
      </rPr>
      <t>下</t>
    </r>
    <r>
      <rPr>
        <b/>
        <sz val="11"/>
        <color indexed="33"/>
        <rFont val="Consolas"/>
        <family val="3"/>
      </rPr>
      <t>~43</t>
    </r>
    <r>
      <rPr>
        <b/>
        <sz val="11"/>
        <color indexed="33"/>
        <rFont val="游ゴシック Medium"/>
        <family val="3"/>
        <charset val="128"/>
      </rPr>
      <t>年</t>
    </r>
    <r>
      <rPr>
        <b/>
        <sz val="11"/>
        <color indexed="33"/>
        <rFont val="Consolas"/>
        <family val="3"/>
      </rPr>
      <t xml:space="preserve"> </t>
    </r>
    <r>
      <rPr>
        <b/>
        <sz val="11"/>
        <color indexed="33"/>
        <rFont val="游ゴシック Medium"/>
        <family val="3"/>
        <charset val="128"/>
      </rPr>
      <t>上</t>
    </r>
    <rPh sb="0" eb="2">
      <t>ショウワ</t>
    </rPh>
    <rPh sb="4" eb="5">
      <t>ネン</t>
    </rPh>
    <rPh sb="6" eb="7">
      <t>ゲ</t>
    </rPh>
    <rPh sb="10" eb="11">
      <t>ネン</t>
    </rPh>
    <rPh sb="12" eb="13">
      <t>ジョウ</t>
    </rPh>
    <phoneticPr fontId="1"/>
  </si>
  <si>
    <r>
      <rPr>
        <sz val="11"/>
        <rFont val="游ゴシック Medium"/>
        <family val="3"/>
        <charset val="128"/>
      </rPr>
      <t>全音</t>
    </r>
    <r>
      <rPr>
        <sz val="11"/>
        <rFont val="Consolas"/>
        <family val="3"/>
      </rPr>
      <t xml:space="preserve"> </t>
    </r>
    <r>
      <rPr>
        <sz val="11"/>
        <rFont val="游ゴシック Medium"/>
        <family val="3"/>
        <charset val="128"/>
      </rPr>
      <t>歌謡曲大全集〔</t>
    </r>
    <r>
      <rPr>
        <sz val="11"/>
        <rFont val="Consolas"/>
        <family val="3"/>
      </rPr>
      <t>3</t>
    </r>
    <r>
      <rPr>
        <sz val="11"/>
        <rFont val="游ゴシック Medium"/>
        <family val="3"/>
        <charset val="128"/>
      </rPr>
      <t>〕</t>
    </r>
    <rPh sb="0" eb="2">
      <t>ゼンオン</t>
    </rPh>
    <rPh sb="3" eb="6">
      <t>カヨウキョク</t>
    </rPh>
    <rPh sb="6" eb="9">
      <t>ダイゼンシュウ</t>
    </rPh>
    <phoneticPr fontId="1"/>
  </si>
  <si>
    <r>
      <rPr>
        <b/>
        <sz val="11"/>
        <color indexed="33"/>
        <rFont val="游ゴシック Medium"/>
        <family val="3"/>
        <charset val="128"/>
      </rPr>
      <t>昭和</t>
    </r>
    <r>
      <rPr>
        <b/>
        <sz val="11"/>
        <color indexed="33"/>
        <rFont val="Consolas"/>
        <family val="3"/>
      </rPr>
      <t>43</t>
    </r>
    <r>
      <rPr>
        <b/>
        <sz val="11"/>
        <color indexed="33"/>
        <rFont val="游ゴシック Medium"/>
        <family val="3"/>
        <charset val="128"/>
      </rPr>
      <t>年</t>
    </r>
    <r>
      <rPr>
        <b/>
        <sz val="11"/>
        <color indexed="33"/>
        <rFont val="Consolas"/>
        <family val="3"/>
      </rPr>
      <t xml:space="preserve"> </t>
    </r>
    <r>
      <rPr>
        <b/>
        <sz val="11"/>
        <color indexed="33"/>
        <rFont val="游ゴシック Medium"/>
        <family val="3"/>
        <charset val="128"/>
      </rPr>
      <t>下</t>
    </r>
    <r>
      <rPr>
        <b/>
        <sz val="11"/>
        <color indexed="33"/>
        <rFont val="Consolas"/>
        <family val="3"/>
      </rPr>
      <t>~51</t>
    </r>
    <r>
      <rPr>
        <b/>
        <sz val="11"/>
        <color indexed="33"/>
        <rFont val="游ゴシック Medium"/>
        <family val="3"/>
        <charset val="128"/>
      </rPr>
      <t>年</t>
    </r>
    <r>
      <rPr>
        <b/>
        <sz val="11"/>
        <color indexed="33"/>
        <rFont val="Consolas"/>
        <family val="3"/>
      </rPr>
      <t xml:space="preserve"> </t>
    </r>
    <r>
      <rPr>
        <b/>
        <sz val="11"/>
        <color indexed="33"/>
        <rFont val="游ゴシック Medium"/>
        <family val="3"/>
        <charset val="128"/>
      </rPr>
      <t>上</t>
    </r>
    <rPh sb="0" eb="2">
      <t>ショウワ</t>
    </rPh>
    <rPh sb="4" eb="5">
      <t>ネン</t>
    </rPh>
    <rPh sb="6" eb="7">
      <t>ゲ</t>
    </rPh>
    <rPh sb="10" eb="11">
      <t>ネン</t>
    </rPh>
    <rPh sb="12" eb="13">
      <t>ジョウ</t>
    </rPh>
    <phoneticPr fontId="1"/>
  </si>
  <si>
    <r>
      <rPr>
        <sz val="11"/>
        <rFont val="游ゴシック Medium"/>
        <family val="3"/>
        <charset val="128"/>
      </rPr>
      <t>全音</t>
    </r>
    <r>
      <rPr>
        <sz val="11"/>
        <rFont val="Consolas"/>
        <family val="3"/>
      </rPr>
      <t xml:space="preserve"> </t>
    </r>
    <r>
      <rPr>
        <sz val="11"/>
        <rFont val="游ゴシック Medium"/>
        <family val="3"/>
        <charset val="128"/>
      </rPr>
      <t>歌謡曲大全集〔</t>
    </r>
    <r>
      <rPr>
        <sz val="11"/>
        <rFont val="Consolas"/>
        <family val="3"/>
      </rPr>
      <t>4</t>
    </r>
    <r>
      <rPr>
        <sz val="11"/>
        <rFont val="游ゴシック Medium"/>
        <family val="3"/>
        <charset val="128"/>
      </rPr>
      <t>〕</t>
    </r>
    <rPh sb="0" eb="2">
      <t>ゼンオン</t>
    </rPh>
    <rPh sb="3" eb="6">
      <t>カヨウキョク</t>
    </rPh>
    <rPh sb="6" eb="9">
      <t>ダイゼンシュウ</t>
    </rPh>
    <phoneticPr fontId="1"/>
  </si>
  <si>
    <r>
      <rPr>
        <b/>
        <sz val="11"/>
        <color indexed="33"/>
        <rFont val="游ゴシック Medium"/>
        <family val="3"/>
        <charset val="128"/>
      </rPr>
      <t>昭和</t>
    </r>
    <r>
      <rPr>
        <b/>
        <sz val="11"/>
        <color indexed="33"/>
        <rFont val="Consolas"/>
        <family val="3"/>
      </rPr>
      <t>51</t>
    </r>
    <r>
      <rPr>
        <b/>
        <sz val="11"/>
        <color indexed="33"/>
        <rFont val="游ゴシック Medium"/>
        <family val="3"/>
        <charset val="128"/>
      </rPr>
      <t>年</t>
    </r>
    <r>
      <rPr>
        <b/>
        <sz val="11"/>
        <color indexed="33"/>
        <rFont val="Consolas"/>
        <family val="3"/>
      </rPr>
      <t xml:space="preserve"> </t>
    </r>
    <r>
      <rPr>
        <b/>
        <sz val="11"/>
        <color indexed="33"/>
        <rFont val="游ゴシック Medium"/>
        <family val="3"/>
        <charset val="128"/>
      </rPr>
      <t>下</t>
    </r>
    <r>
      <rPr>
        <b/>
        <sz val="11"/>
        <color indexed="33"/>
        <rFont val="Consolas"/>
        <family val="3"/>
      </rPr>
      <t>~56</t>
    </r>
    <r>
      <rPr>
        <b/>
        <sz val="11"/>
        <color indexed="33"/>
        <rFont val="游ゴシック Medium"/>
        <family val="3"/>
        <charset val="128"/>
      </rPr>
      <t>年</t>
    </r>
    <r>
      <rPr>
        <b/>
        <sz val="11"/>
        <color indexed="33"/>
        <rFont val="Consolas"/>
        <family val="3"/>
      </rPr>
      <t xml:space="preserve"> </t>
    </r>
    <r>
      <rPr>
        <b/>
        <sz val="11"/>
        <color indexed="33"/>
        <rFont val="游ゴシック Medium"/>
        <family val="3"/>
        <charset val="128"/>
      </rPr>
      <t>上</t>
    </r>
    <rPh sb="0" eb="2">
      <t>ショウワ</t>
    </rPh>
    <rPh sb="4" eb="5">
      <t>ネン</t>
    </rPh>
    <rPh sb="6" eb="7">
      <t>ゲ</t>
    </rPh>
    <rPh sb="10" eb="11">
      <t>ネン</t>
    </rPh>
    <rPh sb="12" eb="13">
      <t>ジョウ</t>
    </rPh>
    <phoneticPr fontId="1"/>
  </si>
  <si>
    <r>
      <rPr>
        <sz val="11"/>
        <rFont val="游ゴシック Medium"/>
        <family val="3"/>
        <charset val="128"/>
      </rPr>
      <t>全音</t>
    </r>
    <r>
      <rPr>
        <sz val="11"/>
        <rFont val="Consolas"/>
        <family val="3"/>
      </rPr>
      <t xml:space="preserve"> </t>
    </r>
    <r>
      <rPr>
        <sz val="11"/>
        <rFont val="游ゴシック Medium"/>
        <family val="3"/>
        <charset val="128"/>
      </rPr>
      <t>歌謡曲大全集〔</t>
    </r>
    <r>
      <rPr>
        <sz val="11"/>
        <rFont val="Consolas"/>
        <family val="3"/>
      </rPr>
      <t>5</t>
    </r>
    <r>
      <rPr>
        <sz val="11"/>
        <rFont val="游ゴシック Medium"/>
        <family val="3"/>
        <charset val="128"/>
      </rPr>
      <t>〕</t>
    </r>
    <rPh sb="0" eb="2">
      <t>ゼンオン</t>
    </rPh>
    <rPh sb="3" eb="6">
      <t>カヨウキョク</t>
    </rPh>
    <rPh sb="6" eb="9">
      <t>ダイゼンシュウ</t>
    </rPh>
    <phoneticPr fontId="1"/>
  </si>
  <si>
    <r>
      <rPr>
        <sz val="11"/>
        <rFont val="游ゴシック Medium"/>
        <family val="3"/>
        <charset val="128"/>
      </rPr>
      <t>セメント・フォーク大全集</t>
    </r>
    <rPh sb="9" eb="12">
      <t>ダイゼンシュウ</t>
    </rPh>
    <phoneticPr fontId="1"/>
  </si>
  <si>
    <r>
      <rPr>
        <sz val="11"/>
        <rFont val="游ゴシック Medium"/>
        <family val="3"/>
        <charset val="128"/>
      </rPr>
      <t>新譜ジャーナル</t>
    </r>
    <r>
      <rPr>
        <sz val="11"/>
        <rFont val="Consolas"/>
        <family val="3"/>
      </rPr>
      <t xml:space="preserve"> </t>
    </r>
    <r>
      <rPr>
        <sz val="11"/>
        <rFont val="游ゴシック Medium"/>
        <family val="3"/>
        <charset val="128"/>
      </rPr>
      <t>コレクション</t>
    </r>
    <r>
      <rPr>
        <sz val="11"/>
        <rFont val="Consolas"/>
        <family val="3"/>
      </rPr>
      <t>/494</t>
    </r>
    <r>
      <rPr>
        <sz val="11"/>
        <rFont val="游ゴシック Medium"/>
        <family val="3"/>
        <charset val="128"/>
      </rPr>
      <t>曲</t>
    </r>
    <r>
      <rPr>
        <sz val="11"/>
        <rFont val="Consolas"/>
        <family val="3"/>
      </rPr>
      <t>/+39</t>
    </r>
    <r>
      <rPr>
        <sz val="11"/>
        <rFont val="游ゴシック Medium"/>
        <family val="3"/>
        <charset val="128"/>
      </rPr>
      <t>曲</t>
    </r>
    <r>
      <rPr>
        <sz val="11"/>
        <rFont val="Consolas"/>
        <family val="3"/>
      </rPr>
      <t xml:space="preserve"> 2006/01/05</t>
    </r>
    <rPh sb="0" eb="2">
      <t>シンプ</t>
    </rPh>
    <rPh sb="18" eb="19">
      <t>キョク</t>
    </rPh>
    <rPh sb="23" eb="24">
      <t>キョク</t>
    </rPh>
    <phoneticPr fontId="1"/>
  </si>
  <si>
    <r>
      <rPr>
        <sz val="11"/>
        <rFont val="游ゴシック Medium"/>
        <family val="3"/>
        <charset val="128"/>
      </rPr>
      <t>セメント・フォーク大全集</t>
    </r>
    <r>
      <rPr>
        <sz val="11"/>
        <rFont val="Consolas"/>
        <family val="3"/>
      </rPr>
      <t xml:space="preserve"> II</t>
    </r>
    <rPh sb="9" eb="12">
      <t>ダイゼンシュウ</t>
    </rPh>
    <phoneticPr fontId="1"/>
  </si>
  <si>
    <r>
      <rPr>
        <sz val="11"/>
        <rFont val="游ゴシック Medium"/>
        <family val="3"/>
        <charset val="128"/>
      </rPr>
      <t>新譜ジャーナル</t>
    </r>
    <r>
      <rPr>
        <sz val="11"/>
        <rFont val="Consolas"/>
        <family val="3"/>
      </rPr>
      <t xml:space="preserve"> </t>
    </r>
    <r>
      <rPr>
        <sz val="11"/>
        <rFont val="游ゴシック Medium"/>
        <family val="3"/>
        <charset val="128"/>
      </rPr>
      <t>コレクション</t>
    </r>
    <r>
      <rPr>
        <sz val="11"/>
        <rFont val="Consolas"/>
        <family val="3"/>
      </rPr>
      <t>/419</t>
    </r>
    <r>
      <rPr>
        <sz val="11"/>
        <rFont val="游ゴシック Medium"/>
        <family val="3"/>
        <charset val="128"/>
      </rPr>
      <t>曲</t>
    </r>
    <r>
      <rPr>
        <sz val="11"/>
        <rFont val="Consolas"/>
        <family val="3"/>
      </rPr>
      <t>/</t>
    </r>
    <r>
      <rPr>
        <sz val="11"/>
        <rFont val="游ゴシック Medium"/>
        <family val="3"/>
        <charset val="128"/>
      </rPr>
      <t>永久保存版</t>
    </r>
    <rPh sb="0" eb="2">
      <t>シンプ</t>
    </rPh>
    <rPh sb="18" eb="19">
      <t>キョク</t>
    </rPh>
    <rPh sb="20" eb="22">
      <t>エイキュウ</t>
    </rPh>
    <rPh sb="22" eb="24">
      <t>ホゾン</t>
    </rPh>
    <rPh sb="24" eb="25">
      <t>バン</t>
    </rPh>
    <phoneticPr fontId="1"/>
  </si>
  <si>
    <r>
      <t>4-8456-1344-1/</t>
    </r>
    <r>
      <rPr>
        <sz val="11"/>
        <rFont val="游ゴシック Medium"/>
        <family val="3"/>
        <charset val="128"/>
      </rPr>
      <t>雑誌</t>
    </r>
    <r>
      <rPr>
        <sz val="11"/>
        <rFont val="Consolas"/>
        <family val="3"/>
      </rPr>
      <t>69775-41</t>
    </r>
    <phoneticPr fontId="1"/>
  </si>
  <si>
    <r>
      <t>cd/</t>
    </r>
    <r>
      <rPr>
        <sz val="11"/>
        <rFont val="游ゴシック Medium"/>
        <family val="3"/>
        <charset val="128"/>
      </rPr>
      <t>雑誌</t>
    </r>
    <r>
      <rPr>
        <sz val="11"/>
        <rFont val="Consolas"/>
        <family val="3"/>
      </rPr>
      <t>/</t>
    </r>
    <r>
      <rPr>
        <sz val="11"/>
        <rFont val="游ゴシック Medium"/>
        <family val="3"/>
        <charset val="128"/>
      </rPr>
      <t>楽譜</t>
    </r>
    <rPh sb="3" eb="5">
      <t>ザッシ</t>
    </rPh>
    <rPh sb="6" eb="8">
      <t>ガクフ</t>
    </rPh>
    <phoneticPr fontId="1"/>
  </si>
  <si>
    <r>
      <rPr>
        <sz val="11"/>
        <rFont val="游ゴシック Medium"/>
        <family val="3"/>
        <charset val="128"/>
      </rPr>
      <t>椎名林檎</t>
    </r>
    <rPh sb="0" eb="2">
      <t>シイナ</t>
    </rPh>
    <rPh sb="2" eb="4">
      <t>リンゴ</t>
    </rPh>
    <phoneticPr fontId="1"/>
  </si>
  <si>
    <r>
      <rPr>
        <sz val="11"/>
        <rFont val="游ゴシック Medium"/>
        <family val="3"/>
        <charset val="128"/>
      </rPr>
      <t>無罪モラトリアム</t>
    </r>
    <rPh sb="0" eb="2">
      <t>ムザイ</t>
    </rPh>
    <phoneticPr fontId="1"/>
  </si>
  <si>
    <r>
      <rPr>
        <sz val="11"/>
        <rFont val="游ゴシック Medium"/>
        <family val="3"/>
        <charset val="128"/>
      </rPr>
      <t>勝訴ストリップ</t>
    </r>
    <rPh sb="0" eb="2">
      <t>ショウソ</t>
    </rPh>
    <phoneticPr fontId="1"/>
  </si>
  <si>
    <r>
      <rPr>
        <sz val="11"/>
        <rFont val="游ゴシック Medium"/>
        <family val="3"/>
        <charset val="128"/>
      </rPr>
      <t>加爾基</t>
    </r>
    <r>
      <rPr>
        <sz val="11"/>
        <rFont val="Consolas"/>
        <family val="3"/>
      </rPr>
      <t xml:space="preserve"> </t>
    </r>
    <r>
      <rPr>
        <sz val="11"/>
        <rFont val="游ゴシック Medium"/>
        <family val="3"/>
        <charset val="128"/>
      </rPr>
      <t>精液</t>
    </r>
    <r>
      <rPr>
        <sz val="11"/>
        <rFont val="Consolas"/>
        <family val="3"/>
      </rPr>
      <t xml:space="preserve"> </t>
    </r>
    <r>
      <rPr>
        <sz val="11"/>
        <rFont val="游ゴシック Medium"/>
        <family val="3"/>
        <charset val="128"/>
      </rPr>
      <t>栗ノ花</t>
    </r>
    <rPh sb="0" eb="3">
      <t>カルキ</t>
    </rPh>
    <rPh sb="4" eb="6">
      <t>ザーメン</t>
    </rPh>
    <rPh sb="7" eb="8">
      <t>クリ</t>
    </rPh>
    <rPh sb="8" eb="9">
      <t>ノ</t>
    </rPh>
    <rPh sb="9" eb="10">
      <t>ハナ</t>
    </rPh>
    <phoneticPr fontId="1"/>
  </si>
  <si>
    <r>
      <rPr>
        <sz val="11"/>
        <rFont val="游ゴシック Medium"/>
        <family val="3"/>
        <charset val="128"/>
      </rPr>
      <t>東京事変</t>
    </r>
    <r>
      <rPr>
        <sz val="11"/>
        <rFont val="Consolas"/>
        <family val="3"/>
      </rPr>
      <t>/Tokyo Incidents</t>
    </r>
    <rPh sb="0" eb="4">
      <t>トウキョウジヘン</t>
    </rPh>
    <phoneticPr fontId="1"/>
  </si>
  <si>
    <r>
      <rPr>
        <sz val="11"/>
        <rFont val="游ゴシック Medium"/>
        <family val="3"/>
        <charset val="128"/>
      </rPr>
      <t>松任谷由美</t>
    </r>
    <rPh sb="0" eb="3">
      <t>マツトウヤ</t>
    </rPh>
    <rPh sb="3" eb="5">
      <t>ユミ</t>
    </rPh>
    <phoneticPr fontId="1"/>
  </si>
  <si>
    <r>
      <rPr>
        <sz val="11"/>
        <rFont val="游ゴシック Medium"/>
        <family val="3"/>
        <charset val="128"/>
      </rPr>
      <t>全曲集</t>
    </r>
    <r>
      <rPr>
        <sz val="11"/>
        <rFont val="Consolas"/>
        <family val="3"/>
      </rPr>
      <t>1/Piano</t>
    </r>
    <r>
      <rPr>
        <sz val="11"/>
        <rFont val="游ゴシック Medium"/>
        <family val="3"/>
        <charset val="128"/>
      </rPr>
      <t>弾き語り</t>
    </r>
    <r>
      <rPr>
        <sz val="11"/>
        <rFont val="Consolas"/>
        <family val="3"/>
      </rPr>
      <t>/</t>
    </r>
    <r>
      <rPr>
        <sz val="11"/>
        <rFont val="游ゴシック Medium"/>
        <family val="3"/>
        <charset val="128"/>
      </rPr>
      <t>ひこうき雲～</t>
    </r>
    <r>
      <rPr>
        <sz val="11"/>
        <rFont val="Consolas"/>
        <family val="3"/>
      </rPr>
      <t>Pearl Pierce</t>
    </r>
    <rPh sb="0" eb="2">
      <t>ゼンキョク</t>
    </rPh>
    <rPh sb="2" eb="3">
      <t>シュウ</t>
    </rPh>
    <rPh sb="5" eb="10">
      <t>ピアノ</t>
    </rPh>
    <rPh sb="10" eb="11">
      <t>ヒ</t>
    </rPh>
    <rPh sb="12" eb="13">
      <t>ガタ</t>
    </rPh>
    <rPh sb="19" eb="20">
      <t>クモ</t>
    </rPh>
    <rPh sb="21" eb="26">
      <t>パール</t>
    </rPh>
    <rPh sb="27" eb="33">
      <t>ピアス</t>
    </rPh>
    <phoneticPr fontId="1"/>
  </si>
  <si>
    <r>
      <rPr>
        <sz val="11"/>
        <rFont val="游ゴシック Medium"/>
        <family val="3"/>
        <charset val="128"/>
      </rPr>
      <t>全曲集</t>
    </r>
    <r>
      <rPr>
        <sz val="11"/>
        <rFont val="Consolas"/>
        <family val="3"/>
      </rPr>
      <t>2/Piano</t>
    </r>
    <r>
      <rPr>
        <sz val="11"/>
        <rFont val="游ゴシック Medium"/>
        <family val="3"/>
        <charset val="128"/>
      </rPr>
      <t>弾き語り</t>
    </r>
    <r>
      <rPr>
        <sz val="11"/>
        <rFont val="Consolas"/>
        <family val="3"/>
      </rPr>
      <t>/</t>
    </r>
    <r>
      <rPr>
        <sz val="11"/>
        <rFont val="游ゴシック Medium"/>
        <family val="3"/>
        <charset val="128"/>
      </rPr>
      <t>リ・インカネーション～</t>
    </r>
    <r>
      <rPr>
        <sz val="11"/>
        <rFont val="Consolas"/>
        <family val="3"/>
      </rPr>
      <t>Dawn Purple</t>
    </r>
    <rPh sb="0" eb="2">
      <t>ゼンキョク</t>
    </rPh>
    <rPh sb="2" eb="3">
      <t>シュウ</t>
    </rPh>
    <rPh sb="5" eb="10">
      <t>ピアノ</t>
    </rPh>
    <rPh sb="10" eb="11">
      <t>ヒ</t>
    </rPh>
    <rPh sb="12" eb="13">
      <t>ガタ</t>
    </rPh>
    <rPh sb="26" eb="37">
      <t>ドーン パープル</t>
    </rPh>
    <phoneticPr fontId="1"/>
  </si>
  <si>
    <r>
      <rPr>
        <sz val="11"/>
        <rFont val="游ゴシック Medium"/>
        <family val="3"/>
        <charset val="128"/>
      </rPr>
      <t>全曲集</t>
    </r>
    <r>
      <rPr>
        <sz val="11"/>
        <rFont val="Consolas"/>
        <family val="3"/>
      </rPr>
      <t>/Guitar</t>
    </r>
    <r>
      <rPr>
        <sz val="11"/>
        <rFont val="游ゴシック Medium"/>
        <family val="3"/>
        <charset val="128"/>
      </rPr>
      <t>弾き語り</t>
    </r>
    <r>
      <rPr>
        <sz val="11"/>
        <rFont val="Consolas"/>
        <family val="3"/>
      </rPr>
      <t>/</t>
    </r>
    <r>
      <rPr>
        <sz val="11"/>
        <rFont val="游ゴシック Medium"/>
        <family val="3"/>
        <charset val="128"/>
      </rPr>
      <t>デビュー</t>
    </r>
    <r>
      <rPr>
        <sz val="11"/>
        <rFont val="Consolas"/>
        <family val="3"/>
      </rPr>
      <t>~</t>
    </r>
    <rPh sb="0" eb="2">
      <t>ゼンキョク</t>
    </rPh>
    <rPh sb="2" eb="3">
      <t>シュウ</t>
    </rPh>
    <rPh sb="4" eb="10">
      <t>ギター</t>
    </rPh>
    <rPh sb="10" eb="11">
      <t>ヒ</t>
    </rPh>
    <rPh sb="12" eb="13">
      <t>ガタ</t>
    </rPh>
    <phoneticPr fontId="1"/>
  </si>
  <si>
    <r>
      <rPr>
        <sz val="11"/>
        <rFont val="游ゴシック Medium"/>
        <family val="3"/>
        <charset val="128"/>
      </rPr>
      <t>国際楽譜出版社</t>
    </r>
    <rPh sb="0" eb="7">
      <t>コクサイガクフシュッパンシャ</t>
    </rPh>
    <phoneticPr fontId="1"/>
  </si>
  <si>
    <r>
      <rPr>
        <sz val="11"/>
        <rFont val="游ゴシック Medium"/>
        <family val="3"/>
        <charset val="128"/>
      </rPr>
      <t>濱田金吾</t>
    </r>
    <rPh sb="0" eb="2">
      <t>ハマダ</t>
    </rPh>
    <rPh sb="2" eb="4">
      <t>キンゴ</t>
    </rPh>
    <phoneticPr fontId="1"/>
  </si>
  <si>
    <r>
      <rPr>
        <sz val="11"/>
        <rFont val="游ゴシック Medium"/>
        <family val="3"/>
        <charset val="128"/>
      </rPr>
      <t>音楽春秋</t>
    </r>
    <rPh sb="0" eb="4">
      <t>オンガクシュンジュウ</t>
    </rPh>
    <phoneticPr fontId="1"/>
  </si>
  <si>
    <r>
      <rPr>
        <sz val="11"/>
        <rFont val="游ゴシック Medium"/>
        <family val="3"/>
        <charset val="128"/>
      </rPr>
      <t>南</t>
    </r>
    <r>
      <rPr>
        <sz val="11"/>
        <rFont val="Consolas"/>
        <family val="3"/>
      </rPr>
      <t xml:space="preserve"> </t>
    </r>
    <r>
      <rPr>
        <sz val="11"/>
        <rFont val="游ゴシック Medium"/>
        <family val="3"/>
        <charset val="128"/>
      </rPr>
      <t>佳孝</t>
    </r>
    <rPh sb="0" eb="1">
      <t>ミナミ</t>
    </rPh>
    <rPh sb="2" eb="4">
      <t>ヨシタカ</t>
    </rPh>
    <phoneticPr fontId="1"/>
  </si>
  <si>
    <r>
      <rPr>
        <sz val="11"/>
        <rFont val="游ゴシック Medium"/>
        <family val="3"/>
        <charset val="128"/>
      </rPr>
      <t>東京音楽書院</t>
    </r>
    <rPh sb="0" eb="2">
      <t>トウキョウ</t>
    </rPh>
    <rPh sb="2" eb="4">
      <t>オンガク</t>
    </rPh>
    <rPh sb="4" eb="6">
      <t>ショイン</t>
    </rPh>
    <phoneticPr fontId="1"/>
  </si>
  <si>
    <r>
      <rPr>
        <sz val="11"/>
        <rFont val="游ゴシック Medium"/>
        <family val="3"/>
        <charset val="128"/>
      </rPr>
      <t>山下達郎</t>
    </r>
    <rPh sb="0" eb="2">
      <t>ヤマシタ</t>
    </rPh>
    <rPh sb="2" eb="4">
      <t>タツロウ</t>
    </rPh>
    <phoneticPr fontId="1"/>
  </si>
  <si>
    <r>
      <rPr>
        <sz val="11"/>
        <rFont val="游ゴシック Medium"/>
        <family val="3"/>
        <charset val="128"/>
      </rPr>
      <t>中央アート出版社</t>
    </r>
    <r>
      <rPr>
        <sz val="11"/>
        <rFont val="Consolas"/>
        <family val="3"/>
      </rPr>
      <t>/</t>
    </r>
    <r>
      <rPr>
        <sz val="11"/>
        <rFont val="游ゴシック Medium"/>
        <family val="3"/>
        <charset val="128"/>
      </rPr>
      <t>㈲</t>
    </r>
    <rPh sb="0" eb="2">
      <t>チュウオウ</t>
    </rPh>
    <rPh sb="5" eb="8">
      <t>シュッパンシャ</t>
    </rPh>
    <phoneticPr fontId="1"/>
  </si>
  <si>
    <r>
      <t>Greatest Hits/Piano</t>
    </r>
    <r>
      <rPr>
        <sz val="11"/>
        <rFont val="游ゴシック Medium"/>
        <family val="3"/>
        <charset val="128"/>
      </rPr>
      <t>弾き語り</t>
    </r>
    <rPh sb="0" eb="13">
      <t>グレイテスト ヒッツ</t>
    </rPh>
    <rPh sb="14" eb="19">
      <t>ピアノ</t>
    </rPh>
    <rPh sb="19" eb="20">
      <t>ヒ</t>
    </rPh>
    <rPh sb="21" eb="22">
      <t>ガタ</t>
    </rPh>
    <phoneticPr fontId="1"/>
  </si>
  <si>
    <r>
      <rPr>
        <sz val="11"/>
        <rFont val="游ゴシック Medium"/>
        <family val="3"/>
        <charset val="128"/>
      </rPr>
      <t>東京音楽書院</t>
    </r>
    <rPh sb="0" eb="6">
      <t>トウキョウオンガクショイン</t>
    </rPh>
    <phoneticPr fontId="1"/>
  </si>
  <si>
    <r>
      <rPr>
        <sz val="11"/>
        <rFont val="游ゴシック Medium"/>
        <family val="3"/>
        <charset val="128"/>
      </rPr>
      <t>大貫妙子</t>
    </r>
    <rPh sb="0" eb="2">
      <t>オオヌキ</t>
    </rPh>
    <rPh sb="2" eb="4">
      <t>タエコ</t>
    </rPh>
    <phoneticPr fontId="1"/>
  </si>
  <si>
    <r>
      <rPr>
        <sz val="11"/>
        <rFont val="游ゴシック Medium"/>
        <family val="3"/>
        <charset val="128"/>
      </rPr>
      <t>音楽春秋</t>
    </r>
    <rPh sb="0" eb="2">
      <t>オンガク</t>
    </rPh>
    <rPh sb="2" eb="4">
      <t>シュンジュウ</t>
    </rPh>
    <phoneticPr fontId="1"/>
  </si>
  <si>
    <r>
      <rPr>
        <sz val="11"/>
        <rFont val="游ゴシック Medium"/>
        <family val="3"/>
        <charset val="128"/>
      </rPr>
      <t>伊藤銀次</t>
    </r>
    <rPh sb="0" eb="2">
      <t>イトウ</t>
    </rPh>
    <rPh sb="2" eb="4">
      <t>ギンジ</t>
    </rPh>
    <phoneticPr fontId="1"/>
  </si>
  <si>
    <r>
      <rPr>
        <sz val="11"/>
        <rFont val="游ゴシック Medium"/>
        <family val="3"/>
        <charset val="128"/>
      </rPr>
      <t>山本達彦</t>
    </r>
    <rPh sb="0" eb="2">
      <t>ヤマモト</t>
    </rPh>
    <rPh sb="2" eb="4">
      <t>タツヒコ</t>
    </rPh>
    <phoneticPr fontId="1"/>
  </si>
  <si>
    <r>
      <rPr>
        <sz val="11"/>
        <rFont val="游ゴシック Medium"/>
        <family val="3"/>
        <charset val="128"/>
      </rPr>
      <t>太陽がいっぱい</t>
    </r>
    <rPh sb="0" eb="2">
      <t>タイヨウ</t>
    </rPh>
    <phoneticPr fontId="1"/>
  </si>
  <si>
    <r>
      <rPr>
        <sz val="11"/>
        <rFont val="游ゴシック Medium"/>
        <family val="3"/>
        <charset val="128"/>
      </rPr>
      <t>サザンオールスターズ</t>
    </r>
    <phoneticPr fontId="1"/>
  </si>
  <si>
    <r>
      <rPr>
        <sz val="11"/>
        <rFont val="游ゴシック Medium"/>
        <family val="3"/>
        <charset val="128"/>
      </rPr>
      <t>サザンオールスターズ全曲集</t>
    </r>
    <rPh sb="10" eb="12">
      <t>ゼンキョク</t>
    </rPh>
    <rPh sb="12" eb="13">
      <t>シュウ</t>
    </rPh>
    <phoneticPr fontId="1"/>
  </si>
  <si>
    <r>
      <rPr>
        <sz val="11"/>
        <rFont val="游ゴシック Medium"/>
        <family val="3"/>
        <charset val="128"/>
      </rPr>
      <t>サザンオールスターズ</t>
    </r>
    <r>
      <rPr>
        <sz val="11"/>
        <rFont val="Consolas"/>
        <family val="3"/>
      </rPr>
      <t xml:space="preserve"> Hit Album/Piano</t>
    </r>
    <r>
      <rPr>
        <sz val="11"/>
        <rFont val="游ゴシック Medium"/>
        <family val="3"/>
        <charset val="128"/>
      </rPr>
      <t>弾き語り</t>
    </r>
    <rPh sb="11" eb="20">
      <t>ヒット　アルバム</t>
    </rPh>
    <rPh sb="21" eb="26">
      <t>ピアノ</t>
    </rPh>
    <rPh sb="26" eb="27">
      <t>ヒ</t>
    </rPh>
    <rPh sb="28" eb="29">
      <t>ガタ</t>
    </rPh>
    <phoneticPr fontId="1"/>
  </si>
  <si>
    <r>
      <rPr>
        <sz val="11"/>
        <rFont val="游ゴシック Medium"/>
        <family val="3"/>
        <charset val="128"/>
      </rPr>
      <t>レベッカ</t>
    </r>
    <phoneticPr fontId="1"/>
  </si>
  <si>
    <r>
      <rPr>
        <sz val="11"/>
        <rFont val="游ゴシック Medium"/>
        <family val="3"/>
        <charset val="128"/>
      </rPr>
      <t>レベッカ</t>
    </r>
    <r>
      <rPr>
        <sz val="11"/>
        <rFont val="Consolas"/>
        <family val="3"/>
      </rPr>
      <t xml:space="preserve"> Best</t>
    </r>
    <r>
      <rPr>
        <sz val="11"/>
        <rFont val="游ゴシック Medium"/>
        <family val="3"/>
        <charset val="128"/>
      </rPr>
      <t>③</t>
    </r>
    <r>
      <rPr>
        <sz val="11"/>
        <rFont val="Consolas"/>
        <family val="3"/>
      </rPr>
      <t>/Band Score</t>
    </r>
    <rPh sb="5" eb="9">
      <t>ベスト</t>
    </rPh>
    <rPh sb="11" eb="21">
      <t>バンド　スコア</t>
    </rPh>
    <phoneticPr fontId="1"/>
  </si>
  <si>
    <r>
      <rPr>
        <sz val="11"/>
        <rFont val="游ゴシック Medium"/>
        <family val="3"/>
        <charset val="128"/>
      </rPr>
      <t>③</t>
    </r>
    <phoneticPr fontId="1"/>
  </si>
  <si>
    <r>
      <rPr>
        <sz val="11"/>
        <rFont val="游ゴシック Medium"/>
        <family val="3"/>
        <charset val="128"/>
      </rPr>
      <t>シンコーミュージック</t>
    </r>
    <phoneticPr fontId="1"/>
  </si>
  <si>
    <r>
      <rPr>
        <sz val="11"/>
        <rFont val="游ゴシック Medium"/>
        <family val="3"/>
        <charset val="128"/>
      </rPr>
      <t>八神純子</t>
    </r>
    <rPh sb="0" eb="2">
      <t>ヤガミ</t>
    </rPh>
    <rPh sb="2" eb="4">
      <t>ジュンコ</t>
    </rPh>
    <phoneticPr fontId="1"/>
  </si>
  <si>
    <r>
      <rPr>
        <sz val="11"/>
        <rFont val="游ゴシック Medium"/>
        <family val="3"/>
        <charset val="128"/>
      </rPr>
      <t>八神純子</t>
    </r>
    <r>
      <rPr>
        <sz val="11"/>
        <rFont val="Consolas"/>
        <family val="3"/>
      </rPr>
      <t>Collection/Piano</t>
    </r>
    <r>
      <rPr>
        <sz val="11"/>
        <rFont val="游ゴシック Medium"/>
        <family val="3"/>
        <charset val="128"/>
      </rPr>
      <t>独奏</t>
    </r>
    <rPh sb="0" eb="2">
      <t>ヤガミ</t>
    </rPh>
    <rPh sb="2" eb="4">
      <t>ジュンコ</t>
    </rPh>
    <rPh sb="4" eb="14">
      <t>コレクション</t>
    </rPh>
    <rPh sb="15" eb="20">
      <t>ピアノ</t>
    </rPh>
    <rPh sb="20" eb="22">
      <t>ドクソウ</t>
    </rPh>
    <phoneticPr fontId="1"/>
  </si>
  <si>
    <r>
      <rPr>
        <sz val="11"/>
        <rFont val="游ゴシック Medium"/>
        <family val="3"/>
        <charset val="128"/>
      </rPr>
      <t>米米クラブ</t>
    </r>
    <rPh sb="0" eb="1">
      <t>コメ</t>
    </rPh>
    <rPh sb="1" eb="2">
      <t>コメ</t>
    </rPh>
    <phoneticPr fontId="1"/>
  </si>
  <si>
    <r>
      <rPr>
        <sz val="11"/>
        <rFont val="游ゴシック Medium"/>
        <family val="3"/>
        <charset val="128"/>
      </rPr>
      <t>君がいるだけで</t>
    </r>
    <rPh sb="0" eb="1">
      <t>キミ</t>
    </rPh>
    <phoneticPr fontId="1"/>
  </si>
  <si>
    <r>
      <rPr>
        <sz val="11"/>
        <rFont val="游ゴシック Medium"/>
        <family val="3"/>
        <charset val="128"/>
      </rPr>
      <t>切れ端</t>
    </r>
    <rPh sb="0" eb="1">
      <t>キ</t>
    </rPh>
    <rPh sb="2" eb="3">
      <t>ハシ</t>
    </rPh>
    <phoneticPr fontId="1"/>
  </si>
  <si>
    <r>
      <rPr>
        <b/>
        <sz val="11"/>
        <color indexed="33"/>
        <rFont val="游ゴシック Medium"/>
        <family val="3"/>
        <charset val="128"/>
      </rPr>
      <t>ナイトフライ</t>
    </r>
    <phoneticPr fontId="1"/>
  </si>
  <si>
    <r>
      <t>Warner Bros./</t>
    </r>
    <r>
      <rPr>
        <sz val="11"/>
        <rFont val="游ゴシック Medium"/>
        <family val="3"/>
        <charset val="128"/>
      </rPr>
      <t>全音楽譜出版社</t>
    </r>
    <rPh sb="0" eb="6">
      <t>ワーナー</t>
    </rPh>
    <rPh sb="13" eb="20">
      <t>ゼンオンガクフシュッパンシャ</t>
    </rPh>
    <phoneticPr fontId="1"/>
  </si>
  <si>
    <r>
      <rPr>
        <b/>
        <sz val="11"/>
        <color indexed="33"/>
        <rFont val="游ゴシック Medium"/>
        <family val="3"/>
        <charset val="128"/>
      </rPr>
      <t>全曲集</t>
    </r>
    <r>
      <rPr>
        <b/>
        <sz val="11"/>
        <color indexed="33"/>
        <rFont val="Consolas"/>
        <family val="3"/>
      </rPr>
      <t>/</t>
    </r>
    <r>
      <rPr>
        <b/>
        <sz val="11"/>
        <color indexed="33"/>
        <rFont val="游ゴシック Medium"/>
        <family val="3"/>
        <charset val="128"/>
      </rPr>
      <t>上下</t>
    </r>
    <rPh sb="0" eb="3">
      <t>ゼンキョクシュウ</t>
    </rPh>
    <rPh sb="4" eb="6">
      <t>ジョウゲ</t>
    </rPh>
    <phoneticPr fontId="1"/>
  </si>
  <si>
    <r>
      <rPr>
        <b/>
        <sz val="11"/>
        <color indexed="33"/>
        <rFont val="游ゴシック Medium"/>
        <family val="3"/>
        <charset val="128"/>
      </rPr>
      <t>全曲集</t>
    </r>
    <r>
      <rPr>
        <b/>
        <sz val="11"/>
        <color indexed="33"/>
        <rFont val="Consolas"/>
        <family val="3"/>
      </rPr>
      <t>/Band Score</t>
    </r>
    <rPh sb="0" eb="3">
      <t>ゼンキョクシュウ</t>
    </rPh>
    <rPh sb="4" eb="14">
      <t>バンド　スコア</t>
    </rPh>
    <phoneticPr fontId="1"/>
  </si>
  <si>
    <r>
      <rPr>
        <sz val="11"/>
        <rFont val="游ゴシック Medium"/>
        <family val="3"/>
        <charset val="128"/>
      </rPr>
      <t>●</t>
    </r>
    <r>
      <rPr>
        <sz val="11"/>
        <rFont val="Consolas"/>
        <family val="3"/>
      </rPr>
      <t>Piano</t>
    </r>
    <r>
      <rPr>
        <sz val="11"/>
        <rFont val="游ゴシック Medium"/>
        <family val="3"/>
        <charset val="128"/>
      </rPr>
      <t>弾き語り</t>
    </r>
    <r>
      <rPr>
        <sz val="11"/>
        <rFont val="Consolas"/>
        <family val="3"/>
      </rPr>
      <t>Best Collection</t>
    </r>
    <rPh sb="1" eb="6">
      <t>ピアノ</t>
    </rPh>
    <rPh sb="6" eb="9">
      <t>ヒキガタ</t>
    </rPh>
    <rPh sb="10" eb="25">
      <t>ベスト　コレクション</t>
    </rPh>
    <phoneticPr fontId="1"/>
  </si>
  <si>
    <r>
      <rPr>
        <sz val="11"/>
        <rFont val="游ゴシック Medium"/>
        <family val="3"/>
        <charset val="128"/>
      </rPr>
      <t>ボズ・スキャッグス</t>
    </r>
    <phoneticPr fontId="1"/>
  </si>
  <si>
    <r>
      <rPr>
        <sz val="11"/>
        <rFont val="游ゴシック Medium"/>
        <family val="3"/>
        <charset val="128"/>
      </rPr>
      <t>水野汀子</t>
    </r>
    <rPh sb="0" eb="2">
      <t>ミズノ</t>
    </rPh>
    <rPh sb="2" eb="4">
      <t>テイコ</t>
    </rPh>
    <phoneticPr fontId="1"/>
  </si>
  <si>
    <r>
      <rPr>
        <sz val="11"/>
        <rFont val="游ゴシック Medium"/>
        <family val="3"/>
        <charset val="128"/>
      </rPr>
      <t>水声社</t>
    </r>
    <r>
      <rPr>
        <sz val="11"/>
        <rFont val="Consolas"/>
        <family val="3"/>
      </rPr>
      <t>:</t>
    </r>
    <r>
      <rPr>
        <sz val="11"/>
        <rFont val="游ゴシック Medium"/>
        <family val="3"/>
        <charset val="128"/>
      </rPr>
      <t>発行</t>
    </r>
    <r>
      <rPr>
        <sz val="11"/>
        <rFont val="Consolas"/>
        <family val="3"/>
      </rPr>
      <t>/</t>
    </r>
    <r>
      <rPr>
        <sz val="11"/>
        <rFont val="游ゴシック Medium"/>
        <family val="3"/>
        <charset val="128"/>
      </rPr>
      <t>音楽の友社</t>
    </r>
    <r>
      <rPr>
        <sz val="11"/>
        <rFont val="Consolas"/>
        <family val="3"/>
      </rPr>
      <t>:</t>
    </r>
    <r>
      <rPr>
        <sz val="11"/>
        <rFont val="游ゴシック Medium"/>
        <family val="3"/>
        <charset val="128"/>
      </rPr>
      <t>発売</t>
    </r>
    <rPh sb="0" eb="1">
      <t>スイ</t>
    </rPh>
    <rPh sb="1" eb="2">
      <t>セイ</t>
    </rPh>
    <rPh sb="2" eb="3">
      <t>シャ</t>
    </rPh>
    <rPh sb="4" eb="6">
      <t>ハッコウ</t>
    </rPh>
    <rPh sb="7" eb="9">
      <t>オンガク</t>
    </rPh>
    <rPh sb="10" eb="11">
      <t>トモ</t>
    </rPh>
    <rPh sb="11" eb="12">
      <t>シャ</t>
    </rPh>
    <rPh sb="13" eb="15">
      <t>ハツバイ</t>
    </rPh>
    <phoneticPr fontId="1"/>
  </si>
  <si>
    <r>
      <t>Chanson Best Collection[</t>
    </r>
    <r>
      <rPr>
        <b/>
        <sz val="11"/>
        <color indexed="33"/>
        <rFont val="游ゴシック Medium"/>
        <family val="3"/>
        <charset val="128"/>
      </rPr>
      <t>１</t>
    </r>
    <r>
      <rPr>
        <b/>
        <sz val="11"/>
        <color indexed="33"/>
        <rFont val="Consolas"/>
        <family val="3"/>
      </rPr>
      <t>(127</t>
    </r>
    <r>
      <rPr>
        <b/>
        <sz val="11"/>
        <color indexed="33"/>
        <rFont val="游ゴシック Medium"/>
        <family val="3"/>
        <charset val="128"/>
      </rPr>
      <t>曲</t>
    </r>
    <r>
      <rPr>
        <b/>
        <sz val="11"/>
        <color indexed="33"/>
        <rFont val="Consolas"/>
        <family val="3"/>
      </rPr>
      <t>),</t>
    </r>
    <r>
      <rPr>
        <b/>
        <sz val="11"/>
        <color indexed="33"/>
        <rFont val="游ゴシック Medium"/>
        <family val="3"/>
        <charset val="128"/>
      </rPr>
      <t>２</t>
    </r>
    <r>
      <rPr>
        <b/>
        <sz val="11"/>
        <color indexed="33"/>
        <rFont val="Consolas"/>
        <family val="3"/>
      </rPr>
      <t>(110</t>
    </r>
    <r>
      <rPr>
        <b/>
        <sz val="11"/>
        <color indexed="33"/>
        <rFont val="游ゴシック Medium"/>
        <family val="3"/>
        <charset val="128"/>
      </rPr>
      <t>曲</t>
    </r>
    <r>
      <rPr>
        <b/>
        <sz val="11"/>
        <color indexed="33"/>
        <rFont val="Consolas"/>
        <family val="3"/>
      </rPr>
      <t>)]</t>
    </r>
    <rPh sb="0" eb="23">
      <t>シャンソン　ベスト　コレクション</t>
    </rPh>
    <phoneticPr fontId="1"/>
  </si>
  <si>
    <r>
      <rPr>
        <b/>
        <sz val="11"/>
        <color indexed="33"/>
        <rFont val="游ゴシック Medium"/>
        <family val="3"/>
        <charset val="128"/>
      </rPr>
      <t>パトリシア・カース</t>
    </r>
    <phoneticPr fontId="1"/>
  </si>
  <si>
    <r>
      <t>D'allmagne/2</t>
    </r>
    <r>
      <rPr>
        <b/>
        <sz val="11"/>
        <color indexed="33"/>
        <rFont val="游ゴシック Medium"/>
        <family val="3"/>
        <charset val="128"/>
      </rPr>
      <t>つのドイツ</t>
    </r>
    <phoneticPr fontId="1"/>
  </si>
  <si>
    <r>
      <rPr>
        <sz val="11"/>
        <rFont val="游ゴシック Medium"/>
        <family val="3"/>
        <charset val="128"/>
      </rPr>
      <t>他</t>
    </r>
    <r>
      <rPr>
        <sz val="11"/>
        <rFont val="Consolas"/>
        <family val="3"/>
      </rPr>
      <t>1</t>
    </r>
    <r>
      <rPr>
        <sz val="11"/>
        <rFont val="游ゴシック Medium"/>
        <family val="3"/>
        <charset val="128"/>
      </rPr>
      <t>曲</t>
    </r>
    <rPh sb="0" eb="1">
      <t>ホカ</t>
    </rPh>
    <rPh sb="2" eb="3">
      <t>キョク</t>
    </rPh>
    <phoneticPr fontId="1"/>
  </si>
  <si>
    <r>
      <t>Jackie/</t>
    </r>
    <r>
      <rPr>
        <b/>
        <sz val="11"/>
        <color indexed="33"/>
        <rFont val="游ゴシック Medium"/>
        <family val="3"/>
        <charset val="128"/>
      </rPr>
      <t>日本語詞･</t>
    </r>
    <r>
      <rPr>
        <b/>
        <sz val="11"/>
        <color indexed="33"/>
        <rFont val="Consolas"/>
        <family val="3"/>
      </rPr>
      <t>Piano</t>
    </r>
    <r>
      <rPr>
        <b/>
        <sz val="11"/>
        <color indexed="33"/>
        <rFont val="游ゴシック Medium"/>
        <family val="3"/>
        <charset val="128"/>
      </rPr>
      <t>譜</t>
    </r>
    <rPh sb="0" eb="6">
      <t>ジャッキー</t>
    </rPh>
    <rPh sb="7" eb="11">
      <t>ニホンゴシ</t>
    </rPh>
    <rPh sb="12" eb="18">
      <t>ピアノフ</t>
    </rPh>
    <phoneticPr fontId="1"/>
  </si>
  <si>
    <r>
      <rPr>
        <b/>
        <sz val="11"/>
        <color indexed="33"/>
        <rFont val="游ゴシック Medium"/>
        <family val="3"/>
        <charset val="128"/>
      </rPr>
      <t>愛の生命</t>
    </r>
    <r>
      <rPr>
        <b/>
        <sz val="11"/>
        <color indexed="33"/>
        <rFont val="Consolas"/>
        <family val="3"/>
      </rPr>
      <t>/</t>
    </r>
    <r>
      <rPr>
        <b/>
        <sz val="11"/>
        <color indexed="33"/>
        <rFont val="游ゴシック Medium"/>
        <family val="3"/>
        <charset val="128"/>
      </rPr>
      <t>日本語詞・</t>
    </r>
    <r>
      <rPr>
        <b/>
        <sz val="11"/>
        <color indexed="33"/>
        <rFont val="Consolas"/>
        <family val="3"/>
      </rPr>
      <t>Piano</t>
    </r>
    <r>
      <rPr>
        <b/>
        <sz val="11"/>
        <color indexed="33"/>
        <rFont val="游ゴシック Medium"/>
        <family val="3"/>
        <charset val="128"/>
      </rPr>
      <t>譜</t>
    </r>
    <rPh sb="0" eb="1">
      <t>アイ</t>
    </rPh>
    <rPh sb="2" eb="4">
      <t>セイメイ</t>
    </rPh>
    <rPh sb="5" eb="9">
      <t>ニホンゴシ</t>
    </rPh>
    <rPh sb="10" eb="16">
      <t>ピアノフ</t>
    </rPh>
    <phoneticPr fontId="1"/>
  </si>
  <si>
    <r>
      <rPr>
        <b/>
        <sz val="11"/>
        <color indexed="33"/>
        <rFont val="游ゴシック Medium"/>
        <family val="3"/>
        <charset val="128"/>
      </rPr>
      <t>夜霧のしのびあい</t>
    </r>
    <r>
      <rPr>
        <b/>
        <sz val="11"/>
        <color indexed="33"/>
        <rFont val="Consolas"/>
        <family val="3"/>
      </rPr>
      <t>/</t>
    </r>
    <r>
      <rPr>
        <b/>
        <sz val="11"/>
        <color indexed="33"/>
        <rFont val="游ゴシック Medium"/>
        <family val="3"/>
        <charset val="128"/>
      </rPr>
      <t>日本語詞･</t>
    </r>
    <r>
      <rPr>
        <b/>
        <sz val="11"/>
        <color indexed="33"/>
        <rFont val="Consolas"/>
        <family val="3"/>
      </rPr>
      <t>Guitar</t>
    </r>
    <r>
      <rPr>
        <b/>
        <sz val="11"/>
        <color indexed="33"/>
        <rFont val="游ゴシック Medium"/>
        <family val="3"/>
        <charset val="128"/>
      </rPr>
      <t>譜</t>
    </r>
    <rPh sb="0" eb="2">
      <t>ヨギリ</t>
    </rPh>
    <rPh sb="9" eb="13">
      <t>ニホンゴシ</t>
    </rPh>
    <rPh sb="14" eb="21">
      <t>ギターフ</t>
    </rPh>
    <phoneticPr fontId="1"/>
  </si>
  <si>
    <r>
      <t>Enrico Macias/</t>
    </r>
    <r>
      <rPr>
        <sz val="11"/>
        <rFont val="游ゴシック Medium"/>
        <family val="3"/>
        <charset val="128"/>
      </rPr>
      <t>魅惑の</t>
    </r>
    <r>
      <rPr>
        <sz val="11"/>
        <rFont val="Consolas"/>
        <family val="3"/>
      </rPr>
      <t>Macias</t>
    </r>
    <r>
      <rPr>
        <sz val="11"/>
        <rFont val="游ゴシック Medium"/>
        <family val="3"/>
        <charset val="128"/>
      </rPr>
      <t>傑作集</t>
    </r>
    <rPh sb="0" eb="6">
      <t>エンリコ</t>
    </rPh>
    <rPh sb="7" eb="13">
      <t>マシアス</t>
    </rPh>
    <rPh sb="14" eb="16">
      <t>ミワク</t>
    </rPh>
    <rPh sb="17" eb="23">
      <t>マシアス</t>
    </rPh>
    <rPh sb="23" eb="26">
      <t>ケッサクシュウ</t>
    </rPh>
    <phoneticPr fontId="1"/>
  </si>
  <si>
    <r>
      <t>Chante'/</t>
    </r>
    <r>
      <rPr>
        <sz val="11"/>
        <rFont val="游ゴシック Medium"/>
        <family val="3"/>
        <charset val="128"/>
      </rPr>
      <t>四部合唱</t>
    </r>
    <rPh sb="0" eb="7">
      <t>シャンテ</t>
    </rPh>
    <rPh sb="8" eb="10">
      <t>シブ</t>
    </rPh>
    <rPh sb="10" eb="12">
      <t>ガッショウ</t>
    </rPh>
    <phoneticPr fontId="1"/>
  </si>
  <si>
    <r>
      <rPr>
        <sz val="11"/>
        <rFont val="游ゴシック Medium"/>
        <family val="3"/>
        <charset val="128"/>
      </rPr>
      <t>幸福を売る男</t>
    </r>
    <r>
      <rPr>
        <sz val="11"/>
        <rFont val="Consolas"/>
        <family val="3"/>
      </rPr>
      <t>/</t>
    </r>
    <r>
      <rPr>
        <sz val="11"/>
        <rFont val="游ゴシック Medium"/>
        <family val="3"/>
        <charset val="128"/>
      </rPr>
      <t>四部合唱</t>
    </r>
    <rPh sb="0" eb="2">
      <t>コウフク</t>
    </rPh>
    <rPh sb="3" eb="4">
      <t>ウ</t>
    </rPh>
    <rPh sb="5" eb="6">
      <t>オトコ</t>
    </rPh>
    <rPh sb="7" eb="9">
      <t>シブ</t>
    </rPh>
    <rPh sb="9" eb="11">
      <t>ガッショウ</t>
    </rPh>
    <phoneticPr fontId="1"/>
  </si>
  <si>
    <r>
      <rPr>
        <sz val="11"/>
        <rFont val="游ゴシック Medium"/>
        <family val="3"/>
        <charset val="128"/>
      </rPr>
      <t>一人で星の下で</t>
    </r>
    <rPh sb="0" eb="2">
      <t>ヒトリ</t>
    </rPh>
    <rPh sb="3" eb="4">
      <t>ホシ</t>
    </rPh>
    <rPh sb="5" eb="6">
      <t>シタ</t>
    </rPh>
    <phoneticPr fontId="1"/>
  </si>
  <si>
    <r>
      <t xml:space="preserve">Paris </t>
    </r>
    <r>
      <rPr>
        <sz val="11"/>
        <rFont val="游ゴシック Medium"/>
        <family val="3"/>
        <charset val="128"/>
      </rPr>
      <t>カナイユ</t>
    </r>
    <rPh sb="0" eb="5">
      <t>パリ</t>
    </rPh>
    <phoneticPr fontId="1"/>
  </si>
  <si>
    <r>
      <rPr>
        <sz val="11"/>
        <rFont val="游ゴシック Medium"/>
        <family val="3"/>
        <charset val="128"/>
      </rPr>
      <t>高原</t>
    </r>
    <r>
      <rPr>
        <sz val="11"/>
        <rFont val="Consolas"/>
        <family val="3"/>
      </rPr>
      <t xml:space="preserve"> </t>
    </r>
    <r>
      <rPr>
        <sz val="11"/>
        <rFont val="游ゴシック Medium"/>
        <family val="3"/>
        <charset val="128"/>
      </rPr>
      <t>哲</t>
    </r>
    <rPh sb="0" eb="2">
      <t>タカハラ</t>
    </rPh>
    <rPh sb="3" eb="4">
      <t>テツ</t>
    </rPh>
    <phoneticPr fontId="1"/>
  </si>
  <si>
    <r>
      <rPr>
        <sz val="11"/>
        <rFont val="游ゴシック Medium"/>
        <family val="3"/>
        <charset val="128"/>
      </rPr>
      <t>タンゴ名曲集</t>
    </r>
    <r>
      <rPr>
        <sz val="11"/>
        <rFont val="Consolas"/>
        <family val="3"/>
      </rPr>
      <t>/Tango Famous Song Album</t>
    </r>
    <rPh sb="3" eb="5">
      <t>メイキョク</t>
    </rPh>
    <rPh sb="5" eb="6">
      <t>シュウ</t>
    </rPh>
    <phoneticPr fontId="1"/>
  </si>
  <si>
    <r>
      <rPr>
        <sz val="11"/>
        <rFont val="游ゴシック Medium"/>
        <family val="3"/>
        <charset val="128"/>
      </rPr>
      <t>ピアノ伴奏・解説付</t>
    </r>
    <rPh sb="3" eb="5">
      <t>バンソウ</t>
    </rPh>
    <rPh sb="6" eb="8">
      <t>カイセツ</t>
    </rPh>
    <rPh sb="8" eb="9">
      <t>ツキ</t>
    </rPh>
    <phoneticPr fontId="1"/>
  </si>
  <si>
    <r>
      <rPr>
        <sz val="11"/>
        <rFont val="游ゴシック Medium"/>
        <family val="3"/>
        <charset val="128"/>
      </rPr>
      <t>ヤマハ池袋</t>
    </r>
    <rPh sb="3" eb="5">
      <t>イケブクロ</t>
    </rPh>
    <phoneticPr fontId="1"/>
  </si>
  <si>
    <r>
      <rPr>
        <sz val="11"/>
        <rFont val="游ゴシック Medium"/>
        <family val="3"/>
        <charset val="128"/>
      </rPr>
      <t>長田</t>
    </r>
    <r>
      <rPr>
        <sz val="11"/>
        <rFont val="Consolas"/>
        <family val="3"/>
      </rPr>
      <t xml:space="preserve"> </t>
    </r>
    <r>
      <rPr>
        <sz val="11"/>
        <rFont val="游ゴシック Medium"/>
        <family val="3"/>
        <charset val="128"/>
      </rPr>
      <t>暁二</t>
    </r>
    <rPh sb="0" eb="2">
      <t>オサダ</t>
    </rPh>
    <rPh sb="3" eb="5">
      <t>ギョウジ</t>
    </rPh>
    <phoneticPr fontId="1"/>
  </si>
  <si>
    <r>
      <rPr>
        <sz val="11"/>
        <rFont val="游ゴシック Medium"/>
        <family val="3"/>
        <charset val="128"/>
      </rPr>
      <t>パイン・プロデュース</t>
    </r>
    <phoneticPr fontId="1"/>
  </si>
  <si>
    <r>
      <rPr>
        <sz val="11"/>
        <rFont val="游ゴシック Medium"/>
        <family val="3"/>
        <charset val="128"/>
      </rPr>
      <t>協力</t>
    </r>
    <rPh sb="0" eb="2">
      <t>キョウリョク</t>
    </rPh>
    <phoneticPr fontId="1"/>
  </si>
  <si>
    <r>
      <rPr>
        <sz val="11"/>
        <rFont val="游ゴシック Medium"/>
        <family val="3"/>
        <charset val="128"/>
      </rPr>
      <t>世界抒情歌全集</t>
    </r>
    <r>
      <rPr>
        <sz val="11"/>
        <rFont val="Consolas"/>
        <family val="3"/>
      </rPr>
      <t xml:space="preserve"> 1</t>
    </r>
    <rPh sb="0" eb="2">
      <t>セカイ</t>
    </rPh>
    <rPh sb="2" eb="4">
      <t>ジョジョウ</t>
    </rPh>
    <rPh sb="4" eb="5">
      <t>カ</t>
    </rPh>
    <rPh sb="5" eb="7">
      <t>ゼンシュウ</t>
    </rPh>
    <phoneticPr fontId="1"/>
  </si>
  <si>
    <r>
      <rPr>
        <sz val="11"/>
        <rFont val="游ゴシック Medium"/>
        <family val="3"/>
        <charset val="128"/>
      </rPr>
      <t>旭屋書店東武池袋</t>
    </r>
    <r>
      <rPr>
        <sz val="11"/>
        <rFont val="Consolas"/>
        <family val="3"/>
      </rPr>
      <t>7F</t>
    </r>
    <rPh sb="0" eb="4">
      <t>アサヒヤショテン</t>
    </rPh>
    <rPh sb="4" eb="6">
      <t>トウブ</t>
    </rPh>
    <rPh sb="6" eb="8">
      <t>イケブクロ</t>
    </rPh>
    <phoneticPr fontId="1"/>
  </si>
  <si>
    <r>
      <rPr>
        <sz val="11"/>
        <rFont val="游ゴシック Medium"/>
        <family val="3"/>
        <charset val="128"/>
      </rPr>
      <t>世界抒情歌全集</t>
    </r>
    <r>
      <rPr>
        <sz val="11"/>
        <rFont val="Consolas"/>
        <family val="3"/>
      </rPr>
      <t xml:space="preserve"> 2</t>
    </r>
    <rPh sb="0" eb="2">
      <t>セカイ</t>
    </rPh>
    <rPh sb="2" eb="4">
      <t>ジョジョウ</t>
    </rPh>
    <rPh sb="4" eb="5">
      <t>カ</t>
    </rPh>
    <rPh sb="5" eb="7">
      <t>ゼンシュウ</t>
    </rPh>
    <phoneticPr fontId="1"/>
  </si>
  <si>
    <r>
      <rPr>
        <sz val="11"/>
        <rFont val="游ゴシック Medium"/>
        <family val="3"/>
        <charset val="128"/>
      </rPr>
      <t>松山</t>
    </r>
    <r>
      <rPr>
        <sz val="11"/>
        <rFont val="Consolas"/>
        <family val="3"/>
      </rPr>
      <t xml:space="preserve"> </t>
    </r>
    <r>
      <rPr>
        <sz val="11"/>
        <rFont val="游ゴシック Medium"/>
        <family val="3"/>
        <charset val="128"/>
      </rPr>
      <t>祐士</t>
    </r>
    <rPh sb="0" eb="2">
      <t>マツヤマ</t>
    </rPh>
    <rPh sb="3" eb="5">
      <t>ユウシ</t>
    </rPh>
    <phoneticPr fontId="1"/>
  </si>
  <si>
    <r>
      <rPr>
        <sz val="11"/>
        <rFont val="游ゴシック Medium"/>
        <family val="3"/>
        <charset val="128"/>
      </rPr>
      <t>浅野</t>
    </r>
    <r>
      <rPr>
        <sz val="11"/>
        <rFont val="Consolas"/>
        <family val="3"/>
      </rPr>
      <t xml:space="preserve"> </t>
    </r>
    <r>
      <rPr>
        <sz val="11"/>
        <rFont val="游ゴシック Medium"/>
        <family val="3"/>
        <charset val="128"/>
      </rPr>
      <t>純</t>
    </r>
    <rPh sb="0" eb="2">
      <t>アサノ</t>
    </rPh>
    <rPh sb="3" eb="4">
      <t>ジュン</t>
    </rPh>
    <phoneticPr fontId="1"/>
  </si>
  <si>
    <r>
      <rPr>
        <sz val="11"/>
        <rFont val="游ゴシック Medium"/>
        <family val="3"/>
        <charset val="128"/>
      </rPr>
      <t>ポピュラー・ソングのすべて</t>
    </r>
    <r>
      <rPr>
        <sz val="11"/>
        <rFont val="Consolas"/>
        <family val="3"/>
      </rPr>
      <t>/1001 Popular Songs</t>
    </r>
    <phoneticPr fontId="1"/>
  </si>
  <si>
    <r>
      <rPr>
        <sz val="11"/>
        <rFont val="游ゴシック Medium"/>
        <family val="3"/>
        <charset val="128"/>
      </rPr>
      <t>八勝堂</t>
    </r>
    <rPh sb="0" eb="3">
      <t>ハッショウドウ</t>
    </rPh>
    <phoneticPr fontId="1"/>
  </si>
  <si>
    <r>
      <rPr>
        <sz val="11"/>
        <rFont val="游ゴシック Medium"/>
        <family val="3"/>
        <charset val="128"/>
      </rPr>
      <t>中野</t>
    </r>
    <r>
      <rPr>
        <sz val="11"/>
        <rFont val="Consolas"/>
        <family val="3"/>
      </rPr>
      <t xml:space="preserve"> </t>
    </r>
    <r>
      <rPr>
        <sz val="11"/>
        <rFont val="游ゴシック Medium"/>
        <family val="3"/>
        <charset val="128"/>
      </rPr>
      <t>和道</t>
    </r>
    <r>
      <rPr>
        <sz val="11"/>
        <rFont val="Consolas"/>
        <family val="3"/>
      </rPr>
      <t>|</t>
    </r>
    <r>
      <rPr>
        <sz val="11"/>
        <rFont val="游ゴシック Medium"/>
        <family val="3"/>
        <charset val="128"/>
      </rPr>
      <t>高島</t>
    </r>
    <r>
      <rPr>
        <sz val="11"/>
        <rFont val="Consolas"/>
        <family val="3"/>
      </rPr>
      <t xml:space="preserve"> </t>
    </r>
    <r>
      <rPr>
        <sz val="11"/>
        <rFont val="游ゴシック Medium"/>
        <family val="3"/>
        <charset val="128"/>
      </rPr>
      <t>慶司</t>
    </r>
    <rPh sb="0" eb="2">
      <t>ナカノ</t>
    </rPh>
    <rPh sb="3" eb="5">
      <t>カズミチ</t>
    </rPh>
    <rPh sb="6" eb="8">
      <t>タカシマ</t>
    </rPh>
    <rPh sb="9" eb="11">
      <t>ケイジ</t>
    </rPh>
    <phoneticPr fontId="1"/>
  </si>
  <si>
    <r>
      <rPr>
        <sz val="11"/>
        <rFont val="游ゴシック Medium"/>
        <family val="3"/>
        <charset val="128"/>
      </rPr>
      <t>共編</t>
    </r>
    <rPh sb="0" eb="2">
      <t>キョウヘン</t>
    </rPh>
    <phoneticPr fontId="1"/>
  </si>
  <si>
    <r>
      <rPr>
        <sz val="11"/>
        <rFont val="游ゴシック Medium"/>
        <family val="3"/>
        <charset val="128"/>
      </rPr>
      <t>永遠のポップス①ベスト</t>
    </r>
    <r>
      <rPr>
        <sz val="11"/>
        <rFont val="Consolas"/>
        <family val="3"/>
      </rPr>
      <t xml:space="preserve"> 458 </t>
    </r>
    <r>
      <rPr>
        <sz val="11"/>
        <rFont val="游ゴシック Medium"/>
        <family val="3"/>
        <charset val="128"/>
      </rPr>
      <t>全曲完全コピー</t>
    </r>
    <r>
      <rPr>
        <sz val="11"/>
        <rFont val="Consolas"/>
        <family val="3"/>
      </rPr>
      <t>/Best Pop Music</t>
    </r>
    <rPh sb="0" eb="2">
      <t>エイエン</t>
    </rPh>
    <rPh sb="16" eb="18">
      <t>ゼンキョク</t>
    </rPh>
    <rPh sb="18" eb="20">
      <t>カンゼン</t>
    </rPh>
    <phoneticPr fontId="1"/>
  </si>
  <si>
    <r>
      <rPr>
        <sz val="11"/>
        <rFont val="游ゴシック Medium"/>
        <family val="3"/>
        <charset val="128"/>
      </rPr>
      <t>ディスクユニオン池袋店</t>
    </r>
    <rPh sb="8" eb="11">
      <t>イケブク</t>
    </rPh>
    <phoneticPr fontId="1"/>
  </si>
  <si>
    <r>
      <t>Evans,</t>
    </r>
    <r>
      <rPr>
        <sz val="11"/>
        <rFont val="游ゴシック Medium"/>
        <family val="3"/>
        <charset val="128"/>
      </rPr>
      <t>リー</t>
    </r>
    <rPh sb="0" eb="5">
      <t>エヴァンス</t>
    </rPh>
    <phoneticPr fontId="1"/>
  </si>
  <si>
    <r>
      <t>Jazz Piano 99</t>
    </r>
    <r>
      <rPr>
        <sz val="11"/>
        <rFont val="游ゴシック Medium"/>
        <family val="3"/>
        <charset val="128"/>
      </rPr>
      <t>の</t>
    </r>
    <r>
      <rPr>
        <sz val="11"/>
        <rFont val="Consolas"/>
        <family val="3"/>
      </rPr>
      <t>Etude</t>
    </r>
    <rPh sb="0" eb="10">
      <t>ジャズ　ピアノ</t>
    </rPh>
    <rPh sb="14" eb="19">
      <t>エチュード</t>
    </rPh>
    <phoneticPr fontId="1"/>
  </si>
  <si>
    <r>
      <rPr>
        <sz val="11"/>
        <rFont val="游ゴシック Medium"/>
        <family val="3"/>
        <charset val="128"/>
      </rPr>
      <t>初歩の</t>
    </r>
    <r>
      <rPr>
        <sz val="11"/>
        <rFont val="Consolas"/>
        <family val="3"/>
      </rPr>
      <t>Jazz</t>
    </r>
    <r>
      <rPr>
        <sz val="11"/>
        <rFont val="游ゴシック Medium"/>
        <family val="3"/>
        <charset val="128"/>
      </rPr>
      <t>即興技法</t>
    </r>
    <r>
      <rPr>
        <sz val="11"/>
        <rFont val="Consolas"/>
        <family val="3"/>
      </rPr>
      <t>4/Piano</t>
    </r>
    <r>
      <rPr>
        <sz val="11"/>
        <rFont val="游ゴシック Medium"/>
        <family val="3"/>
        <charset val="128"/>
      </rPr>
      <t>教本</t>
    </r>
    <rPh sb="0" eb="2">
      <t>ショホ</t>
    </rPh>
    <rPh sb="3" eb="7">
      <t>ジャズ</t>
    </rPh>
    <rPh sb="7" eb="9">
      <t>ソッキョウ</t>
    </rPh>
    <rPh sb="9" eb="11">
      <t>ギホウ</t>
    </rPh>
    <rPh sb="13" eb="20">
      <t>ピアノキョウホン</t>
    </rPh>
    <phoneticPr fontId="1"/>
  </si>
  <si>
    <r>
      <rPr>
        <sz val="11"/>
        <rFont val="游ゴシック Medium"/>
        <family val="3"/>
        <charset val="128"/>
      </rPr>
      <t>バークリー</t>
    </r>
    <phoneticPr fontId="1"/>
  </si>
  <si>
    <r>
      <rPr>
        <sz val="11"/>
        <rFont val="游ゴシック Medium"/>
        <family val="3"/>
        <charset val="128"/>
      </rPr>
      <t>藤井貞泰</t>
    </r>
    <rPh sb="0" eb="2">
      <t>フジイ</t>
    </rPh>
    <rPh sb="2" eb="4">
      <t>サダヤス</t>
    </rPh>
    <phoneticPr fontId="1"/>
  </si>
  <si>
    <r>
      <t>Jazz Piano Improvisation</t>
    </r>
    <r>
      <rPr>
        <sz val="11"/>
        <rFont val="游ゴシック Medium"/>
        <family val="3"/>
        <charset val="128"/>
      </rPr>
      <t>①</t>
    </r>
    <r>
      <rPr>
        <sz val="11"/>
        <rFont val="Consolas"/>
        <family val="3"/>
      </rPr>
      <t>[</t>
    </r>
    <r>
      <rPr>
        <sz val="11"/>
        <rFont val="游ゴシック Medium"/>
        <family val="3"/>
        <charset val="128"/>
      </rPr>
      <t>改訂版</t>
    </r>
    <r>
      <rPr>
        <sz val="11"/>
        <rFont val="Consolas"/>
        <family val="3"/>
      </rPr>
      <t>]</t>
    </r>
    <rPh sb="0" eb="10">
      <t>ジャズ　ピアノ</t>
    </rPh>
    <rPh sb="11" eb="24">
      <t>インプロヴィゼイション</t>
    </rPh>
    <rPh sb="26" eb="29">
      <t>カイテイバン</t>
    </rPh>
    <phoneticPr fontId="1"/>
  </si>
  <si>
    <r>
      <t>Jazz</t>
    </r>
    <r>
      <rPr>
        <strike/>
        <sz val="11"/>
        <rFont val="游ゴシック Medium"/>
        <family val="3"/>
        <charset val="128"/>
      </rPr>
      <t>名曲集①</t>
    </r>
    <rPh sb="0" eb="4">
      <t>ジャズ</t>
    </rPh>
    <rPh sb="4" eb="7">
      <t>メイキョクシュウ</t>
    </rPh>
    <phoneticPr fontId="1"/>
  </si>
  <si>
    <r>
      <rPr>
        <strike/>
        <sz val="11"/>
        <rFont val="游ゴシック Medium"/>
        <family val="3"/>
        <charset val="128"/>
      </rPr>
      <t>①</t>
    </r>
    <phoneticPr fontId="1"/>
  </si>
  <si>
    <r>
      <rPr>
        <strike/>
        <sz val="11"/>
        <rFont val="游ゴシック Medium"/>
        <family val="3"/>
        <charset val="128"/>
      </rPr>
      <t>行方不明</t>
    </r>
    <rPh sb="0" eb="2">
      <t>ユクエ</t>
    </rPh>
    <rPh sb="2" eb="4">
      <t>フメイ</t>
    </rPh>
    <phoneticPr fontId="1"/>
  </si>
  <si>
    <r>
      <rPr>
        <sz val="11"/>
        <rFont val="游ゴシック Medium"/>
        <family val="3"/>
        <charset val="128"/>
      </rPr>
      <t>原</t>
    </r>
    <r>
      <rPr>
        <sz val="11"/>
        <rFont val="Consolas"/>
        <family val="3"/>
      </rPr>
      <t xml:space="preserve"> </t>
    </r>
    <r>
      <rPr>
        <sz val="11"/>
        <rFont val="游ゴシック Medium"/>
        <family val="3"/>
        <charset val="128"/>
      </rPr>
      <t>礼彦</t>
    </r>
    <rPh sb="0" eb="1">
      <t>ハラ</t>
    </rPh>
    <phoneticPr fontId="1"/>
  </si>
  <si>
    <r>
      <t>Jazz</t>
    </r>
    <r>
      <rPr>
        <sz val="11"/>
        <rFont val="游ゴシック Medium"/>
        <family val="3"/>
        <charset val="128"/>
      </rPr>
      <t>名曲集</t>
    </r>
    <r>
      <rPr>
        <sz val="11"/>
        <rFont val="Consolas"/>
        <family val="3"/>
      </rPr>
      <t>1</t>
    </r>
    <rPh sb="0" eb="4">
      <t>ジャズ</t>
    </rPh>
    <rPh sb="4" eb="7">
      <t>メイキョクシュウ</t>
    </rPh>
    <phoneticPr fontId="1"/>
  </si>
  <si>
    <r>
      <t>Chanson</t>
    </r>
    <r>
      <rPr>
        <sz val="11"/>
        <rFont val="游ゴシック Medium"/>
        <family val="3"/>
        <charset val="128"/>
      </rPr>
      <t>名曲集</t>
    </r>
    <rPh sb="0" eb="7">
      <t>シャンソン</t>
    </rPh>
    <rPh sb="7" eb="10">
      <t>メイキョクシュウ</t>
    </rPh>
    <phoneticPr fontId="1"/>
  </si>
  <si>
    <r>
      <rPr>
        <sz val="11"/>
        <rFont val="游ゴシック Medium"/>
        <family val="3"/>
        <charset val="128"/>
      </rPr>
      <t>渡辺香津美</t>
    </r>
    <rPh sb="0" eb="2">
      <t>ワタナベ</t>
    </rPh>
    <rPh sb="2" eb="5">
      <t>カヅミ</t>
    </rPh>
    <phoneticPr fontId="1"/>
  </si>
  <si>
    <r>
      <rPr>
        <b/>
        <sz val="11"/>
        <color indexed="33"/>
        <rFont val="游ゴシック Medium"/>
        <family val="3"/>
        <charset val="128"/>
      </rPr>
      <t>ガネシア</t>
    </r>
    <r>
      <rPr>
        <b/>
        <sz val="11"/>
        <color indexed="33"/>
        <rFont val="Consolas"/>
        <family val="3"/>
      </rPr>
      <t>/</t>
    </r>
    <r>
      <rPr>
        <b/>
        <sz val="11"/>
        <color indexed="33"/>
        <rFont val="游ゴシック Medium"/>
        <family val="3"/>
        <charset val="128"/>
      </rPr>
      <t>渡辺香津美の</t>
    </r>
    <r>
      <rPr>
        <b/>
        <sz val="11"/>
        <color indexed="33"/>
        <rFont val="Consolas"/>
        <family val="3"/>
      </rPr>
      <t>Sound/Band Score</t>
    </r>
    <rPh sb="5" eb="7">
      <t>ワタナベ</t>
    </rPh>
    <rPh sb="7" eb="10">
      <t>カヅミ</t>
    </rPh>
    <rPh sb="11" eb="16">
      <t>サウンド</t>
    </rPh>
    <rPh sb="17" eb="21">
      <t>バンド</t>
    </rPh>
    <rPh sb="22" eb="27">
      <t>スコア</t>
    </rPh>
    <phoneticPr fontId="1"/>
  </si>
  <si>
    <r>
      <rPr>
        <sz val="11"/>
        <rFont val="游ゴシック Medium"/>
        <family val="3"/>
        <charset val="128"/>
      </rPr>
      <t>坂本龍一</t>
    </r>
    <rPh sb="0" eb="2">
      <t>サカモト</t>
    </rPh>
    <rPh sb="2" eb="4">
      <t>リュウイチ</t>
    </rPh>
    <phoneticPr fontId="1"/>
  </si>
  <si>
    <r>
      <rPr>
        <sz val="11"/>
        <rFont val="游ゴシック Medium"/>
        <family val="3"/>
        <charset val="128"/>
      </rPr>
      <t>戦場の</t>
    </r>
    <r>
      <rPr>
        <sz val="11"/>
        <rFont val="Consolas"/>
        <family val="3"/>
      </rPr>
      <t>Merry Xmas/Theme</t>
    </r>
    <r>
      <rPr>
        <sz val="11"/>
        <rFont val="游ゴシック Medium"/>
        <family val="3"/>
        <charset val="128"/>
      </rPr>
      <t>のみ</t>
    </r>
    <rPh sb="0" eb="2">
      <t>センジョウ</t>
    </rPh>
    <rPh sb="3" eb="13">
      <t>メリー　クリスマス</t>
    </rPh>
    <rPh sb="14" eb="19">
      <t>テーマ</t>
    </rPh>
    <phoneticPr fontId="1"/>
  </si>
  <si>
    <r>
      <rPr>
        <sz val="11"/>
        <rFont val="游ゴシック Medium"/>
        <family val="3"/>
        <charset val="128"/>
      </rPr>
      <t>童謡</t>
    </r>
    <r>
      <rPr>
        <sz val="11"/>
        <rFont val="Consolas"/>
        <family val="3"/>
      </rPr>
      <t>/ethnic</t>
    </r>
    <rPh sb="0" eb="2">
      <t>ドウヨウ</t>
    </rPh>
    <phoneticPr fontId="1"/>
  </si>
  <si>
    <r>
      <rPr>
        <sz val="11"/>
        <rFont val="游ゴシック Medium"/>
        <family val="3"/>
        <charset val="128"/>
      </rPr>
      <t>ペレス・プラード</t>
    </r>
    <phoneticPr fontId="1"/>
  </si>
  <si>
    <r>
      <rPr>
        <sz val="11"/>
        <rFont val="游ゴシック Medium"/>
        <family val="3"/>
        <charset val="128"/>
      </rPr>
      <t>岩谷時子</t>
    </r>
    <rPh sb="0" eb="2">
      <t>イワヤ</t>
    </rPh>
    <rPh sb="2" eb="4">
      <t>トキコ</t>
    </rPh>
    <phoneticPr fontId="1"/>
  </si>
  <si>
    <r>
      <t>Mambo No.5/</t>
    </r>
    <r>
      <rPr>
        <sz val="11"/>
        <rFont val="游ゴシック Medium"/>
        <family val="3"/>
        <charset val="128"/>
      </rPr>
      <t>ねこ</t>
    </r>
    <r>
      <rPr>
        <sz val="11"/>
        <rFont val="Consolas"/>
        <family val="3"/>
      </rPr>
      <t>Mambo</t>
    </r>
    <rPh sb="0" eb="5">
      <t>マンボ</t>
    </rPh>
    <rPh sb="13" eb="18">
      <t>マンボ</t>
    </rPh>
    <phoneticPr fontId="1"/>
  </si>
  <si>
    <r>
      <rPr>
        <sz val="11"/>
        <rFont val="游ゴシック Medium"/>
        <family val="3"/>
        <charset val="128"/>
      </rPr>
      <t>童謡</t>
    </r>
    <rPh sb="0" eb="2">
      <t>ドウヨウ</t>
    </rPh>
    <phoneticPr fontId="1"/>
  </si>
  <si>
    <r>
      <rPr>
        <b/>
        <sz val="11"/>
        <color indexed="33"/>
        <rFont val="游ゴシック Medium"/>
        <family val="3"/>
        <charset val="128"/>
      </rPr>
      <t>日本軍歌大全集</t>
    </r>
    <rPh sb="0" eb="2">
      <t>ニホン</t>
    </rPh>
    <rPh sb="2" eb="4">
      <t>グンカ</t>
    </rPh>
    <rPh sb="4" eb="7">
      <t>ダイゼンシュウ</t>
    </rPh>
    <phoneticPr fontId="1"/>
  </si>
  <si>
    <r>
      <rPr>
        <sz val="11"/>
        <rFont val="游ゴシック Medium"/>
        <family val="3"/>
        <charset val="128"/>
      </rPr>
      <t>軍隊ラッパ付</t>
    </r>
    <rPh sb="0" eb="2">
      <t>グンタイ</t>
    </rPh>
    <rPh sb="5" eb="6">
      <t>ツキ</t>
    </rPh>
    <phoneticPr fontId="1"/>
  </si>
  <si>
    <r>
      <rPr>
        <sz val="11"/>
        <rFont val="游ゴシック Medium"/>
        <family val="3"/>
        <charset val="128"/>
      </rPr>
      <t>山野楽器銀座</t>
    </r>
    <rPh sb="0" eb="2">
      <t>ヤマノ</t>
    </rPh>
    <rPh sb="2" eb="4">
      <t>ガッキ</t>
    </rPh>
    <rPh sb="4" eb="6">
      <t>ギンザ</t>
    </rPh>
    <phoneticPr fontId="1"/>
  </si>
  <si>
    <r>
      <rPr>
        <sz val="11"/>
        <rFont val="游ゴシック Medium"/>
        <family val="3"/>
        <charset val="128"/>
      </rPr>
      <t>足羽</t>
    </r>
    <r>
      <rPr>
        <sz val="11"/>
        <rFont val="Consolas"/>
        <family val="3"/>
      </rPr>
      <t xml:space="preserve"> </t>
    </r>
    <r>
      <rPr>
        <sz val="11"/>
        <rFont val="游ゴシック Medium"/>
        <family val="3"/>
        <charset val="128"/>
      </rPr>
      <t>章</t>
    </r>
    <rPh sb="0" eb="2">
      <t>アシバ</t>
    </rPh>
    <rPh sb="3" eb="4">
      <t>アキラ</t>
    </rPh>
    <phoneticPr fontId="1"/>
  </si>
  <si>
    <r>
      <rPr>
        <b/>
        <sz val="11"/>
        <color indexed="33"/>
        <rFont val="游ゴシック Medium"/>
        <family val="3"/>
        <charset val="128"/>
      </rPr>
      <t>日本童謡唱歌全集</t>
    </r>
    <rPh sb="0" eb="2">
      <t>ニホン</t>
    </rPh>
    <rPh sb="2" eb="4">
      <t>ドウヨウ</t>
    </rPh>
    <rPh sb="4" eb="6">
      <t>ショウカ</t>
    </rPh>
    <rPh sb="6" eb="8">
      <t>ゼンシュウ</t>
    </rPh>
    <phoneticPr fontId="1"/>
  </si>
  <si>
    <r>
      <rPr>
        <sz val="11"/>
        <rFont val="游ゴシック Medium"/>
        <family val="3"/>
        <charset val="128"/>
      </rPr>
      <t>全日本私立幼稚園連合会</t>
    </r>
    <r>
      <rPr>
        <sz val="11"/>
        <rFont val="Consolas"/>
        <family val="3"/>
      </rPr>
      <t>/</t>
    </r>
    <r>
      <rPr>
        <sz val="11"/>
        <rFont val="游ゴシック Medium"/>
        <family val="3"/>
        <charset val="128"/>
      </rPr>
      <t>全私幼連</t>
    </r>
    <rPh sb="0" eb="3">
      <t>ゼンニホン</t>
    </rPh>
    <rPh sb="3" eb="5">
      <t>シリツ</t>
    </rPh>
    <rPh sb="5" eb="8">
      <t>ヨウチエン</t>
    </rPh>
    <rPh sb="8" eb="11">
      <t>レンゴウカイ</t>
    </rPh>
    <phoneticPr fontId="1"/>
  </si>
  <si>
    <r>
      <rPr>
        <sz val="11"/>
        <rFont val="游ゴシック Medium"/>
        <family val="3"/>
        <charset val="128"/>
      </rPr>
      <t>母とおさなごの歌</t>
    </r>
    <rPh sb="0" eb="1">
      <t>ハハ</t>
    </rPh>
    <rPh sb="7" eb="8">
      <t>ウタ</t>
    </rPh>
    <phoneticPr fontId="1"/>
  </si>
  <si>
    <r>
      <rPr>
        <sz val="11"/>
        <rFont val="游ゴシック Medium"/>
        <family val="3"/>
        <charset val="128"/>
      </rPr>
      <t>全日本私立幼稚園連合会</t>
    </r>
    <r>
      <rPr>
        <sz val="11"/>
        <rFont val="Consolas"/>
        <family val="3"/>
      </rPr>
      <t>/</t>
    </r>
    <r>
      <rPr>
        <sz val="11"/>
        <rFont val="游ゴシック Medium"/>
        <family val="3"/>
        <charset val="128"/>
      </rPr>
      <t>全私幼連</t>
    </r>
    <r>
      <rPr>
        <sz val="11"/>
        <rFont val="Consolas"/>
        <family val="3"/>
      </rPr>
      <t>:</t>
    </r>
    <r>
      <rPr>
        <sz val="11"/>
        <rFont val="游ゴシック Medium"/>
        <family val="3"/>
        <charset val="128"/>
      </rPr>
      <t>編</t>
    </r>
    <rPh sb="0" eb="3">
      <t>ゼンニホン</t>
    </rPh>
    <rPh sb="3" eb="5">
      <t>シリツ</t>
    </rPh>
    <rPh sb="5" eb="8">
      <t>ヨウチエン</t>
    </rPh>
    <rPh sb="8" eb="11">
      <t>レンゴウカイ</t>
    </rPh>
    <rPh sb="17" eb="18">
      <t>ヘン</t>
    </rPh>
    <phoneticPr fontId="1"/>
  </si>
  <si>
    <r>
      <rPr>
        <sz val="11"/>
        <rFont val="游ゴシック Medium"/>
        <family val="3"/>
        <charset val="128"/>
      </rPr>
      <t>青山</t>
    </r>
    <r>
      <rPr>
        <sz val="11"/>
        <rFont val="Consolas"/>
        <family val="3"/>
      </rPr>
      <t xml:space="preserve"> </t>
    </r>
    <r>
      <rPr>
        <sz val="11"/>
        <rFont val="游ゴシック Medium"/>
        <family val="3"/>
        <charset val="128"/>
      </rPr>
      <t>梓</t>
    </r>
    <rPh sb="0" eb="2">
      <t>アオヤマ</t>
    </rPh>
    <rPh sb="3" eb="4">
      <t>アズサ</t>
    </rPh>
    <phoneticPr fontId="1"/>
  </si>
  <si>
    <r>
      <t>&lt;</t>
    </r>
    <r>
      <rPr>
        <sz val="11"/>
        <rFont val="游ゴシック Medium"/>
        <family val="3"/>
        <charset val="128"/>
      </rPr>
      <t>よいこが選んだ</t>
    </r>
    <r>
      <rPr>
        <sz val="11"/>
        <rFont val="Consolas"/>
        <family val="3"/>
      </rPr>
      <t>&gt;</t>
    </r>
    <r>
      <rPr>
        <sz val="11"/>
        <rFont val="游ゴシック Medium"/>
        <family val="3"/>
        <charset val="128"/>
      </rPr>
      <t>童謡</t>
    </r>
    <r>
      <rPr>
        <sz val="11"/>
        <rFont val="Consolas"/>
        <family val="3"/>
      </rPr>
      <t>Piano</t>
    </r>
    <r>
      <rPr>
        <sz val="11"/>
        <rFont val="游ゴシック Medium"/>
        <family val="3"/>
        <charset val="128"/>
      </rPr>
      <t>名曲選</t>
    </r>
    <r>
      <rPr>
        <sz val="11"/>
        <rFont val="Consolas"/>
        <family val="3"/>
      </rPr>
      <t>2</t>
    </r>
    <rPh sb="5" eb="6">
      <t>エラ</t>
    </rPh>
    <rPh sb="9" eb="11">
      <t>ドウヨウ</t>
    </rPh>
    <rPh sb="16" eb="18">
      <t>メイキョク</t>
    </rPh>
    <rPh sb="18" eb="19">
      <t>セン</t>
    </rPh>
    <phoneticPr fontId="1"/>
  </si>
  <si>
    <r>
      <rPr>
        <sz val="11"/>
        <rFont val="游ゴシック Medium"/>
        <family val="3"/>
        <charset val="128"/>
      </rPr>
      <t>準新書</t>
    </r>
    <r>
      <rPr>
        <sz val="11"/>
        <rFont val="Consolas"/>
        <family val="3"/>
      </rPr>
      <t>/</t>
    </r>
    <r>
      <rPr>
        <sz val="11"/>
        <rFont val="游ゴシック Medium"/>
        <family val="3"/>
        <charset val="128"/>
      </rPr>
      <t>楽譜</t>
    </r>
    <rPh sb="0" eb="1">
      <t>ジュン</t>
    </rPh>
    <rPh sb="1" eb="3">
      <t>シンショ</t>
    </rPh>
    <rPh sb="4" eb="6">
      <t>ガクフ</t>
    </rPh>
    <phoneticPr fontId="1"/>
  </si>
  <si>
    <r>
      <rPr>
        <sz val="11"/>
        <rFont val="游ゴシック Medium"/>
        <family val="3"/>
        <charset val="128"/>
      </rPr>
      <t>堀内</t>
    </r>
    <r>
      <rPr>
        <sz val="11"/>
        <rFont val="Consolas"/>
        <family val="3"/>
      </rPr>
      <t xml:space="preserve"> </t>
    </r>
    <r>
      <rPr>
        <sz val="11"/>
        <rFont val="游ゴシック Medium"/>
        <family val="3"/>
        <charset val="128"/>
      </rPr>
      <t>敬三</t>
    </r>
    <r>
      <rPr>
        <sz val="11"/>
        <rFont val="Consolas"/>
        <family val="3"/>
      </rPr>
      <t>/</t>
    </r>
    <r>
      <rPr>
        <sz val="11"/>
        <rFont val="游ゴシック Medium"/>
        <family val="3"/>
        <charset val="128"/>
      </rPr>
      <t>井上</t>
    </r>
    <r>
      <rPr>
        <sz val="11"/>
        <rFont val="Consolas"/>
        <family val="3"/>
      </rPr>
      <t xml:space="preserve"> </t>
    </r>
    <r>
      <rPr>
        <sz val="11"/>
        <rFont val="游ゴシック Medium"/>
        <family val="3"/>
        <charset val="128"/>
      </rPr>
      <t>武士</t>
    </r>
    <rPh sb="0" eb="2">
      <t>ホリウチ</t>
    </rPh>
    <rPh sb="3" eb="5">
      <t>ケイゾウ</t>
    </rPh>
    <rPh sb="6" eb="8">
      <t>イノウエ</t>
    </rPh>
    <rPh sb="9" eb="11">
      <t>タケシ</t>
    </rPh>
    <phoneticPr fontId="1"/>
  </si>
  <si>
    <r>
      <rPr>
        <sz val="11"/>
        <rFont val="游ゴシック Medium"/>
        <family val="3"/>
        <charset val="128"/>
      </rPr>
      <t>日本唱歌集</t>
    </r>
    <rPh sb="0" eb="2">
      <t>ニホン</t>
    </rPh>
    <rPh sb="2" eb="4">
      <t>ショウカ</t>
    </rPh>
    <rPh sb="4" eb="5">
      <t>シュウ</t>
    </rPh>
    <phoneticPr fontId="1"/>
  </si>
  <si>
    <r>
      <rPr>
        <sz val="11"/>
        <rFont val="游ゴシック Medium"/>
        <family val="3"/>
        <charset val="128"/>
      </rPr>
      <t>ワイド版</t>
    </r>
    <rPh sb="3" eb="4">
      <t>バン</t>
    </rPh>
    <phoneticPr fontId="1"/>
  </si>
  <si>
    <r>
      <rPr>
        <sz val="11"/>
        <rFont val="游ゴシック Medium"/>
        <family val="3"/>
        <charset val="128"/>
      </rPr>
      <t>岩波文庫</t>
    </r>
    <rPh sb="0" eb="2">
      <t>イワナミ</t>
    </rPh>
    <rPh sb="2" eb="4">
      <t>ブンコ</t>
    </rPh>
    <phoneticPr fontId="1"/>
  </si>
  <si>
    <r>
      <rPr>
        <sz val="11"/>
        <rFont val="游ゴシック Medium"/>
        <family val="3"/>
        <charset val="128"/>
      </rPr>
      <t>青春の歌声</t>
    </r>
    <r>
      <rPr>
        <sz val="11"/>
        <rFont val="Consolas"/>
        <family val="3"/>
      </rPr>
      <t xml:space="preserve"> -</t>
    </r>
    <r>
      <rPr>
        <sz val="11"/>
        <rFont val="游ゴシック Medium"/>
        <family val="3"/>
        <charset val="128"/>
      </rPr>
      <t>高校生愛唱歌</t>
    </r>
    <r>
      <rPr>
        <sz val="11"/>
        <rFont val="Consolas"/>
        <family val="3"/>
      </rPr>
      <t xml:space="preserve"> &lt;</t>
    </r>
    <r>
      <rPr>
        <sz val="11"/>
        <rFont val="游ゴシック Medium"/>
        <family val="3"/>
        <charset val="128"/>
      </rPr>
      <t>第一集</t>
    </r>
    <r>
      <rPr>
        <sz val="11"/>
        <rFont val="Consolas"/>
        <family val="3"/>
      </rPr>
      <t>&gt; -</t>
    </r>
    <rPh sb="0" eb="2">
      <t>セイシュン</t>
    </rPh>
    <rPh sb="3" eb="5">
      <t>ウタゴエ</t>
    </rPh>
    <rPh sb="7" eb="10">
      <t>コウコウセイ</t>
    </rPh>
    <rPh sb="10" eb="13">
      <t>アイショウカ</t>
    </rPh>
    <rPh sb="15" eb="16">
      <t>ダイ</t>
    </rPh>
    <rPh sb="16" eb="18">
      <t>イッシュウ</t>
    </rPh>
    <phoneticPr fontId="1"/>
  </si>
  <si>
    <r>
      <rPr>
        <sz val="11"/>
        <rFont val="游ゴシック Medium"/>
        <family val="3"/>
        <charset val="128"/>
      </rPr>
      <t>高校コース七月号第二付録</t>
    </r>
    <rPh sb="0" eb="2">
      <t>コウコウ</t>
    </rPh>
    <rPh sb="5" eb="7">
      <t>シチガツ</t>
    </rPh>
    <rPh sb="7" eb="8">
      <t>ゴウ</t>
    </rPh>
    <rPh sb="8" eb="10">
      <t>ダイニ</t>
    </rPh>
    <rPh sb="10" eb="12">
      <t>フロク</t>
    </rPh>
    <phoneticPr fontId="1"/>
  </si>
  <si>
    <r>
      <rPr>
        <sz val="11"/>
        <rFont val="游ゴシック Medium"/>
        <family val="3"/>
        <charset val="128"/>
      </rPr>
      <t>カワイ音楽教育室</t>
    </r>
    <rPh sb="3" eb="5">
      <t>オンガク</t>
    </rPh>
    <rPh sb="5" eb="7">
      <t>キョウイク</t>
    </rPh>
    <rPh sb="7" eb="8">
      <t>シツ</t>
    </rPh>
    <phoneticPr fontId="1"/>
  </si>
  <si>
    <r>
      <rPr>
        <sz val="11"/>
        <rFont val="游ゴシック Medium"/>
        <family val="3"/>
        <charset val="128"/>
      </rPr>
      <t>みゅーじっく・めいきんぐ</t>
    </r>
    <r>
      <rPr>
        <sz val="11"/>
        <rFont val="Consolas"/>
        <family val="3"/>
      </rPr>
      <t xml:space="preserve"> A new</t>
    </r>
    <phoneticPr fontId="1"/>
  </si>
  <si>
    <r>
      <rPr>
        <sz val="11"/>
        <rFont val="游ゴシック Medium"/>
        <family val="3"/>
        <charset val="128"/>
      </rPr>
      <t>カワイ出版</t>
    </r>
    <rPh sb="3" eb="5">
      <t>シュッパン</t>
    </rPh>
    <phoneticPr fontId="1"/>
  </si>
  <si>
    <r>
      <rPr>
        <sz val="11"/>
        <rFont val="游ゴシック Medium"/>
        <family val="3"/>
        <charset val="128"/>
      </rPr>
      <t>フィンガートレーニング</t>
    </r>
    <r>
      <rPr>
        <sz val="11"/>
        <rFont val="Consolas"/>
        <family val="3"/>
      </rPr>
      <t>A</t>
    </r>
    <phoneticPr fontId="1"/>
  </si>
  <si>
    <r>
      <rPr>
        <sz val="11"/>
        <rFont val="游ゴシック Medium"/>
        <family val="3"/>
        <charset val="128"/>
      </rPr>
      <t>みんなのうた</t>
    </r>
    <r>
      <rPr>
        <sz val="11"/>
        <rFont val="Consolas"/>
        <family val="3"/>
      </rPr>
      <t>/1</t>
    </r>
    <phoneticPr fontId="1"/>
  </si>
  <si>
    <r>
      <rPr>
        <sz val="11"/>
        <rFont val="游ゴシック Medium"/>
        <family val="3"/>
        <charset val="128"/>
      </rPr>
      <t>みんなのうた</t>
    </r>
    <r>
      <rPr>
        <sz val="11"/>
        <rFont val="Consolas"/>
        <family val="3"/>
      </rPr>
      <t>/2</t>
    </r>
    <phoneticPr fontId="1"/>
  </si>
  <si>
    <r>
      <rPr>
        <sz val="11"/>
        <rFont val="游ゴシック Medium"/>
        <family val="3"/>
        <charset val="128"/>
      </rPr>
      <t>三木たかし</t>
    </r>
    <rPh sb="0" eb="2">
      <t>ミキ</t>
    </rPh>
    <phoneticPr fontId="1"/>
  </si>
  <si>
    <r>
      <rPr>
        <sz val="11"/>
        <rFont val="游ゴシック Medium"/>
        <family val="3"/>
        <charset val="128"/>
      </rPr>
      <t>荒木とよひさ</t>
    </r>
    <rPh sb="0" eb="2">
      <t>アラキ</t>
    </rPh>
    <phoneticPr fontId="1"/>
  </si>
  <si>
    <r>
      <rPr>
        <b/>
        <sz val="11"/>
        <color indexed="33"/>
        <rFont val="游ゴシック Medium"/>
        <family val="3"/>
        <charset val="128"/>
      </rPr>
      <t>ケンカのあとは</t>
    </r>
    <phoneticPr fontId="1"/>
  </si>
  <si>
    <r>
      <rPr>
        <sz val="11"/>
        <rFont val="游ゴシック Medium"/>
        <family val="3"/>
        <charset val="128"/>
      </rPr>
      <t>ひらけ</t>
    </r>
    <r>
      <rPr>
        <sz val="11"/>
        <rFont val="Consolas"/>
        <family val="3"/>
      </rPr>
      <t>!</t>
    </r>
    <r>
      <rPr>
        <sz val="11"/>
        <rFont val="游ゴシック Medium"/>
        <family val="3"/>
        <charset val="128"/>
      </rPr>
      <t>ポンキッキ</t>
    </r>
    <phoneticPr fontId="1"/>
  </si>
  <si>
    <r>
      <rPr>
        <sz val="11"/>
        <rFont val="游ゴシック Medium"/>
        <family val="3"/>
        <charset val="128"/>
      </rPr>
      <t>冬杜</t>
    </r>
    <r>
      <rPr>
        <sz val="11"/>
        <rFont val="Consolas"/>
        <family val="3"/>
      </rPr>
      <t xml:space="preserve"> </t>
    </r>
    <r>
      <rPr>
        <sz val="11"/>
        <rFont val="游ゴシック Medium"/>
        <family val="3"/>
        <charset val="128"/>
      </rPr>
      <t>花代子</t>
    </r>
    <phoneticPr fontId="1"/>
  </si>
  <si>
    <r>
      <rPr>
        <b/>
        <sz val="11"/>
        <color indexed="33"/>
        <rFont val="游ゴシック Medium"/>
        <family val="3"/>
        <charset val="128"/>
      </rPr>
      <t>おっぱいがいっぱい</t>
    </r>
    <phoneticPr fontId="1"/>
  </si>
  <si>
    <r>
      <rPr>
        <sz val="11"/>
        <rFont val="游ゴシック Medium"/>
        <family val="3"/>
        <charset val="128"/>
      </rPr>
      <t>本間勇輔</t>
    </r>
    <rPh sb="0" eb="2">
      <t>ホンマ</t>
    </rPh>
    <rPh sb="2" eb="4">
      <t>ユウスケ</t>
    </rPh>
    <phoneticPr fontId="1"/>
  </si>
  <si>
    <r>
      <rPr>
        <sz val="11"/>
        <rFont val="游ゴシック Medium"/>
        <family val="3"/>
        <charset val="128"/>
      </rPr>
      <t>森</t>
    </r>
    <r>
      <rPr>
        <sz val="11"/>
        <rFont val="Consolas"/>
        <family val="3"/>
      </rPr>
      <t xml:space="preserve"> </t>
    </r>
    <r>
      <rPr>
        <sz val="11"/>
        <rFont val="游ゴシック Medium"/>
        <family val="3"/>
        <charset val="128"/>
      </rPr>
      <t>由里子</t>
    </r>
    <rPh sb="0" eb="1">
      <t>モリ</t>
    </rPh>
    <rPh sb="2" eb="5">
      <t>ユリコ</t>
    </rPh>
    <phoneticPr fontId="1"/>
  </si>
  <si>
    <r>
      <rPr>
        <sz val="11"/>
        <rFont val="游ゴシック Medium"/>
        <family val="3"/>
        <charset val="128"/>
      </rPr>
      <t>ジャンケンパラダイス</t>
    </r>
    <phoneticPr fontId="1"/>
  </si>
  <si>
    <r>
      <rPr>
        <sz val="11"/>
        <rFont val="游ゴシック Medium"/>
        <family val="3"/>
        <charset val="128"/>
      </rPr>
      <t>高見沢俊彦</t>
    </r>
    <rPh sb="0" eb="3">
      <t>タカミザワ</t>
    </rPh>
    <rPh sb="3" eb="5">
      <t>トシヒコ</t>
    </rPh>
    <phoneticPr fontId="1"/>
  </si>
  <si>
    <r>
      <rPr>
        <sz val="11"/>
        <rFont val="游ゴシック Medium"/>
        <family val="3"/>
        <charset val="128"/>
      </rPr>
      <t>秋元</t>
    </r>
    <r>
      <rPr>
        <sz val="11"/>
        <rFont val="Consolas"/>
        <family val="3"/>
      </rPr>
      <t xml:space="preserve"> </t>
    </r>
    <r>
      <rPr>
        <sz val="11"/>
        <rFont val="游ゴシック Medium"/>
        <family val="3"/>
        <charset val="128"/>
      </rPr>
      <t>康</t>
    </r>
    <rPh sb="0" eb="2">
      <t>アキモト</t>
    </rPh>
    <rPh sb="3" eb="4">
      <t>ヤスシ</t>
    </rPh>
    <phoneticPr fontId="1"/>
  </si>
  <si>
    <r>
      <rPr>
        <sz val="11"/>
        <rFont val="游ゴシック Medium"/>
        <family val="3"/>
        <charset val="128"/>
      </rPr>
      <t>若草の招待状</t>
    </r>
    <rPh sb="0" eb="2">
      <t>ワカクサ</t>
    </rPh>
    <rPh sb="3" eb="6">
      <t>ショウタイジョウ</t>
    </rPh>
    <phoneticPr fontId="1"/>
  </si>
  <si>
    <r>
      <rPr>
        <sz val="11"/>
        <rFont val="游ゴシック Medium"/>
        <family val="3"/>
        <charset val="128"/>
      </rPr>
      <t>新田恵美</t>
    </r>
    <r>
      <rPr>
        <sz val="11"/>
        <rFont val="Consolas"/>
        <family val="3"/>
      </rPr>
      <t>/</t>
    </r>
    <r>
      <rPr>
        <sz val="11"/>
        <rFont val="游ゴシック Medium"/>
        <family val="3"/>
        <charset val="128"/>
      </rPr>
      <t>アニメ</t>
    </r>
    <r>
      <rPr>
        <sz val="11"/>
        <rFont val="Consolas"/>
        <family val="3"/>
      </rPr>
      <t xml:space="preserve"> Ending</t>
    </r>
    <rPh sb="0" eb="2">
      <t>ニッタ</t>
    </rPh>
    <rPh sb="2" eb="4">
      <t>エミ</t>
    </rPh>
    <rPh sb="9" eb="15">
      <t>エンディング</t>
    </rPh>
    <phoneticPr fontId="1"/>
  </si>
  <si>
    <r>
      <rPr>
        <sz val="11"/>
        <rFont val="游ゴシック Medium"/>
        <family val="3"/>
        <charset val="128"/>
      </rPr>
      <t>古田喜昭</t>
    </r>
    <rPh sb="0" eb="2">
      <t>フルタ</t>
    </rPh>
    <rPh sb="2" eb="4">
      <t>ヨシアキ</t>
    </rPh>
    <phoneticPr fontId="1"/>
  </si>
  <si>
    <r>
      <rPr>
        <sz val="11"/>
        <rFont val="游ゴシック Medium"/>
        <family val="3"/>
        <charset val="128"/>
      </rPr>
      <t>藤子不二雄</t>
    </r>
    <rPh sb="0" eb="2">
      <t>フジコ</t>
    </rPh>
    <rPh sb="2" eb="5">
      <t>フジオ</t>
    </rPh>
    <phoneticPr fontId="1"/>
  </si>
  <si>
    <r>
      <rPr>
        <sz val="11"/>
        <rFont val="游ゴシック Medium"/>
        <family val="3"/>
        <charset val="128"/>
      </rPr>
      <t>きてよパーマン</t>
    </r>
    <phoneticPr fontId="1"/>
  </si>
  <si>
    <r>
      <rPr>
        <sz val="11"/>
        <rFont val="游ゴシック Medium"/>
        <family val="3"/>
        <charset val="128"/>
      </rPr>
      <t>アニメ挿入歌</t>
    </r>
    <rPh sb="3" eb="5">
      <t>ソウニュウ</t>
    </rPh>
    <rPh sb="5" eb="6">
      <t>シュダイカ</t>
    </rPh>
    <phoneticPr fontId="1"/>
  </si>
  <si>
    <r>
      <rPr>
        <sz val="11"/>
        <rFont val="游ゴシック Medium"/>
        <family val="3"/>
        <charset val="128"/>
      </rPr>
      <t>中川ひろたか</t>
    </r>
    <rPh sb="0" eb="2">
      <t>ナカガワ</t>
    </rPh>
    <phoneticPr fontId="1"/>
  </si>
  <si>
    <r>
      <rPr>
        <sz val="11"/>
        <rFont val="游ゴシック Medium"/>
        <family val="3"/>
        <charset val="128"/>
      </rPr>
      <t>たこやきいっこ</t>
    </r>
    <phoneticPr fontId="1"/>
  </si>
  <si>
    <r>
      <rPr>
        <sz val="11"/>
        <rFont val="游ゴシック Medium"/>
        <family val="3"/>
        <charset val="128"/>
      </rPr>
      <t>たなかすみこ</t>
    </r>
    <phoneticPr fontId="1"/>
  </si>
  <si>
    <r>
      <rPr>
        <sz val="11"/>
        <rFont val="游ゴシック Medium"/>
        <family val="3"/>
        <charset val="128"/>
      </rPr>
      <t>世界中にいろおんぷ</t>
    </r>
    <rPh sb="0" eb="3">
      <t>セカイジュウ</t>
    </rPh>
    <phoneticPr fontId="1"/>
  </si>
  <si>
    <r>
      <rPr>
        <sz val="11"/>
        <rFont val="游ゴシック Medium"/>
        <family val="3"/>
        <charset val="128"/>
      </rPr>
      <t>鈴木琴城</t>
    </r>
    <rPh sb="0" eb="2">
      <t>スズキ</t>
    </rPh>
    <rPh sb="2" eb="4">
      <t>キンジョウ</t>
    </rPh>
    <phoneticPr fontId="1"/>
  </si>
  <si>
    <r>
      <rPr>
        <sz val="11"/>
        <rFont val="游ゴシック Medium"/>
        <family val="3"/>
        <charset val="128"/>
      </rPr>
      <t>大正琴教本</t>
    </r>
    <r>
      <rPr>
        <sz val="11"/>
        <rFont val="Consolas"/>
        <family val="3"/>
      </rPr>
      <t>/</t>
    </r>
    <r>
      <rPr>
        <sz val="11"/>
        <rFont val="游ゴシック Medium"/>
        <family val="3"/>
        <charset val="128"/>
      </rPr>
      <t>初級（一）</t>
    </r>
    <rPh sb="0" eb="3">
      <t>タイショウゴト</t>
    </rPh>
    <rPh sb="3" eb="5">
      <t>キョウホン</t>
    </rPh>
    <rPh sb="6" eb="8">
      <t>ショキュウ</t>
    </rPh>
    <rPh sb="9" eb="10">
      <t>イチ</t>
    </rPh>
    <phoneticPr fontId="1"/>
  </si>
  <si>
    <r>
      <rPr>
        <sz val="11"/>
        <rFont val="游ゴシック Medium"/>
        <family val="3"/>
        <charset val="128"/>
      </rPr>
      <t>鈴木教育出版㈱</t>
    </r>
    <rPh sb="0" eb="2">
      <t>スズキ</t>
    </rPh>
    <rPh sb="2" eb="4">
      <t>キョウイク</t>
    </rPh>
    <rPh sb="4" eb="6">
      <t>シュッパン</t>
    </rPh>
    <phoneticPr fontId="1"/>
  </si>
  <si>
    <r>
      <rPr>
        <sz val="11"/>
        <rFont val="游ゴシック Medium"/>
        <family val="3"/>
        <charset val="128"/>
      </rPr>
      <t>やさしい</t>
    </r>
    <r>
      <rPr>
        <sz val="11"/>
        <rFont val="Consolas"/>
        <family val="3"/>
      </rPr>
      <t>Clarinet</t>
    </r>
    <r>
      <rPr>
        <sz val="11"/>
        <rFont val="游ゴシック Medium"/>
        <family val="3"/>
        <charset val="128"/>
      </rPr>
      <t>の吹き方</t>
    </r>
    <rPh sb="4" eb="12">
      <t>クラリネット</t>
    </rPh>
    <rPh sb="13" eb="16">
      <t>フキカタ</t>
    </rPh>
    <phoneticPr fontId="1"/>
  </si>
  <si>
    <r>
      <rPr>
        <sz val="11"/>
        <rFont val="游ゴシック Medium"/>
        <family val="3"/>
        <charset val="128"/>
      </rPr>
      <t>篠崎</t>
    </r>
    <rPh sb="0" eb="2">
      <t>シノザキ</t>
    </rPh>
    <phoneticPr fontId="1"/>
  </si>
  <si>
    <r>
      <rPr>
        <sz val="11"/>
        <rFont val="游ゴシック Medium"/>
        <family val="3"/>
        <charset val="128"/>
      </rPr>
      <t>篠崎</t>
    </r>
    <r>
      <rPr>
        <sz val="11"/>
        <rFont val="Consolas"/>
        <family val="3"/>
      </rPr>
      <t>Violin</t>
    </r>
    <r>
      <rPr>
        <sz val="11"/>
        <rFont val="游ゴシック Medium"/>
        <family val="3"/>
        <charset val="128"/>
      </rPr>
      <t>教本</t>
    </r>
    <r>
      <rPr>
        <sz val="11"/>
        <rFont val="Consolas"/>
        <family val="3"/>
      </rPr>
      <t>1</t>
    </r>
    <rPh sb="0" eb="2">
      <t>シノザキ</t>
    </rPh>
    <rPh sb="2" eb="8">
      <t>ヴァイオリン</t>
    </rPh>
    <rPh sb="8" eb="10">
      <t>キョウホン</t>
    </rPh>
    <phoneticPr fontId="1"/>
  </si>
  <si>
    <r>
      <rPr>
        <sz val="11"/>
        <rFont val="游ゴシック Medium"/>
        <family val="3"/>
        <charset val="128"/>
      </rPr>
      <t>コールユーブンゲン</t>
    </r>
    <phoneticPr fontId="1"/>
  </si>
  <si>
    <r>
      <rPr>
        <sz val="11"/>
        <rFont val="游ゴシック Medium"/>
        <family val="3"/>
        <charset val="128"/>
      </rPr>
      <t>辞典</t>
    </r>
    <r>
      <rPr>
        <sz val="11"/>
        <rFont val="Consolas"/>
        <family val="3"/>
      </rPr>
      <t>/</t>
    </r>
    <r>
      <rPr>
        <sz val="11"/>
        <rFont val="游ゴシック Medium"/>
        <family val="3"/>
        <charset val="128"/>
      </rPr>
      <t>楽譜</t>
    </r>
    <rPh sb="0" eb="2">
      <t>ジテン</t>
    </rPh>
    <rPh sb="3" eb="5">
      <t>ガクフ</t>
    </rPh>
    <phoneticPr fontId="1"/>
  </si>
  <si>
    <r>
      <rPr>
        <sz val="11"/>
        <rFont val="游ゴシック Medium"/>
        <family val="3"/>
        <charset val="128"/>
      </rPr>
      <t>教本</t>
    </r>
    <r>
      <rPr>
        <sz val="11"/>
        <rFont val="Consolas"/>
        <family val="3"/>
      </rPr>
      <t>/music</t>
    </r>
    <rPh sb="0" eb="2">
      <t>キョウホン</t>
    </rPh>
    <phoneticPr fontId="1"/>
  </si>
  <si>
    <r>
      <t>Guitar Chord Book/Guitarist</t>
    </r>
    <r>
      <rPr>
        <sz val="11"/>
        <rFont val="游ゴシック Medium"/>
        <family val="3"/>
        <charset val="128"/>
      </rPr>
      <t>のための</t>
    </r>
    <rPh sb="0" eb="17">
      <t>ギター　コード　ブック</t>
    </rPh>
    <rPh sb="18" eb="27">
      <t>ギタリスト</t>
    </rPh>
    <phoneticPr fontId="1"/>
  </si>
  <si>
    <r>
      <rPr>
        <sz val="11"/>
        <rFont val="游ゴシック Medium"/>
        <family val="3"/>
        <charset val="128"/>
      </rPr>
      <t>成美堂出版</t>
    </r>
    <rPh sb="0" eb="3">
      <t>セイビドウ</t>
    </rPh>
    <rPh sb="3" eb="5">
      <t>シュッパン</t>
    </rPh>
    <phoneticPr fontId="1"/>
  </si>
  <si>
    <r>
      <rPr>
        <sz val="11"/>
        <rFont val="游ゴシック Medium"/>
        <family val="3"/>
        <charset val="128"/>
      </rPr>
      <t>教科書小学校</t>
    </r>
    <r>
      <rPr>
        <sz val="11"/>
        <rFont val="Consolas"/>
        <family val="3"/>
      </rPr>
      <t>5</t>
    </r>
    <r>
      <rPr>
        <sz val="11"/>
        <rFont val="游ゴシック Medium"/>
        <family val="3"/>
        <charset val="128"/>
      </rPr>
      <t>年</t>
    </r>
    <rPh sb="0" eb="3">
      <t>キョウカショ</t>
    </rPh>
    <rPh sb="3" eb="6">
      <t>ショウガッコウ</t>
    </rPh>
    <phoneticPr fontId="1"/>
  </si>
  <si>
    <r>
      <rPr>
        <sz val="11"/>
        <rFont val="游ゴシック Medium"/>
        <family val="3"/>
        <charset val="128"/>
      </rPr>
      <t>教科書小学校</t>
    </r>
    <r>
      <rPr>
        <sz val="11"/>
        <rFont val="Consolas"/>
        <family val="3"/>
      </rPr>
      <t>6</t>
    </r>
    <r>
      <rPr>
        <sz val="11"/>
        <rFont val="游ゴシック Medium"/>
        <family val="3"/>
        <charset val="128"/>
      </rPr>
      <t>年</t>
    </r>
    <rPh sb="0" eb="3">
      <t>キョウカショ</t>
    </rPh>
    <rPh sb="3" eb="6">
      <t>ショウガッコウ</t>
    </rPh>
    <phoneticPr fontId="1"/>
  </si>
  <si>
    <r>
      <rPr>
        <sz val="11"/>
        <rFont val="游ゴシック Medium"/>
        <family val="3"/>
        <charset val="128"/>
      </rPr>
      <t>教科書中学校</t>
    </r>
    <rPh sb="0" eb="3">
      <t>キョウカショ</t>
    </rPh>
    <rPh sb="3" eb="6">
      <t>チュウガッコウ</t>
    </rPh>
    <phoneticPr fontId="1"/>
  </si>
  <si>
    <r>
      <rPr>
        <sz val="11"/>
        <rFont val="游ゴシック Medium"/>
        <family val="3"/>
        <charset val="128"/>
      </rPr>
      <t>教科書高校</t>
    </r>
    <rPh sb="0" eb="3">
      <t>キョウカショ</t>
    </rPh>
    <rPh sb="3" eb="5">
      <t>コウコウ</t>
    </rPh>
    <phoneticPr fontId="1"/>
  </si>
  <si>
    <r>
      <rPr>
        <sz val="11"/>
        <rFont val="游ゴシック Medium"/>
        <family val="3"/>
        <charset val="128"/>
      </rPr>
      <t>教科書高校・器楽</t>
    </r>
    <rPh sb="0" eb="3">
      <t>キョウカショ</t>
    </rPh>
    <rPh sb="3" eb="5">
      <t>コウコウ</t>
    </rPh>
    <rPh sb="6" eb="8">
      <t>キガク</t>
    </rPh>
    <phoneticPr fontId="1"/>
  </si>
  <si>
    <r>
      <rPr>
        <sz val="11"/>
        <rFont val="游ゴシック Medium"/>
        <family val="3"/>
        <charset val="128"/>
      </rPr>
      <t>教科書中学校</t>
    </r>
    <r>
      <rPr>
        <sz val="11"/>
        <rFont val="Consolas"/>
        <family val="3"/>
      </rPr>
      <t>/</t>
    </r>
    <r>
      <rPr>
        <sz val="11"/>
        <rFont val="游ゴシック Medium"/>
        <family val="3"/>
        <charset val="128"/>
      </rPr>
      <t>高校</t>
    </r>
    <r>
      <rPr>
        <sz val="11"/>
        <rFont val="Consolas"/>
        <family val="3"/>
      </rPr>
      <t>/</t>
    </r>
    <r>
      <rPr>
        <sz val="11"/>
        <rFont val="游ゴシック Medium"/>
        <family val="3"/>
        <charset val="128"/>
      </rPr>
      <t>高校・器楽</t>
    </r>
    <r>
      <rPr>
        <sz val="11"/>
        <rFont val="Consolas"/>
        <family val="3"/>
      </rPr>
      <t>/</t>
    </r>
    <r>
      <rPr>
        <sz val="11"/>
        <rFont val="游ゴシック Medium"/>
        <family val="3"/>
        <charset val="128"/>
      </rPr>
      <t>千香</t>
    </r>
    <rPh sb="0" eb="3">
      <t>キョウカショ</t>
    </rPh>
    <rPh sb="3" eb="6">
      <t>チュウガッコウ</t>
    </rPh>
    <rPh sb="7" eb="9">
      <t>コウコウ</t>
    </rPh>
    <rPh sb="10" eb="12">
      <t>コウコウ</t>
    </rPh>
    <rPh sb="13" eb="15">
      <t>キガク</t>
    </rPh>
    <rPh sb="16" eb="18">
      <t>チカ</t>
    </rPh>
    <phoneticPr fontId="1"/>
  </si>
  <si>
    <r>
      <rPr>
        <sz val="11"/>
        <rFont val="游ゴシック Medium"/>
        <family val="3"/>
        <charset val="128"/>
      </rPr>
      <t>文部科学省</t>
    </r>
    <rPh sb="0" eb="2">
      <t>モンブ</t>
    </rPh>
    <rPh sb="2" eb="5">
      <t>カガクショウ</t>
    </rPh>
    <phoneticPr fontId="1"/>
  </si>
  <si>
    <r>
      <rPr>
        <sz val="11"/>
        <rFont val="游ゴシック Medium"/>
        <family val="3"/>
        <charset val="128"/>
      </rPr>
      <t>おんがく</t>
    </r>
    <r>
      <rPr>
        <sz val="11"/>
        <rFont val="Consolas"/>
        <family val="3"/>
      </rPr>
      <t xml:space="preserve"> </t>
    </r>
    <r>
      <rPr>
        <sz val="11"/>
        <rFont val="游ゴシック Medium"/>
        <family val="3"/>
        <charset val="128"/>
      </rPr>
      <t>☆☆</t>
    </r>
    <r>
      <rPr>
        <sz val="11"/>
        <rFont val="Consolas"/>
        <family val="3"/>
      </rPr>
      <t xml:space="preserve"> </t>
    </r>
    <r>
      <rPr>
        <sz val="11"/>
        <rFont val="游ゴシック Medium"/>
        <family val="3"/>
        <charset val="128"/>
      </rPr>
      <t>特別支援学校小学部知的障害者用</t>
    </r>
    <rPh sb="8" eb="10">
      <t>トクベツ</t>
    </rPh>
    <rPh sb="10" eb="12">
      <t>シエン</t>
    </rPh>
    <rPh sb="12" eb="14">
      <t>ガッコウ</t>
    </rPh>
    <rPh sb="14" eb="16">
      <t>ショウガク</t>
    </rPh>
    <rPh sb="16" eb="17">
      <t>ブ</t>
    </rPh>
    <rPh sb="17" eb="19">
      <t>チテキ</t>
    </rPh>
    <rPh sb="19" eb="23">
      <t>ショウガイシャヨウ</t>
    </rPh>
    <phoneticPr fontId="1"/>
  </si>
  <si>
    <r>
      <rPr>
        <sz val="11"/>
        <rFont val="游ゴシック Medium"/>
        <family val="3"/>
        <charset val="128"/>
      </rPr>
      <t>音楽</t>
    </r>
    <r>
      <rPr>
        <sz val="11"/>
        <rFont val="Consolas"/>
        <family val="3"/>
      </rPr>
      <t xml:space="preserve">C-102 </t>
    </r>
    <r>
      <rPr>
        <sz val="11"/>
        <rFont val="游ゴシック Medium"/>
        <family val="3"/>
        <charset val="128"/>
      </rPr>
      <t>小学部音楽科</t>
    </r>
    <r>
      <rPr>
        <sz val="11"/>
        <rFont val="Consolas"/>
        <family val="3"/>
      </rPr>
      <t xml:space="preserve"> 1</t>
    </r>
    <r>
      <rPr>
        <sz val="11"/>
        <rFont val="游ゴシック Medium"/>
        <family val="3"/>
        <charset val="128"/>
      </rPr>
      <t>～</t>
    </r>
    <r>
      <rPr>
        <sz val="11"/>
        <rFont val="Consolas"/>
        <family val="3"/>
      </rPr>
      <t>6</t>
    </r>
    <r>
      <rPr>
        <sz val="11"/>
        <rFont val="游ゴシック Medium"/>
        <family val="3"/>
        <charset val="128"/>
      </rPr>
      <t>学年用</t>
    </r>
    <rPh sb="0" eb="2">
      <t>オンガク</t>
    </rPh>
    <rPh sb="8" eb="10">
      <t>ショウガク</t>
    </rPh>
    <rPh sb="10" eb="11">
      <t>ブ</t>
    </rPh>
    <rPh sb="11" eb="14">
      <t>オンガクカ</t>
    </rPh>
    <rPh sb="18" eb="21">
      <t>ガクネンヨウ</t>
    </rPh>
    <phoneticPr fontId="1"/>
  </si>
  <si>
    <r>
      <rPr>
        <sz val="11"/>
        <rFont val="游ゴシック Medium"/>
        <family val="3"/>
        <charset val="128"/>
      </rPr>
      <t>都立王子第二養護学校</t>
    </r>
    <rPh sb="0" eb="2">
      <t>トリツ</t>
    </rPh>
    <rPh sb="2" eb="4">
      <t>オウジ</t>
    </rPh>
    <rPh sb="4" eb="5">
      <t>ダイ</t>
    </rPh>
    <rPh sb="5" eb="6">
      <t>ニ</t>
    </rPh>
    <rPh sb="6" eb="8">
      <t>ヨウゴ</t>
    </rPh>
    <rPh sb="8" eb="10">
      <t>ガッコウ</t>
    </rPh>
    <phoneticPr fontId="1"/>
  </si>
  <si>
    <r>
      <rPr>
        <sz val="11"/>
        <rFont val="游ゴシック Medium"/>
        <family val="3"/>
        <charset val="128"/>
      </rPr>
      <t>音楽</t>
    </r>
    <r>
      <rPr>
        <sz val="11"/>
        <rFont val="Consolas"/>
        <family val="3"/>
      </rPr>
      <t xml:space="preserve">C-113 </t>
    </r>
    <r>
      <rPr>
        <sz val="11"/>
        <rFont val="游ゴシック Medium"/>
        <family val="3"/>
        <charset val="128"/>
      </rPr>
      <t>小学部音楽科</t>
    </r>
    <r>
      <rPr>
        <sz val="11"/>
        <rFont val="Consolas"/>
        <family val="3"/>
      </rPr>
      <t xml:space="preserve"> 1</t>
    </r>
    <r>
      <rPr>
        <sz val="11"/>
        <rFont val="游ゴシック Medium"/>
        <family val="3"/>
        <charset val="128"/>
      </rPr>
      <t>～</t>
    </r>
    <r>
      <rPr>
        <sz val="11"/>
        <rFont val="Consolas"/>
        <family val="3"/>
      </rPr>
      <t>6</t>
    </r>
    <r>
      <rPr>
        <sz val="11"/>
        <rFont val="游ゴシック Medium"/>
        <family val="3"/>
        <charset val="128"/>
      </rPr>
      <t>学年用</t>
    </r>
    <rPh sb="0" eb="2">
      <t>オンガク</t>
    </rPh>
    <rPh sb="8" eb="10">
      <t>ショウガク</t>
    </rPh>
    <rPh sb="10" eb="11">
      <t>ブ</t>
    </rPh>
    <rPh sb="11" eb="14">
      <t>オンガクカ</t>
    </rPh>
    <rPh sb="18" eb="21">
      <t>ガクネンヨウ</t>
    </rPh>
    <phoneticPr fontId="1"/>
  </si>
  <si>
    <r>
      <rPr>
        <sz val="11"/>
        <rFont val="游ゴシック Medium"/>
        <family val="3"/>
        <charset val="128"/>
      </rPr>
      <t>音楽</t>
    </r>
    <r>
      <rPr>
        <sz val="11"/>
        <rFont val="Consolas"/>
        <family val="3"/>
      </rPr>
      <t xml:space="preserve"> </t>
    </r>
    <r>
      <rPr>
        <sz val="11"/>
        <rFont val="游ゴシック Medium"/>
        <family val="3"/>
        <charset val="128"/>
      </rPr>
      <t>☆☆☆☆</t>
    </r>
    <r>
      <rPr>
        <sz val="11"/>
        <rFont val="Consolas"/>
        <family val="3"/>
      </rPr>
      <t xml:space="preserve"> </t>
    </r>
    <r>
      <rPr>
        <sz val="11"/>
        <rFont val="游ゴシック Medium"/>
        <family val="3"/>
        <charset val="128"/>
      </rPr>
      <t>特別支援学校中学部知的障害者用</t>
    </r>
    <rPh sb="0" eb="2">
      <t>オンガク</t>
    </rPh>
    <rPh sb="8" eb="10">
      <t>トクベツ</t>
    </rPh>
    <rPh sb="10" eb="12">
      <t>シエン</t>
    </rPh>
    <rPh sb="12" eb="14">
      <t>ガッコウ</t>
    </rPh>
    <rPh sb="17" eb="19">
      <t>チテキ</t>
    </rPh>
    <rPh sb="19" eb="23">
      <t>ショウガイシャヨウ</t>
    </rPh>
    <phoneticPr fontId="1"/>
  </si>
  <si>
    <r>
      <rPr>
        <sz val="11"/>
        <rFont val="游ゴシック Medium"/>
        <family val="3"/>
        <charset val="128"/>
      </rPr>
      <t>音楽</t>
    </r>
    <r>
      <rPr>
        <sz val="11"/>
        <rFont val="Consolas"/>
        <family val="3"/>
      </rPr>
      <t xml:space="preserve">C-711 </t>
    </r>
    <r>
      <rPr>
        <sz val="11"/>
        <rFont val="游ゴシック Medium"/>
        <family val="3"/>
        <charset val="128"/>
      </rPr>
      <t>中学部音楽科</t>
    </r>
    <r>
      <rPr>
        <sz val="11"/>
        <rFont val="Consolas"/>
        <family val="3"/>
      </rPr>
      <t xml:space="preserve"> 1</t>
    </r>
    <r>
      <rPr>
        <sz val="11"/>
        <rFont val="游ゴシック Medium"/>
        <family val="3"/>
        <charset val="128"/>
      </rPr>
      <t>～</t>
    </r>
    <r>
      <rPr>
        <sz val="11"/>
        <rFont val="Consolas"/>
        <family val="3"/>
      </rPr>
      <t>3</t>
    </r>
    <r>
      <rPr>
        <sz val="11"/>
        <rFont val="游ゴシック Medium"/>
        <family val="3"/>
        <charset val="128"/>
      </rPr>
      <t>学年用</t>
    </r>
    <rPh sb="0" eb="2">
      <t>オンガク</t>
    </rPh>
    <rPh sb="8" eb="10">
      <t>チュウガク</t>
    </rPh>
    <rPh sb="10" eb="11">
      <t>ブ</t>
    </rPh>
    <rPh sb="11" eb="14">
      <t>オンガクカ</t>
    </rPh>
    <rPh sb="18" eb="21">
      <t>ガクネンヨウ</t>
    </rPh>
    <phoneticPr fontId="1"/>
  </si>
  <si>
    <r>
      <rPr>
        <u/>
        <sz val="11"/>
        <color indexed="12"/>
        <rFont val="游ゴシック Medium"/>
        <family val="3"/>
        <charset val="128"/>
      </rPr>
      <t>高橋秀樹</t>
    </r>
    <rPh sb="0" eb="2">
      <t>タカハシ</t>
    </rPh>
    <rPh sb="2" eb="4">
      <t>ヒデキ</t>
    </rPh>
    <phoneticPr fontId="1"/>
  </si>
  <si>
    <r>
      <rPr>
        <sz val="11"/>
        <rFont val="游ゴシック Medium"/>
        <family val="3"/>
        <charset val="128"/>
      </rPr>
      <t>発掘</t>
    </r>
    <rPh sb="0" eb="2">
      <t>ハックツ</t>
    </rPh>
    <phoneticPr fontId="1"/>
  </si>
  <si>
    <r>
      <rPr>
        <sz val="11"/>
        <rFont val="游ゴシック Medium"/>
        <family val="3"/>
        <charset val="128"/>
      </rPr>
      <t>小見祐子</t>
    </r>
    <rPh sb="0" eb="2">
      <t>コミ</t>
    </rPh>
    <rPh sb="2" eb="4">
      <t>ユウコ</t>
    </rPh>
    <phoneticPr fontId="1"/>
  </si>
  <si>
    <r>
      <rPr>
        <sz val="11"/>
        <rFont val="游ゴシック Medium"/>
        <family val="3"/>
        <charset val="128"/>
      </rPr>
      <t>採譜</t>
    </r>
    <rPh sb="0" eb="2">
      <t>サイフ</t>
    </rPh>
    <phoneticPr fontId="1"/>
  </si>
  <si>
    <r>
      <t>Polynesia</t>
    </r>
    <r>
      <rPr>
        <b/>
        <sz val="11"/>
        <color indexed="33"/>
        <rFont val="游ゴシック Medium"/>
        <family val="3"/>
        <charset val="128"/>
      </rPr>
      <t>もの各種</t>
    </r>
    <rPh sb="0" eb="9">
      <t>ポリネシア</t>
    </rPh>
    <rPh sb="11" eb="13">
      <t>カクシュ</t>
    </rPh>
    <phoneticPr fontId="1"/>
  </si>
  <si>
    <r>
      <rPr>
        <u/>
        <sz val="11"/>
        <color indexed="12"/>
        <rFont val="游ゴシック Medium"/>
        <family val="3"/>
        <charset val="128"/>
      </rPr>
      <t>愛は君のよう</t>
    </r>
    <r>
      <rPr>
        <u/>
        <sz val="11"/>
        <color indexed="12"/>
        <rFont val="Consolas"/>
        <family val="3"/>
      </rPr>
      <t>/</t>
    </r>
    <r>
      <rPr>
        <u/>
        <sz val="11"/>
        <color indexed="12"/>
        <rFont val="游ゴシック Medium"/>
        <family val="3"/>
        <charset val="128"/>
      </rPr>
      <t>後奏</t>
    </r>
    <r>
      <rPr>
        <u/>
        <sz val="11"/>
        <color indexed="12"/>
        <rFont val="Consolas"/>
        <family val="3"/>
      </rPr>
      <t>/</t>
    </r>
    <r>
      <rPr>
        <u/>
        <sz val="11"/>
        <color indexed="12"/>
        <rFont val="游ゴシック Medium"/>
        <family val="3"/>
        <charset val="128"/>
      </rPr>
      <t>高橋秀樹</t>
    </r>
    <r>
      <rPr>
        <u/>
        <sz val="11"/>
        <color indexed="12"/>
        <rFont val="Consolas"/>
        <family val="3"/>
      </rPr>
      <t>:</t>
    </r>
    <r>
      <rPr>
        <u/>
        <sz val="11"/>
        <color indexed="12"/>
        <rFont val="游ゴシック Medium"/>
        <family val="3"/>
        <charset val="128"/>
      </rPr>
      <t>作曲</t>
    </r>
    <rPh sb="0" eb="1">
      <t>アイ</t>
    </rPh>
    <rPh sb="2" eb="3">
      <t>キミ</t>
    </rPh>
    <rPh sb="7" eb="9">
      <t>コウソウ</t>
    </rPh>
    <rPh sb="10" eb="12">
      <t>タカハシ</t>
    </rPh>
    <rPh sb="12" eb="14">
      <t>ヒデキ</t>
    </rPh>
    <rPh sb="15" eb="17">
      <t>サッキョク</t>
    </rPh>
    <phoneticPr fontId="1"/>
  </si>
  <si>
    <r>
      <t>ZubiZuva</t>
    </r>
    <r>
      <rPr>
        <u/>
        <sz val="11"/>
        <color indexed="12"/>
        <rFont val="游ゴシック Medium"/>
        <family val="3"/>
        <charset val="128"/>
      </rPr>
      <t>もの</t>
    </r>
    <rPh sb="0" eb="8">
      <t>ズビズバ</t>
    </rPh>
    <phoneticPr fontId="1"/>
  </si>
  <si>
    <r>
      <rPr>
        <u/>
        <sz val="11"/>
        <color indexed="12"/>
        <rFont val="游ゴシック Medium"/>
        <family val="3"/>
        <charset val="128"/>
      </rPr>
      <t>吉田達也・芝崎幸史</t>
    </r>
    <rPh sb="0" eb="2">
      <t>ヨシダ</t>
    </rPh>
    <rPh sb="2" eb="4">
      <t>タツヤ</t>
    </rPh>
    <rPh sb="5" eb="9">
      <t>シバサキ</t>
    </rPh>
    <phoneticPr fontId="1"/>
  </si>
  <si>
    <r>
      <rPr>
        <sz val="11"/>
        <rFont val="游ゴシック Medium"/>
        <family val="3"/>
        <charset val="128"/>
      </rPr>
      <t>井上信也</t>
    </r>
    <rPh sb="0" eb="2">
      <t>イノウエ</t>
    </rPh>
    <rPh sb="2" eb="4">
      <t>シンヤ</t>
    </rPh>
    <phoneticPr fontId="1"/>
  </si>
  <si>
    <r>
      <rPr>
        <sz val="11"/>
        <rFont val="游ゴシック Medium"/>
        <family val="3"/>
        <charset val="128"/>
      </rPr>
      <t>水の妖精</t>
    </r>
    <rPh sb="0" eb="1">
      <t>ミズ</t>
    </rPh>
    <rPh sb="2" eb="4">
      <t>ヨウセイ</t>
    </rPh>
    <phoneticPr fontId="1"/>
  </si>
  <si>
    <r>
      <rPr>
        <sz val="11"/>
        <rFont val="游ゴシック Medium"/>
        <family val="3"/>
        <charset val="128"/>
      </rPr>
      <t>伊吹哲也</t>
    </r>
    <rPh sb="0" eb="2">
      <t>イブキ</t>
    </rPh>
    <rPh sb="2" eb="4">
      <t>テツヤ</t>
    </rPh>
    <phoneticPr fontId="1"/>
  </si>
  <si>
    <r>
      <rPr>
        <sz val="11"/>
        <rFont val="游ゴシック Medium"/>
        <family val="3"/>
        <charset val="128"/>
      </rPr>
      <t>大田修司</t>
    </r>
    <rPh sb="0" eb="2">
      <t>オオタ</t>
    </rPh>
    <rPh sb="2" eb="4">
      <t>シュウジ</t>
    </rPh>
    <phoneticPr fontId="1"/>
  </si>
  <si>
    <r>
      <rPr>
        <u/>
        <sz val="11"/>
        <color indexed="12"/>
        <rFont val="游ゴシック Medium"/>
        <family val="3"/>
        <charset val="128"/>
      </rPr>
      <t>押川東一郎</t>
    </r>
    <rPh sb="0" eb="2">
      <t>オシカワ</t>
    </rPh>
    <rPh sb="2" eb="5">
      <t>トウイチロウ</t>
    </rPh>
    <phoneticPr fontId="1"/>
  </si>
  <si>
    <r>
      <rPr>
        <sz val="11"/>
        <rFont val="游ゴシック Medium"/>
        <family val="3"/>
        <charset val="128"/>
      </rPr>
      <t>げんちゃん</t>
    </r>
    <r>
      <rPr>
        <sz val="11"/>
        <rFont val="Consolas"/>
        <family val="3"/>
      </rPr>
      <t>/</t>
    </r>
    <r>
      <rPr>
        <sz val="11"/>
        <rFont val="游ゴシック Medium"/>
        <family val="3"/>
        <charset val="128"/>
      </rPr>
      <t>加藤ナオヒコ</t>
    </r>
    <rPh sb="6" eb="8">
      <t>カトウ</t>
    </rPh>
    <phoneticPr fontId="1"/>
  </si>
  <si>
    <r>
      <rPr>
        <sz val="11"/>
        <rFont val="游ゴシック Medium"/>
        <family val="3"/>
        <charset val="128"/>
      </rPr>
      <t>ササオカマサル</t>
    </r>
    <phoneticPr fontId="1"/>
  </si>
  <si>
    <r>
      <rPr>
        <sz val="11"/>
        <rFont val="游ゴシック Medium"/>
        <family val="3"/>
        <charset val="128"/>
      </rPr>
      <t>高橋博貴</t>
    </r>
    <rPh sb="0" eb="2">
      <t>タカハシ</t>
    </rPh>
    <rPh sb="2" eb="4">
      <t>ヒロキ</t>
    </rPh>
    <phoneticPr fontId="1"/>
  </si>
  <si>
    <r>
      <rPr>
        <sz val="11"/>
        <rFont val="游ゴシック Medium"/>
        <family val="3"/>
        <charset val="128"/>
      </rPr>
      <t>橋川明美</t>
    </r>
    <rPh sb="0" eb="2">
      <t>ハシカワ</t>
    </rPh>
    <rPh sb="2" eb="4">
      <t>アケミ</t>
    </rPh>
    <phoneticPr fontId="1"/>
  </si>
  <si>
    <r>
      <rPr>
        <sz val="11"/>
        <rFont val="游ゴシック Medium"/>
        <family val="3"/>
        <charset val="128"/>
      </rPr>
      <t>半沢紀雄</t>
    </r>
    <rPh sb="0" eb="2">
      <t>ハンザワ</t>
    </rPh>
    <rPh sb="2" eb="4">
      <t>ノリオ</t>
    </rPh>
    <phoneticPr fontId="1"/>
  </si>
  <si>
    <r>
      <rPr>
        <sz val="11"/>
        <rFont val="游ゴシック Medium"/>
        <family val="3"/>
        <charset val="128"/>
      </rPr>
      <t>宮坂季美江</t>
    </r>
    <rPh sb="0" eb="2">
      <t>ミヤサカ</t>
    </rPh>
    <rPh sb="2" eb="5">
      <t>キミエ</t>
    </rPh>
    <phoneticPr fontId="1"/>
  </si>
  <si>
    <r>
      <rPr>
        <sz val="11"/>
        <rFont val="游ゴシック Medium"/>
        <family val="3"/>
        <charset val="128"/>
      </rPr>
      <t>りっちー</t>
    </r>
    <r>
      <rPr>
        <sz val="11"/>
        <rFont val="Consolas"/>
        <family val="3"/>
      </rPr>
      <t>/</t>
    </r>
    <r>
      <rPr>
        <sz val="11"/>
        <rFont val="游ゴシック Medium"/>
        <family val="3"/>
        <charset val="128"/>
      </rPr>
      <t>中嶋秀和</t>
    </r>
    <rPh sb="5" eb="7">
      <t>ナカジマ</t>
    </rPh>
    <rPh sb="7" eb="9">
      <t>ヒデカズ</t>
    </rPh>
    <phoneticPr fontId="1"/>
  </si>
  <si>
    <r>
      <t>Violin</t>
    </r>
    <r>
      <rPr>
        <sz val="11"/>
        <rFont val="游ゴシック Medium"/>
        <family val="3"/>
        <charset val="128"/>
      </rPr>
      <t>協奏曲ニ長調</t>
    </r>
    <r>
      <rPr>
        <sz val="11"/>
        <rFont val="Consolas"/>
        <family val="3"/>
      </rPr>
      <t>op77</t>
    </r>
    <rPh sb="0" eb="9">
      <t>ヴァイオリンキョウソウキョク</t>
    </rPh>
    <rPh sb="10" eb="12">
      <t>チョウチョウ</t>
    </rPh>
    <phoneticPr fontId="1"/>
  </si>
  <si>
    <r>
      <rPr>
        <sz val="11"/>
        <rFont val="游ゴシック Medium"/>
        <family val="3"/>
        <charset val="128"/>
      </rPr>
      <t>交響曲第</t>
    </r>
    <r>
      <rPr>
        <sz val="11"/>
        <rFont val="Consolas"/>
        <family val="3"/>
      </rPr>
      <t>9</t>
    </r>
    <r>
      <rPr>
        <sz val="11"/>
        <rFont val="游ゴシック Medium"/>
        <family val="3"/>
        <charset val="128"/>
      </rPr>
      <t>番ニ短調</t>
    </r>
    <r>
      <rPr>
        <sz val="11"/>
        <rFont val="Consolas"/>
        <family val="3"/>
      </rPr>
      <t>:</t>
    </r>
    <r>
      <rPr>
        <sz val="11"/>
        <rFont val="游ゴシック Medium"/>
        <family val="3"/>
        <charset val="128"/>
      </rPr>
      <t>合唱付</t>
    </r>
    <r>
      <rPr>
        <sz val="11"/>
        <rFont val="Consolas"/>
        <family val="3"/>
      </rPr>
      <t>op125</t>
    </r>
    <rPh sb="0" eb="3">
      <t>コウキョウキョク</t>
    </rPh>
    <rPh sb="3" eb="4">
      <t>ダイ</t>
    </rPh>
    <rPh sb="5" eb="6">
      <t>バン</t>
    </rPh>
    <rPh sb="7" eb="9">
      <t>タンチョウ</t>
    </rPh>
    <rPh sb="10" eb="12">
      <t>ガッショウ</t>
    </rPh>
    <rPh sb="12" eb="13">
      <t>ツキ</t>
    </rPh>
    <phoneticPr fontId="1"/>
  </si>
  <si>
    <r>
      <t>Fugue</t>
    </r>
    <r>
      <rPr>
        <sz val="11"/>
        <rFont val="游ゴシック Medium"/>
        <family val="3"/>
        <charset val="128"/>
      </rPr>
      <t>の技法</t>
    </r>
    <r>
      <rPr>
        <sz val="11"/>
        <rFont val="Consolas"/>
        <family val="3"/>
      </rPr>
      <t>/Die Kunst der Fuge/BWV1080</t>
    </r>
    <rPh sb="0" eb="5">
      <t>フーガ</t>
    </rPh>
    <rPh sb="6" eb="8">
      <t>ギホウ</t>
    </rPh>
    <phoneticPr fontId="1"/>
  </si>
  <si>
    <r>
      <rPr>
        <sz val="11"/>
        <rFont val="游ゴシック Medium"/>
        <family val="3"/>
        <charset val="128"/>
      </rPr>
      <t>結婚行進曲</t>
    </r>
    <r>
      <rPr>
        <sz val="11"/>
        <rFont val="Consolas"/>
        <family val="3"/>
      </rPr>
      <t>:</t>
    </r>
    <r>
      <rPr>
        <sz val="11"/>
        <rFont val="游ゴシック Medium"/>
        <family val="3"/>
        <charset val="128"/>
      </rPr>
      <t>真夏の夜の夢より</t>
    </r>
    <r>
      <rPr>
        <sz val="11"/>
        <rFont val="Consolas"/>
        <family val="3"/>
      </rPr>
      <t>/Hochzeitsmarsch:Ein Sommernachtstraum</t>
    </r>
    <rPh sb="0" eb="5">
      <t>ケッコンコウシンキョク</t>
    </rPh>
    <rPh sb="6" eb="8">
      <t>マナツ</t>
    </rPh>
    <rPh sb="9" eb="10">
      <t>ヨ</t>
    </rPh>
    <rPh sb="11" eb="12">
      <t>ユメ</t>
    </rPh>
    <phoneticPr fontId="1"/>
  </si>
  <si>
    <r>
      <rPr>
        <sz val="11"/>
        <rFont val="游ゴシック Medium"/>
        <family val="3"/>
        <charset val="128"/>
      </rPr>
      <t>日本楽譜出版社</t>
    </r>
    <rPh sb="0" eb="2">
      <t>ニホン</t>
    </rPh>
    <rPh sb="2" eb="4">
      <t>ガクフ</t>
    </rPh>
    <rPh sb="4" eb="7">
      <t>シュッパンシャ</t>
    </rPh>
    <phoneticPr fontId="1"/>
  </si>
  <si>
    <r>
      <rPr>
        <sz val="11"/>
        <rFont val="游ゴシック Medium"/>
        <family val="3"/>
        <charset val="128"/>
      </rPr>
      <t>交響曲第</t>
    </r>
    <r>
      <rPr>
        <sz val="11"/>
        <rFont val="Consolas"/>
        <family val="3"/>
      </rPr>
      <t>6</t>
    </r>
    <r>
      <rPr>
        <sz val="11"/>
        <rFont val="游ゴシック Medium"/>
        <family val="3"/>
        <charset val="128"/>
      </rPr>
      <t>番</t>
    </r>
    <r>
      <rPr>
        <sz val="11"/>
        <rFont val="Consolas"/>
        <family val="3"/>
      </rPr>
      <t>(</t>
    </r>
    <r>
      <rPr>
        <sz val="11"/>
        <rFont val="游ゴシック Medium"/>
        <family val="3"/>
        <charset val="128"/>
      </rPr>
      <t>悲愴</t>
    </r>
    <r>
      <rPr>
        <sz val="11"/>
        <rFont val="Consolas"/>
        <family val="3"/>
      </rPr>
      <t>)Op74</t>
    </r>
    <rPh sb="0" eb="3">
      <t>コウキョウキョク</t>
    </rPh>
    <rPh sb="3" eb="4">
      <t>ダイ</t>
    </rPh>
    <rPh sb="5" eb="6">
      <t>バン</t>
    </rPh>
    <rPh sb="7" eb="9">
      <t>ヒソウ</t>
    </rPh>
    <phoneticPr fontId="1"/>
  </si>
  <si>
    <t>978-4-591-00529-3</t>
    <phoneticPr fontId="1"/>
  </si>
  <si>
    <t>1969/07/</t>
    <phoneticPr fontId="1"/>
  </si>
  <si>
    <t>0037-254678-0042</t>
    <phoneticPr fontId="1"/>
  </si>
  <si>
    <t>0037-254679-0042</t>
    <phoneticPr fontId="1"/>
  </si>
  <si>
    <t>978-4-471-10364-4</t>
    <phoneticPr fontId="1"/>
  </si>
  <si>
    <t>C8045</t>
    <phoneticPr fontId="1"/>
  </si>
  <si>
    <t>978-4-10-112126-0</t>
    <phoneticPr fontId="1"/>
  </si>
  <si>
    <t>978-4-10-118506-4</t>
    <phoneticPr fontId="1"/>
  </si>
  <si>
    <t>1962/</t>
    <phoneticPr fontId="1"/>
  </si>
  <si>
    <t>1967/</t>
    <phoneticPr fontId="1"/>
  </si>
  <si>
    <t>978-4-8340-8790-1</t>
    <phoneticPr fontId="1"/>
  </si>
  <si>
    <t>978-4-10-133852-1</t>
    <phoneticPr fontId="1"/>
  </si>
  <si>
    <t>2023/?</t>
    <phoneticPr fontId="1"/>
  </si>
  <si>
    <t>2009/07|2011/12/01</t>
    <phoneticPr fontId="1"/>
  </si>
  <si>
    <t>978-4-12-207414-9</t>
    <phoneticPr fontId="1"/>
  </si>
  <si>
    <t>2018/01/23-2020/02/10|2020/09|2023/09/25</t>
    <phoneticPr fontId="1"/>
  </si>
  <si>
    <t>2024/06/?</t>
    <phoneticPr fontId="1"/>
  </si>
  <si>
    <t>978-4-04-372604-2</t>
    <phoneticPr fontId="1"/>
  </si>
  <si>
    <t>2003/03/03|2006/02/25</t>
    <phoneticPr fontId="1"/>
  </si>
  <si>
    <t>978-4-575-51619-7</t>
    <phoneticPr fontId="1"/>
  </si>
  <si>
    <t>2011/04|2013/10/06</t>
    <phoneticPr fontId="1"/>
  </si>
  <si>
    <t>0093-812048-2726</t>
    <phoneticPr fontId="1"/>
  </si>
  <si>
    <t>1993/</t>
    <phoneticPr fontId="1"/>
  </si>
  <si>
    <t>1989/?</t>
    <phoneticPr fontId="1"/>
  </si>
  <si>
    <r>
      <t>de Chirico</t>
    </r>
    <r>
      <rPr>
        <sz val="11"/>
        <rFont val="游ゴシック Medium"/>
        <family val="3"/>
        <charset val="128"/>
      </rPr>
      <t>展</t>
    </r>
    <r>
      <rPr>
        <sz val="11"/>
        <rFont val="Consolas"/>
        <family val="3"/>
      </rPr>
      <t>/Giorgio de Chirico:Metaphysical Journey 2024</t>
    </r>
    <rPh sb="0" eb="10">
      <t>デ・キリコ</t>
    </rPh>
    <rPh sb="10" eb="11">
      <t>テン</t>
    </rPh>
    <rPh sb="12" eb="19">
      <t>ジョルジョ</t>
    </rPh>
    <rPh sb="20" eb="30">
      <t>デ・キリコ</t>
    </rPh>
    <phoneticPr fontId="1"/>
  </si>
  <si>
    <t>AJAC 50th</t>
  </si>
  <si>
    <t>HINOKI ANNUAL 2019 - 2020</t>
    <phoneticPr fontId="1"/>
  </si>
  <si>
    <r>
      <rPr>
        <sz val="11"/>
        <rFont val="游ゴシック Medium"/>
        <family val="3"/>
        <charset val="128"/>
      </rPr>
      <t>ギャラリー檜</t>
    </r>
    <rPh sb="5" eb="6">
      <t>ヒノキ</t>
    </rPh>
    <phoneticPr fontId="1"/>
  </si>
  <si>
    <t>HINOKI ANNUAL 2020 - 2021</t>
    <phoneticPr fontId="1"/>
  </si>
  <si>
    <t>HINOKI ANNUAL 2021 - 2022</t>
    <phoneticPr fontId="1"/>
  </si>
  <si>
    <t>HINOKI ANNUAL 2022 - 2023</t>
    <phoneticPr fontId="1"/>
  </si>
  <si>
    <t>PCD-1002</t>
    <phoneticPr fontId="1"/>
  </si>
  <si>
    <t>1977/03/</t>
    <phoneticPr fontId="1"/>
  </si>
  <si>
    <t>1980/03/</t>
    <phoneticPr fontId="1"/>
  </si>
  <si>
    <t>1978/10/</t>
    <phoneticPr fontId="1"/>
  </si>
  <si>
    <t>978-4-04-115290-4</t>
    <phoneticPr fontId="1"/>
  </si>
  <si>
    <r>
      <rPr>
        <sz val="11"/>
        <rFont val="游ゴシック Medium"/>
        <family val="3"/>
        <charset val="128"/>
      </rPr>
      <t>ケロロ軍曹</t>
    </r>
    <r>
      <rPr>
        <sz val="11"/>
        <rFont val="Consolas"/>
        <family val="3"/>
      </rPr>
      <t xml:space="preserve"> 34</t>
    </r>
    <rPh sb="3" eb="5">
      <t>グンソウ</t>
    </rPh>
    <phoneticPr fontId="1"/>
  </si>
  <si>
    <t>32+1</t>
    <phoneticPr fontId="1"/>
  </si>
  <si>
    <t>2024/</t>
    <phoneticPr fontId="1"/>
  </si>
  <si>
    <r>
      <rPr>
        <sz val="11"/>
        <rFont val="游ゴシック Medium"/>
        <family val="3"/>
        <charset val="128"/>
      </rPr>
      <t>超劇場版</t>
    </r>
    <r>
      <rPr>
        <sz val="11"/>
        <rFont val="Consolas"/>
        <family val="3"/>
      </rPr>
      <t xml:space="preserve"> </t>
    </r>
    <r>
      <rPr>
        <sz val="11"/>
        <rFont val="游ゴシック Medium"/>
        <family val="3"/>
        <charset val="128"/>
      </rPr>
      <t>ケロロ軍曹</t>
    </r>
    <r>
      <rPr>
        <sz val="11"/>
        <rFont val="Consolas"/>
        <family val="3"/>
      </rPr>
      <t xml:space="preserve"> 2 </t>
    </r>
    <r>
      <rPr>
        <sz val="11"/>
        <rFont val="游ゴシック Medium"/>
        <family val="3"/>
        <charset val="128"/>
      </rPr>
      <t>深海のプリンセス</t>
    </r>
    <r>
      <rPr>
        <sz val="11"/>
        <rFont val="Consolas"/>
        <family val="3"/>
      </rPr>
      <t xml:space="preserve"> </t>
    </r>
    <r>
      <rPr>
        <sz val="11"/>
        <rFont val="游ゴシック Medium"/>
        <family val="3"/>
        <charset val="128"/>
      </rPr>
      <t>であります</t>
    </r>
    <r>
      <rPr>
        <sz val="11"/>
        <rFont val="Consolas"/>
        <family val="3"/>
      </rPr>
      <t xml:space="preserve"> ! </t>
    </r>
    <r>
      <rPr>
        <sz val="11"/>
        <rFont val="游ゴシック Medium"/>
        <family val="3"/>
        <charset val="128"/>
      </rPr>
      <t>公式ガイドブック</t>
    </r>
    <r>
      <rPr>
        <sz val="11"/>
        <rFont val="Consolas"/>
        <family val="3"/>
      </rPr>
      <t xml:space="preserve"> </t>
    </r>
    <r>
      <rPr>
        <sz val="11"/>
        <rFont val="游ゴシック Medium"/>
        <family val="3"/>
        <charset val="128"/>
      </rPr>
      <t>ポストカード・セット、</t>
    </r>
    <r>
      <rPr>
        <sz val="11"/>
        <rFont val="Consolas"/>
        <family val="3"/>
      </rPr>
      <t xml:space="preserve">FILM BOOKMARK </t>
    </r>
    <r>
      <rPr>
        <sz val="11"/>
        <rFont val="游ゴシック Medium"/>
        <family val="3"/>
        <charset val="128"/>
      </rPr>
      <t>付</t>
    </r>
    <rPh sb="0" eb="4">
      <t>チョウゲキジョウバン</t>
    </rPh>
    <rPh sb="8" eb="10">
      <t>グンソウ</t>
    </rPh>
    <rPh sb="13" eb="15">
      <t>シンカイ</t>
    </rPh>
    <rPh sb="30" eb="32">
      <t>コウシキ</t>
    </rPh>
    <rPh sb="64" eb="65">
      <t>ツキ</t>
    </rPh>
    <phoneticPr fontId="1"/>
  </si>
  <si>
    <t>KABA-3201|NOT FOR SALE</t>
    <phoneticPr fontId="1"/>
  </si>
  <si>
    <t>978-2-84407-058-6</t>
  </si>
  <si>
    <t>978-2-211-09476-4</t>
  </si>
  <si>
    <t>Susanne Janssen</t>
  </si>
  <si>
    <t>Jacob et Wilhelm Grimm</t>
    <phoneticPr fontId="1"/>
  </si>
  <si>
    <t>Traduit de l'allemand par Susanne Janssen et Christian Bruel</t>
    <phoneticPr fontId="1"/>
  </si>
  <si>
    <t>Händel et Gretel</t>
  </si>
  <si>
    <t>Éditions Être</t>
    <phoneticPr fontId="1"/>
  </si>
  <si>
    <t>harmonia mundi - diffusion livres -</t>
    <phoneticPr fontId="1"/>
  </si>
  <si>
    <t>24,50 euro</t>
    <phoneticPr fontId="1"/>
  </si>
  <si>
    <t>CHANSONS DE FRANCE (POUR LES PETITS FRANÇAIS)</t>
    <phoneticPr fontId="1"/>
  </si>
  <si>
    <t>M.BOUTET DE MONVEL</t>
    <phoneticPr fontId="1"/>
  </si>
  <si>
    <t>J.B. Weckerlin</t>
    <phoneticPr fontId="1"/>
  </si>
  <si>
    <t>1980/04 | 2009/03</t>
    <phoneticPr fontId="1"/>
  </si>
  <si>
    <t>l'école des loisirs</t>
    <phoneticPr fontId="1"/>
  </si>
  <si>
    <t>14,50 euro</t>
    <phoneticPr fontId="1"/>
  </si>
  <si>
    <t>France/music</t>
    <rPh sb="0" eb="6">
      <t>フランス</t>
    </rPh>
    <phoneticPr fontId="1"/>
  </si>
  <si>
    <t>978-4-523-51057-4</t>
    <phoneticPr fontId="1"/>
  </si>
  <si>
    <r>
      <rPr>
        <sz val="10"/>
        <rFont val="游ゴシック Medium"/>
        <family val="3"/>
        <charset val="128"/>
      </rPr>
      <t>改訂新版</t>
    </r>
    <r>
      <rPr>
        <sz val="10"/>
        <rFont val="Consolas"/>
        <family val="3"/>
      </rPr>
      <t xml:space="preserve"> </t>
    </r>
    <r>
      <rPr>
        <sz val="10"/>
        <rFont val="游ゴシック Medium"/>
        <family val="3"/>
        <charset val="128"/>
      </rPr>
      <t>やさしい</t>
    </r>
    <r>
      <rPr>
        <sz val="10"/>
        <rFont val="Consolas"/>
        <family val="3"/>
      </rPr>
      <t xml:space="preserve"> </t>
    </r>
    <r>
      <rPr>
        <sz val="10"/>
        <rFont val="游ゴシック Medium"/>
        <family val="3"/>
        <charset val="128"/>
      </rPr>
      <t>初歩の</t>
    </r>
    <r>
      <rPr>
        <sz val="10"/>
        <rFont val="Consolas"/>
        <family val="3"/>
      </rPr>
      <t xml:space="preserve"> Indone'sie</t>
    </r>
    <r>
      <rPr>
        <sz val="10"/>
        <rFont val="游ゴシック Medium"/>
        <family val="3"/>
        <charset val="128"/>
      </rPr>
      <t>語</t>
    </r>
    <r>
      <rPr>
        <sz val="10"/>
        <rFont val="Consolas"/>
        <family val="3"/>
      </rPr>
      <t/>
    </r>
    <rPh sb="0" eb="4">
      <t>カイテイシンパン</t>
    </rPh>
    <rPh sb="10" eb="12">
      <t>ショホ</t>
    </rPh>
    <rPh sb="14" eb="24">
      <t>インドネシア</t>
    </rPh>
    <rPh sb="24" eb="25">
      <t>ゴ</t>
    </rPh>
    <phoneticPr fontId="1"/>
  </si>
  <si>
    <t>P-57 116174</t>
    <phoneticPr fontId="1"/>
  </si>
  <si>
    <t>2023/07/28 Fri</t>
    <phoneticPr fontId="1"/>
  </si>
  <si>
    <t>2025/02/22 Sat</t>
  </si>
  <si>
    <t>978-4-908468-71-1</t>
    <phoneticPr fontId="1"/>
  </si>
  <si>
    <t>2023/04/</t>
    <phoneticPr fontId="1"/>
  </si>
  <si>
    <r>
      <rPr>
        <sz val="11"/>
        <rFont val="游ゴシック Medium"/>
        <family val="3"/>
        <charset val="128"/>
      </rPr>
      <t>泉</t>
    </r>
    <r>
      <rPr>
        <sz val="11"/>
        <rFont val="Consolas"/>
        <family val="3"/>
      </rPr>
      <t xml:space="preserve"> </t>
    </r>
    <r>
      <rPr>
        <sz val="11"/>
        <rFont val="游ゴシック Medium"/>
        <family val="3"/>
        <charset val="128"/>
      </rPr>
      <t>翔</t>
    </r>
    <r>
      <rPr>
        <sz val="11"/>
        <rFont val="Consolas"/>
        <family val="3"/>
      </rPr>
      <t xml:space="preserve"> (</t>
    </r>
    <r>
      <rPr>
        <sz val="11"/>
        <rFont val="游ゴシック Medium"/>
        <family val="3"/>
        <charset val="128"/>
      </rPr>
      <t>二次元魚市場</t>
    </r>
    <r>
      <rPr>
        <sz val="11"/>
        <rFont val="Consolas"/>
        <family val="3"/>
      </rPr>
      <t xml:space="preserve"> </t>
    </r>
    <r>
      <rPr>
        <sz val="11"/>
        <rFont val="游ゴシック Medium"/>
        <family val="3"/>
        <charset val="128"/>
      </rPr>
      <t>瀞鮪</t>
    </r>
    <r>
      <rPr>
        <sz val="11"/>
        <rFont val="Consolas"/>
        <family val="3"/>
      </rPr>
      <t>)</t>
    </r>
    <rPh sb="0" eb="1">
      <t>イズミ　</t>
    </rPh>
    <rPh sb="2" eb="3">
      <t>ショウ</t>
    </rPh>
    <rPh sb="4" eb="5">
      <t>　</t>
    </rPh>
    <rPh sb="5" eb="11">
      <t>ニジゲンウオイチバ</t>
    </rPh>
    <rPh sb="12" eb="14">
      <t>トロマグロ</t>
    </rPh>
    <phoneticPr fontId="1"/>
  </si>
  <si>
    <t>978-4-902959-78-9</t>
    <phoneticPr fontId="1"/>
  </si>
  <si>
    <r>
      <rPr>
        <sz val="11"/>
        <rFont val="游ゴシック Medium"/>
        <family val="3"/>
        <charset val="128"/>
      </rPr>
      <t>経本</t>
    </r>
    <rPh sb="0" eb="2">
      <t>キョウホン</t>
    </rPh>
    <phoneticPr fontId="1"/>
  </si>
  <si>
    <r>
      <rPr>
        <sz val="11"/>
        <rFont val="游ゴシック Medium"/>
        <family val="3"/>
        <charset val="128"/>
      </rPr>
      <t>永田文昌堂編集部</t>
    </r>
    <rPh sb="0" eb="5">
      <t>ナガタブンショウドウ</t>
    </rPh>
    <rPh sb="5" eb="8">
      <t>ヘンシュウブ</t>
    </rPh>
    <phoneticPr fontId="1"/>
  </si>
  <si>
    <r>
      <rPr>
        <sz val="11"/>
        <rFont val="游ゴシック Medium"/>
        <family val="3"/>
        <charset val="128"/>
      </rPr>
      <t>曹洞宗</t>
    </r>
    <r>
      <rPr>
        <sz val="11"/>
        <rFont val="Consolas"/>
        <family val="3"/>
      </rPr>
      <t xml:space="preserve"> </t>
    </r>
    <r>
      <rPr>
        <sz val="11"/>
        <rFont val="游ゴシック Medium"/>
        <family val="3"/>
        <charset val="128"/>
      </rPr>
      <t>経典</t>
    </r>
    <rPh sb="0" eb="3">
      <t>ソウトウシュウ</t>
    </rPh>
    <rPh sb="4" eb="6">
      <t>キョウテン</t>
    </rPh>
    <phoneticPr fontId="1"/>
  </si>
  <si>
    <r>
      <rPr>
        <sz val="11"/>
        <rFont val="游ゴシック Medium"/>
        <family val="3"/>
        <charset val="128"/>
      </rPr>
      <t>実家から持ち出し</t>
    </r>
    <rPh sb="0" eb="2">
      <t>ジッカ</t>
    </rPh>
    <rPh sb="4" eb="5">
      <t>モ</t>
    </rPh>
    <rPh sb="6" eb="7">
      <t>ダ</t>
    </rPh>
    <phoneticPr fontId="1"/>
  </si>
  <si>
    <r>
      <rPr>
        <sz val="11"/>
        <rFont val="游ゴシック Medium"/>
        <family val="3"/>
        <charset val="128"/>
      </rPr>
      <t>正覚山</t>
    </r>
    <r>
      <rPr>
        <sz val="11"/>
        <rFont val="Consolas"/>
        <family val="3"/>
      </rPr>
      <t xml:space="preserve"> </t>
    </r>
    <r>
      <rPr>
        <sz val="11"/>
        <rFont val="游ゴシック Medium"/>
        <family val="3"/>
        <charset val="128"/>
      </rPr>
      <t>法禅寺</t>
    </r>
    <rPh sb="0" eb="3">
      <t>ショウガクザン</t>
    </rPh>
    <rPh sb="4" eb="7">
      <t>ホウゼンジ</t>
    </rPh>
    <phoneticPr fontId="1"/>
  </si>
  <si>
    <r>
      <rPr>
        <sz val="11"/>
        <rFont val="游ゴシック Medium"/>
        <family val="3"/>
        <charset val="128"/>
      </rPr>
      <t>臨済宗</t>
    </r>
    <r>
      <rPr>
        <sz val="11"/>
        <rFont val="Consolas"/>
        <family val="3"/>
      </rPr>
      <t xml:space="preserve"> </t>
    </r>
    <r>
      <rPr>
        <sz val="11"/>
        <rFont val="游ゴシック Medium"/>
        <family val="3"/>
        <charset val="128"/>
      </rPr>
      <t>聖典</t>
    </r>
    <rPh sb="0" eb="3">
      <t>リンザイシュウ</t>
    </rPh>
    <rPh sb="4" eb="6">
      <t>セイテン</t>
    </rPh>
    <phoneticPr fontId="1"/>
  </si>
  <si>
    <r>
      <rPr>
        <sz val="11"/>
        <rFont val="游ゴシック Medium"/>
        <family val="3"/>
        <charset val="128"/>
      </rPr>
      <t>臨済宗妙心寺派</t>
    </r>
    <r>
      <rPr>
        <sz val="11"/>
        <rFont val="Consolas"/>
        <family val="3"/>
      </rPr>
      <t xml:space="preserve"> </t>
    </r>
    <r>
      <rPr>
        <sz val="11"/>
        <rFont val="游ゴシック Medium"/>
        <family val="3"/>
        <charset val="128"/>
      </rPr>
      <t>静岡西教区</t>
    </r>
    <r>
      <rPr>
        <sz val="11"/>
        <rFont val="Consolas"/>
        <family val="3"/>
      </rPr>
      <t xml:space="preserve"> </t>
    </r>
    <r>
      <rPr>
        <sz val="11"/>
        <rFont val="游ゴシック Medium"/>
        <family val="3"/>
        <charset val="128"/>
      </rPr>
      <t>施本委員会</t>
    </r>
    <rPh sb="0" eb="7">
      <t>リンザイシュウミョウシンジハ</t>
    </rPh>
    <rPh sb="8" eb="10">
      <t>シズオカ</t>
    </rPh>
    <rPh sb="10" eb="11">
      <t>ニシ</t>
    </rPh>
    <rPh sb="11" eb="13">
      <t>キョウク</t>
    </rPh>
    <rPh sb="14" eb="16">
      <t>セホン</t>
    </rPh>
    <rPh sb="16" eb="19">
      <t>イインカイ</t>
    </rPh>
    <phoneticPr fontId="1"/>
  </si>
  <si>
    <r>
      <rPr>
        <sz val="11"/>
        <rFont val="游ゴシック Medium"/>
        <family val="3"/>
        <charset val="128"/>
      </rPr>
      <t>命</t>
    </r>
    <rPh sb="0" eb="1">
      <t>イノチ</t>
    </rPh>
    <phoneticPr fontId="1"/>
  </si>
  <si>
    <r>
      <rPr>
        <sz val="11"/>
        <rFont val="游ゴシック Medium"/>
        <family val="3"/>
        <charset val="128"/>
      </rPr>
      <t>発行</t>
    </r>
    <r>
      <rPr>
        <sz val="11"/>
        <rFont val="Consolas"/>
        <family val="3"/>
      </rPr>
      <t xml:space="preserve"> : </t>
    </r>
    <r>
      <rPr>
        <sz val="11"/>
        <rFont val="游ゴシック Medium"/>
        <family val="3"/>
        <charset val="128"/>
      </rPr>
      <t>「臨済宗</t>
    </r>
    <r>
      <rPr>
        <sz val="11"/>
        <rFont val="Consolas"/>
        <family val="3"/>
      </rPr>
      <t xml:space="preserve"> </t>
    </r>
    <r>
      <rPr>
        <sz val="11"/>
        <rFont val="游ゴシック Medium"/>
        <family val="3"/>
        <charset val="128"/>
      </rPr>
      <t>妙心寺派</t>
    </r>
    <r>
      <rPr>
        <sz val="11"/>
        <rFont val="Consolas"/>
        <family val="3"/>
      </rPr>
      <t xml:space="preserve"> </t>
    </r>
    <r>
      <rPr>
        <sz val="11"/>
        <rFont val="游ゴシック Medium"/>
        <family val="3"/>
        <charset val="128"/>
      </rPr>
      <t>静岡西教区</t>
    </r>
    <r>
      <rPr>
        <sz val="11"/>
        <rFont val="Consolas"/>
        <family val="3"/>
      </rPr>
      <t xml:space="preserve"> </t>
    </r>
    <r>
      <rPr>
        <sz val="11"/>
        <rFont val="游ゴシック Medium"/>
        <family val="3"/>
        <charset val="128"/>
      </rPr>
      <t>教化本部」</t>
    </r>
    <r>
      <rPr>
        <sz val="11"/>
        <rFont val="Consolas"/>
        <family val="3"/>
      </rPr>
      <t>|</t>
    </r>
    <r>
      <rPr>
        <sz val="11"/>
        <rFont val="游ゴシック Medium"/>
        <family val="3"/>
        <charset val="128"/>
      </rPr>
      <t>印刷</t>
    </r>
    <r>
      <rPr>
        <sz val="11"/>
        <rFont val="Consolas"/>
        <family val="3"/>
      </rPr>
      <t xml:space="preserve"> : </t>
    </r>
    <r>
      <rPr>
        <sz val="11"/>
        <rFont val="游ゴシック Medium"/>
        <family val="3"/>
        <charset val="128"/>
      </rPr>
      <t>松本印刷株式会社</t>
    </r>
    <rPh sb="0" eb="40">
      <t>ハッコウ　：　「リンザイシュウ　ミョウシンジハ　シズオカニシキョウク　キョウカホンブ」｜インサツ　：　マツモトインサツカブシキガイシャ</t>
    </rPh>
    <phoneticPr fontId="1"/>
  </si>
  <si>
    <r>
      <rPr>
        <sz val="11"/>
        <rFont val="游ゴシック Medium"/>
        <family val="3"/>
        <charset val="128"/>
      </rPr>
      <t>葬儀場から持ち出し</t>
    </r>
    <rPh sb="0" eb="3">
      <t>ソウギジョウ</t>
    </rPh>
    <rPh sb="5" eb="6">
      <t>モ</t>
    </rPh>
    <rPh sb="7" eb="8">
      <t>ダ</t>
    </rPh>
    <phoneticPr fontId="1"/>
  </si>
  <si>
    <r>
      <rPr>
        <sz val="11"/>
        <rFont val="游ゴシック Medium"/>
        <family val="3"/>
        <charset val="128"/>
      </rPr>
      <t>念仏</t>
    </r>
    <r>
      <rPr>
        <sz val="11"/>
        <rFont val="Consolas"/>
        <family val="3"/>
      </rPr>
      <t xml:space="preserve"> | </t>
    </r>
    <r>
      <rPr>
        <sz val="11"/>
        <rFont val="游ゴシック Medium"/>
        <family val="3"/>
        <charset val="128"/>
      </rPr>
      <t>念佛</t>
    </r>
    <phoneticPr fontId="1"/>
  </si>
  <si>
    <r>
      <rPr>
        <sz val="11"/>
        <rFont val="游ゴシック Medium"/>
        <family val="3"/>
        <charset val="128"/>
      </rPr>
      <t>オリジナル、カキコミ付き</t>
    </r>
    <rPh sb="10" eb="11">
      <t>ツ</t>
    </rPh>
    <phoneticPr fontId="1"/>
  </si>
  <si>
    <r>
      <rPr>
        <sz val="11"/>
        <rFont val="游ゴシック Medium"/>
        <family val="3"/>
        <charset val="128"/>
      </rPr>
      <t>経本</t>
    </r>
    <r>
      <rPr>
        <sz val="11"/>
        <rFont val="Consolas"/>
        <family val="3"/>
      </rPr>
      <t>|copy</t>
    </r>
    <r>
      <rPr>
        <sz val="11"/>
        <rFont val="游ゴシック Medium"/>
        <family val="3"/>
        <charset val="128"/>
      </rPr>
      <t>裏表</t>
    </r>
    <rPh sb="0" eb="2">
      <t>キョウホン</t>
    </rPh>
    <rPh sb="7" eb="9">
      <t>ウラオモテ</t>
    </rPh>
    <phoneticPr fontId="1"/>
  </si>
  <si>
    <r>
      <rPr>
        <sz val="11"/>
        <rFont val="游ゴシック Medium"/>
        <family val="3"/>
        <charset val="128"/>
      </rPr>
      <t>経本</t>
    </r>
    <r>
      <rPr>
        <sz val="11"/>
        <rFont val="Consolas"/>
        <family val="3"/>
      </rPr>
      <t>|copy</t>
    </r>
    <r>
      <rPr>
        <sz val="11"/>
        <rFont val="游ゴシック Medium"/>
        <family val="3"/>
        <charset val="128"/>
      </rPr>
      <t>配布用</t>
    </r>
    <rPh sb="0" eb="2">
      <t>キョウホン</t>
    </rPh>
    <rPh sb="7" eb="9">
      <t>ハイフ</t>
    </rPh>
    <rPh sb="9" eb="10">
      <t>ヨウ</t>
    </rPh>
    <phoneticPr fontId="1"/>
  </si>
  <si>
    <r>
      <rPr>
        <sz val="11"/>
        <rFont val="游ゴシック Medium"/>
        <family val="3"/>
        <charset val="128"/>
      </rPr>
      <t>実家から持ち出し</t>
    </r>
    <r>
      <rPr>
        <sz val="11"/>
        <rFont val="Consolas"/>
        <family val="3"/>
      </rPr>
      <t>|4</t>
    </r>
    <r>
      <rPr>
        <sz val="11"/>
        <rFont val="游ゴシック Medium"/>
        <family val="3"/>
        <charset val="128"/>
      </rPr>
      <t>枚のうち</t>
    </r>
    <r>
      <rPr>
        <sz val="11"/>
        <rFont val="Consolas"/>
        <family val="3"/>
      </rPr>
      <t>2</t>
    </r>
    <r>
      <rPr>
        <sz val="11"/>
        <rFont val="游ゴシック Medium"/>
        <family val="3"/>
        <charset val="128"/>
      </rPr>
      <t>枚は置いてきた</t>
    </r>
    <rPh sb="0" eb="2">
      <t>ジッカ</t>
    </rPh>
    <rPh sb="4" eb="5">
      <t>モ</t>
    </rPh>
    <rPh sb="6" eb="7">
      <t>ダ</t>
    </rPh>
    <rPh sb="10" eb="11">
      <t>マイ</t>
    </rPh>
    <rPh sb="15" eb="16">
      <t>マイ</t>
    </rPh>
    <rPh sb="17" eb="18">
      <t>オ</t>
    </rPh>
    <phoneticPr fontId="1"/>
  </si>
  <si>
    <r>
      <rPr>
        <sz val="11"/>
        <rFont val="游ゴシック Medium"/>
        <family val="3"/>
        <charset val="128"/>
      </rPr>
      <t>念仏</t>
    </r>
    <r>
      <rPr>
        <sz val="11"/>
        <rFont val="Consolas"/>
        <family val="3"/>
      </rPr>
      <t xml:space="preserve"> | </t>
    </r>
    <r>
      <rPr>
        <sz val="11"/>
        <rFont val="游ゴシック Medium"/>
        <family val="3"/>
        <charset val="128"/>
      </rPr>
      <t>念佛</t>
    </r>
  </si>
  <si>
    <r>
      <rPr>
        <sz val="11"/>
        <rFont val="游ゴシック Medium"/>
        <family val="3"/>
        <charset val="128"/>
      </rPr>
      <t>経本</t>
    </r>
    <r>
      <rPr>
        <sz val="11"/>
        <rFont val="Consolas"/>
        <family val="3"/>
      </rPr>
      <t>|copy</t>
    </r>
    <rPh sb="0" eb="2">
      <t>キョウホン</t>
    </rPh>
    <phoneticPr fontId="1"/>
  </si>
  <si>
    <r>
      <rPr>
        <sz val="11"/>
        <rFont val="游ゴシック Medium"/>
        <family val="3"/>
        <charset val="128"/>
      </rPr>
      <t>母の実家から持ち出し</t>
    </r>
    <rPh sb="0" eb="1">
      <t>ハハ</t>
    </rPh>
    <rPh sb="2" eb="4">
      <t>ジッカ</t>
    </rPh>
    <rPh sb="6" eb="7">
      <t>モ</t>
    </rPh>
    <rPh sb="8" eb="9">
      <t>ダ</t>
    </rPh>
    <phoneticPr fontId="1"/>
  </si>
  <si>
    <r>
      <rPr>
        <sz val="11"/>
        <rFont val="游ゴシック Medium"/>
        <family val="3"/>
        <charset val="128"/>
      </rPr>
      <t>念仏のおつとめ</t>
    </r>
    <phoneticPr fontId="1"/>
  </si>
  <si>
    <r>
      <t xml:space="preserve">1993 </t>
    </r>
    <r>
      <rPr>
        <sz val="11"/>
        <rFont val="游ゴシック Medium"/>
        <family val="3"/>
        <charset val="128"/>
      </rPr>
      <t>設立</t>
    </r>
    <r>
      <rPr>
        <sz val="11"/>
        <rFont val="Consolas"/>
        <family val="3"/>
      </rPr>
      <t xml:space="preserve">|2017 </t>
    </r>
    <r>
      <rPr>
        <sz val="11"/>
        <rFont val="游ゴシック Medium"/>
        <family val="3"/>
        <charset val="128"/>
      </rPr>
      <t>増刊</t>
    </r>
    <rPh sb="5" eb="7">
      <t>セツリツ</t>
    </rPh>
    <rPh sb="13" eb="15">
      <t>ゾウカン</t>
    </rPh>
    <phoneticPr fontId="1"/>
  </si>
  <si>
    <r>
      <rPr>
        <sz val="11"/>
        <rFont val="游ゴシック Medium"/>
        <family val="3"/>
        <charset val="128"/>
      </rPr>
      <t>玄猷寺</t>
    </r>
    <r>
      <rPr>
        <sz val="11"/>
        <rFont val="Consolas"/>
        <family val="3"/>
      </rPr>
      <t xml:space="preserve"> </t>
    </r>
    <r>
      <rPr>
        <sz val="11"/>
        <rFont val="游ゴシック Medium"/>
        <family val="3"/>
        <charset val="128"/>
      </rPr>
      <t>護持会</t>
    </r>
    <r>
      <rPr>
        <sz val="11"/>
        <rFont val="Consolas"/>
        <family val="3"/>
      </rPr>
      <t xml:space="preserve"> </t>
    </r>
    <r>
      <rPr>
        <sz val="11"/>
        <rFont val="游ゴシック Medium"/>
        <family val="3"/>
        <charset val="128"/>
      </rPr>
      <t>総代</t>
    </r>
    <r>
      <rPr>
        <sz val="11"/>
        <rFont val="Consolas"/>
        <family val="3"/>
      </rPr>
      <t xml:space="preserve"> </t>
    </r>
    <r>
      <rPr>
        <sz val="11"/>
        <rFont val="游ゴシック Medium"/>
        <family val="3"/>
        <charset val="128"/>
      </rPr>
      <t>加古一族</t>
    </r>
    <rPh sb="0" eb="3">
      <t>ゲンニュウジ</t>
    </rPh>
    <rPh sb="4" eb="7">
      <t>ゴジカイ</t>
    </rPh>
    <rPh sb="8" eb="10">
      <t>ソウダイ</t>
    </rPh>
    <rPh sb="11" eb="13">
      <t>カコ</t>
    </rPh>
    <rPh sb="13" eb="15">
      <t>イチゾク</t>
    </rPh>
    <phoneticPr fontId="1"/>
  </si>
  <si>
    <r>
      <rPr>
        <sz val="11"/>
        <rFont val="游ゴシック Medium"/>
        <family val="3"/>
        <charset val="128"/>
      </rPr>
      <t>玄猷寺</t>
    </r>
    <r>
      <rPr>
        <sz val="11"/>
        <rFont val="Consolas"/>
        <family val="3"/>
      </rPr>
      <t/>
    </r>
    <rPh sb="0" eb="3">
      <t>ゲンニュウジ</t>
    </rPh>
    <phoneticPr fontId="1"/>
  </si>
  <si>
    <r>
      <rPr>
        <sz val="11"/>
        <rFont val="游ゴシック Medium"/>
        <family val="3"/>
        <charset val="128"/>
      </rPr>
      <t>真言宗檀信徒勤行経典</t>
    </r>
    <r>
      <rPr>
        <sz val="11"/>
        <rFont val="Consolas"/>
        <family val="3"/>
      </rPr>
      <t xml:space="preserve"> </t>
    </r>
    <r>
      <rPr>
        <sz val="11"/>
        <rFont val="游ゴシック Medium"/>
        <family val="3"/>
        <charset val="128"/>
      </rPr>
      <t>理趣経</t>
    </r>
    <r>
      <rPr>
        <sz val="11"/>
        <rFont val="Consolas"/>
        <family val="3"/>
      </rPr>
      <t xml:space="preserve"> </t>
    </r>
    <r>
      <rPr>
        <sz val="11"/>
        <rFont val="游ゴシック Medium"/>
        <family val="3"/>
        <charset val="128"/>
      </rPr>
      <t>入り</t>
    </r>
    <rPh sb="0" eb="3">
      <t>シンゴンシュウ</t>
    </rPh>
    <rPh sb="3" eb="6">
      <t>ダンシント</t>
    </rPh>
    <rPh sb="6" eb="8">
      <t>ゴンギョウ</t>
    </rPh>
    <rPh sb="8" eb="10">
      <t>キョウテン</t>
    </rPh>
    <rPh sb="11" eb="14">
      <t>リシュキョウ</t>
    </rPh>
    <rPh sb="15" eb="16">
      <t>イ</t>
    </rPh>
    <phoneticPr fontId="1"/>
  </si>
  <si>
    <r>
      <rPr>
        <sz val="11"/>
        <rFont val="游ゴシック Medium"/>
        <family val="3"/>
        <charset val="128"/>
      </rPr>
      <t>日本佛教普及協会</t>
    </r>
    <r>
      <rPr>
        <sz val="11"/>
        <rFont val="Consolas"/>
        <family val="3"/>
      </rPr>
      <t>:</t>
    </r>
    <r>
      <rPr>
        <sz val="11"/>
        <rFont val="游ゴシック Medium"/>
        <family val="3"/>
        <charset val="128"/>
      </rPr>
      <t>発売元</t>
    </r>
    <r>
      <rPr>
        <sz val="11"/>
        <rFont val="Consolas"/>
        <family val="3"/>
      </rPr>
      <t>|</t>
    </r>
    <r>
      <rPr>
        <sz val="11"/>
        <rFont val="游ゴシック Medium"/>
        <family val="3"/>
        <charset val="128"/>
      </rPr>
      <t>高野山金剛峯寺教学部</t>
    </r>
    <r>
      <rPr>
        <sz val="11"/>
        <rFont val="Consolas"/>
        <family val="3"/>
      </rPr>
      <t>:</t>
    </r>
    <r>
      <rPr>
        <sz val="11"/>
        <rFont val="游ゴシック Medium"/>
        <family val="3"/>
        <charset val="128"/>
      </rPr>
      <t>校閲</t>
    </r>
    <r>
      <rPr>
        <sz val="11"/>
        <rFont val="Consolas"/>
        <family val="3"/>
      </rPr>
      <t>|</t>
    </r>
    <r>
      <rPr>
        <sz val="11"/>
        <rFont val="游ゴシック Medium"/>
        <family val="3"/>
        <charset val="128"/>
      </rPr>
      <t>垣本</t>
    </r>
    <r>
      <rPr>
        <sz val="11"/>
        <rFont val="Consolas"/>
        <family val="3"/>
      </rPr>
      <t xml:space="preserve"> </t>
    </r>
    <r>
      <rPr>
        <sz val="11"/>
        <rFont val="游ゴシック Medium"/>
        <family val="3"/>
        <charset val="128"/>
      </rPr>
      <t>剛一</t>
    </r>
    <r>
      <rPr>
        <sz val="11"/>
        <rFont val="Consolas"/>
        <family val="3"/>
      </rPr>
      <t>:</t>
    </r>
    <r>
      <rPr>
        <sz val="11"/>
        <rFont val="游ゴシック Medium"/>
        <family val="3"/>
        <charset val="128"/>
      </rPr>
      <t>発行者</t>
    </r>
    <r>
      <rPr>
        <sz val="11"/>
        <rFont val="Consolas"/>
        <family val="3"/>
      </rPr>
      <t>|</t>
    </r>
    <r>
      <rPr>
        <sz val="11"/>
        <rFont val="游ゴシック Medium"/>
        <family val="3"/>
        <charset val="128"/>
      </rPr>
      <t>岩本</t>
    </r>
    <r>
      <rPr>
        <sz val="11"/>
        <rFont val="Consolas"/>
        <family val="3"/>
      </rPr>
      <t xml:space="preserve"> </t>
    </r>
    <r>
      <rPr>
        <sz val="11"/>
        <rFont val="游ゴシック Medium"/>
        <family val="3"/>
        <charset val="128"/>
      </rPr>
      <t>為雄</t>
    </r>
    <r>
      <rPr>
        <sz val="11"/>
        <rFont val="Consolas"/>
        <family val="3"/>
      </rPr>
      <t>:</t>
    </r>
    <r>
      <rPr>
        <sz val="11"/>
        <rFont val="游ゴシック Medium"/>
        <family val="3"/>
        <charset val="128"/>
      </rPr>
      <t>「般若心経について」解説</t>
    </r>
    <rPh sb="0" eb="2">
      <t>ニホン</t>
    </rPh>
    <rPh sb="2" eb="4">
      <t>ブッキョウ</t>
    </rPh>
    <rPh sb="4" eb="8">
      <t>フキュウキョウカイ</t>
    </rPh>
    <rPh sb="9" eb="12">
      <t>ハツバイモト</t>
    </rPh>
    <rPh sb="13" eb="16">
      <t>コウヤサン</t>
    </rPh>
    <rPh sb="16" eb="20">
      <t>コンゴウブジ</t>
    </rPh>
    <rPh sb="20" eb="21">
      <t>キョウ</t>
    </rPh>
    <rPh sb="21" eb="23">
      <t>ガクブ</t>
    </rPh>
    <rPh sb="24" eb="26">
      <t>コウエツ</t>
    </rPh>
    <rPh sb="27" eb="29">
      <t>カキモト</t>
    </rPh>
    <rPh sb="30" eb="32">
      <t>ゴウイチ</t>
    </rPh>
    <rPh sb="33" eb="36">
      <t>ハッコウシャ</t>
    </rPh>
    <rPh sb="37" eb="39">
      <t>イワモト</t>
    </rPh>
    <rPh sb="40" eb="42">
      <t>タメオ</t>
    </rPh>
    <rPh sb="44" eb="48">
      <t>ハンニャシンギョウ</t>
    </rPh>
    <rPh sb="53" eb="55">
      <t>カイセツ</t>
    </rPh>
    <phoneticPr fontId="1"/>
  </si>
  <si>
    <r>
      <rPr>
        <sz val="11"/>
        <rFont val="游ゴシック Medium"/>
        <family val="3"/>
        <charset val="128"/>
      </rPr>
      <t>浅間山</t>
    </r>
    <r>
      <rPr>
        <sz val="11"/>
        <rFont val="Consolas"/>
        <family val="3"/>
      </rPr>
      <t xml:space="preserve"> </t>
    </r>
    <r>
      <rPr>
        <sz val="11"/>
        <rFont val="游ゴシック Medium"/>
        <family val="3"/>
        <charset val="128"/>
      </rPr>
      <t>慈恵院</t>
    </r>
    <rPh sb="0" eb="3">
      <t>アサマヤマ</t>
    </rPh>
    <rPh sb="4" eb="7">
      <t>ジケイイン</t>
    </rPh>
    <phoneticPr fontId="1"/>
  </si>
  <si>
    <r>
      <rPr>
        <sz val="11"/>
        <rFont val="游ゴシック Medium"/>
        <family val="3"/>
        <charset val="128"/>
      </rPr>
      <t>みかぐらうた</t>
    </r>
    <r>
      <rPr>
        <sz val="11"/>
        <rFont val="Consolas"/>
        <family val="3"/>
      </rPr>
      <t xml:space="preserve"> (</t>
    </r>
    <r>
      <rPr>
        <sz val="11"/>
        <rFont val="游ゴシック Medium"/>
        <family val="3"/>
        <charset val="128"/>
      </rPr>
      <t>付</t>
    </r>
    <r>
      <rPr>
        <sz val="11"/>
        <rFont val="Consolas"/>
        <family val="3"/>
      </rPr>
      <t xml:space="preserve"> </t>
    </r>
    <r>
      <rPr>
        <sz val="11"/>
        <rFont val="游ゴシック Medium"/>
        <family val="3"/>
        <charset val="128"/>
      </rPr>
      <t>お誓いの言葉</t>
    </r>
    <r>
      <rPr>
        <sz val="11"/>
        <rFont val="Consolas"/>
        <family val="3"/>
      </rPr>
      <t xml:space="preserve">) </t>
    </r>
    <r>
      <rPr>
        <sz val="11"/>
        <rFont val="游ゴシック Medium"/>
        <family val="3"/>
        <charset val="128"/>
      </rPr>
      <t>現代小</t>
    </r>
    <rPh sb="8" eb="9">
      <t>ツキ</t>
    </rPh>
    <rPh sb="11" eb="12">
      <t>チカ</t>
    </rPh>
    <rPh sb="14" eb="16">
      <t>コトバ</t>
    </rPh>
    <rPh sb="18" eb="20">
      <t>ゲンダイ</t>
    </rPh>
    <rPh sb="20" eb="21">
      <t>ショウ</t>
    </rPh>
    <phoneticPr fontId="1"/>
  </si>
  <si>
    <r>
      <t>1970/04/01 (</t>
    </r>
    <r>
      <rPr>
        <sz val="11"/>
        <rFont val="游ゴシック Medium"/>
        <family val="3"/>
        <charset val="128"/>
      </rPr>
      <t>立教</t>
    </r>
    <r>
      <rPr>
        <sz val="11"/>
        <rFont val="Consolas"/>
        <family val="3"/>
      </rPr>
      <t>133</t>
    </r>
    <r>
      <rPr>
        <sz val="11"/>
        <rFont val="游ゴシック Medium"/>
        <family val="3"/>
        <charset val="128"/>
      </rPr>
      <t>年</t>
    </r>
    <r>
      <rPr>
        <sz val="11"/>
        <rFont val="Consolas"/>
        <family val="3"/>
      </rPr>
      <t>)</t>
    </r>
    <phoneticPr fontId="1"/>
  </si>
  <si>
    <r>
      <rPr>
        <sz val="11"/>
        <rFont val="游ゴシック Medium"/>
        <family val="3"/>
        <charset val="128"/>
      </rPr>
      <t>天理教道友社</t>
    </r>
    <rPh sb="0" eb="6">
      <t>テンリキョウドウユウシャ</t>
    </rPh>
    <phoneticPr fontId="1"/>
  </si>
  <si>
    <r>
      <rPr>
        <sz val="11"/>
        <rFont val="游ゴシック Medium"/>
        <family val="3"/>
        <charset val="128"/>
      </rPr>
      <t>天理教道友社</t>
    </r>
    <r>
      <rPr>
        <sz val="11"/>
        <rFont val="Consolas"/>
        <family val="3"/>
      </rPr>
      <t xml:space="preserve"> </t>
    </r>
    <r>
      <rPr>
        <sz val="11"/>
        <rFont val="游ゴシック Medium"/>
        <family val="3"/>
        <charset val="128"/>
      </rPr>
      <t>三島店</t>
    </r>
    <rPh sb="0" eb="6">
      <t>テンリキョウドウユウシャ</t>
    </rPh>
    <rPh sb="7" eb="10">
      <t>ミシマテン</t>
    </rPh>
    <phoneticPr fontId="1"/>
  </si>
  <si>
    <r>
      <rPr>
        <sz val="11"/>
        <rFont val="游ゴシック Medium"/>
        <family val="3"/>
        <charset val="128"/>
      </rPr>
      <t>おふでさき</t>
    </r>
    <r>
      <rPr>
        <sz val="11"/>
        <rFont val="Consolas"/>
        <family val="3"/>
      </rPr>
      <t xml:space="preserve"> </t>
    </r>
    <r>
      <rPr>
        <sz val="11"/>
        <rFont val="游ゴシック Medium"/>
        <family val="3"/>
        <charset val="128"/>
      </rPr>
      <t>白小</t>
    </r>
    <rPh sb="6" eb="7">
      <t>シロ</t>
    </rPh>
    <rPh sb="7" eb="8">
      <t>ショウ</t>
    </rPh>
    <phoneticPr fontId="1"/>
  </si>
  <si>
    <r>
      <t>1952/04/18 (</t>
    </r>
    <r>
      <rPr>
        <sz val="11"/>
        <rFont val="游ゴシック Medium"/>
        <family val="3"/>
        <charset val="128"/>
      </rPr>
      <t>立教</t>
    </r>
    <r>
      <rPr>
        <sz val="11"/>
        <rFont val="Consolas"/>
        <family val="3"/>
      </rPr>
      <t>115</t>
    </r>
    <r>
      <rPr>
        <sz val="11"/>
        <rFont val="游ゴシック Medium"/>
        <family val="3"/>
        <charset val="128"/>
      </rPr>
      <t>年</t>
    </r>
    <r>
      <rPr>
        <sz val="11"/>
        <rFont val="Consolas"/>
        <family val="3"/>
      </rPr>
      <t>)</t>
    </r>
    <phoneticPr fontId="1"/>
  </si>
  <si>
    <r>
      <rPr>
        <sz val="11"/>
        <rFont val="游ゴシック Medium"/>
        <family val="3"/>
        <charset val="128"/>
      </rPr>
      <t>天理教教会本部</t>
    </r>
    <r>
      <rPr>
        <sz val="11"/>
        <rFont val="Consolas"/>
        <family val="3"/>
      </rPr>
      <t>:</t>
    </r>
    <r>
      <rPr>
        <sz val="11"/>
        <rFont val="游ゴシック Medium"/>
        <family val="3"/>
        <charset val="128"/>
      </rPr>
      <t>編纂兼発行所</t>
    </r>
    <r>
      <rPr>
        <sz val="11"/>
        <rFont val="Consolas"/>
        <family val="3"/>
      </rPr>
      <t>|</t>
    </r>
    <r>
      <rPr>
        <sz val="11"/>
        <rFont val="游ゴシック Medium"/>
        <family val="3"/>
        <charset val="128"/>
      </rPr>
      <t>天理時報社</t>
    </r>
    <r>
      <rPr>
        <sz val="11"/>
        <rFont val="Consolas"/>
        <family val="3"/>
      </rPr>
      <t>:</t>
    </r>
    <r>
      <rPr>
        <sz val="11"/>
        <rFont val="游ゴシック Medium"/>
        <family val="3"/>
        <charset val="128"/>
      </rPr>
      <t>印刷所</t>
    </r>
    <rPh sb="0" eb="2">
      <t>テンリ</t>
    </rPh>
    <rPh sb="2" eb="3">
      <t>キョウ</t>
    </rPh>
    <rPh sb="3" eb="5">
      <t>キョウカイ</t>
    </rPh>
    <rPh sb="5" eb="7">
      <t>ホンブ</t>
    </rPh>
    <rPh sb="8" eb="10">
      <t>ヘンサン</t>
    </rPh>
    <rPh sb="10" eb="11">
      <t>ケン</t>
    </rPh>
    <rPh sb="11" eb="13">
      <t>ハッコウ</t>
    </rPh>
    <rPh sb="13" eb="14">
      <t>ジョ</t>
    </rPh>
    <rPh sb="15" eb="17">
      <t>テンリ</t>
    </rPh>
    <rPh sb="17" eb="19">
      <t>ジホウ</t>
    </rPh>
    <rPh sb="19" eb="20">
      <t>シャ</t>
    </rPh>
    <rPh sb="21" eb="23">
      <t>インサツ</t>
    </rPh>
    <rPh sb="23" eb="24">
      <t>ジョ</t>
    </rPh>
    <phoneticPr fontId="1"/>
  </si>
  <si>
    <r>
      <rPr>
        <sz val="11"/>
        <rFont val="游ゴシック Medium"/>
        <family val="3"/>
        <charset val="128"/>
      </rPr>
      <t>信者の栞</t>
    </r>
    <rPh sb="0" eb="2">
      <t>シンジャ</t>
    </rPh>
    <rPh sb="3" eb="4">
      <t>シオリ</t>
    </rPh>
    <phoneticPr fontId="1"/>
  </si>
  <si>
    <r>
      <t>1946/04/18 (</t>
    </r>
    <r>
      <rPr>
        <sz val="11"/>
        <rFont val="游ゴシック Medium"/>
        <family val="3"/>
        <charset val="128"/>
      </rPr>
      <t>立教</t>
    </r>
    <r>
      <rPr>
        <sz val="11"/>
        <rFont val="Consolas"/>
        <family val="3"/>
      </rPr>
      <t>109</t>
    </r>
    <r>
      <rPr>
        <sz val="11"/>
        <rFont val="游ゴシック Medium"/>
        <family val="3"/>
        <charset val="128"/>
      </rPr>
      <t>年</t>
    </r>
    <r>
      <rPr>
        <sz val="11"/>
        <rFont val="Consolas"/>
        <family val="3"/>
      </rPr>
      <t>)</t>
    </r>
    <phoneticPr fontId="1"/>
  </si>
  <si>
    <r>
      <rPr>
        <sz val="11"/>
        <rFont val="游ゴシック Medium"/>
        <family val="3"/>
        <charset val="128"/>
      </rPr>
      <t>天理教教義</t>
    </r>
    <r>
      <rPr>
        <sz val="11"/>
        <rFont val="Consolas"/>
        <family val="3"/>
      </rPr>
      <t xml:space="preserve"> </t>
    </r>
    <r>
      <rPr>
        <sz val="11"/>
        <rFont val="游ゴシック Medium"/>
        <family val="3"/>
        <charset val="128"/>
      </rPr>
      <t>及</t>
    </r>
    <r>
      <rPr>
        <sz val="11"/>
        <rFont val="Consolas"/>
        <family val="3"/>
      </rPr>
      <t xml:space="preserve"> </t>
    </r>
    <r>
      <rPr>
        <sz val="11"/>
        <rFont val="游ゴシック Medium"/>
        <family val="3"/>
        <charset val="128"/>
      </rPr>
      <t>資料集成部</t>
    </r>
    <r>
      <rPr>
        <sz val="11"/>
        <rFont val="Consolas"/>
        <family val="3"/>
      </rPr>
      <t>:</t>
    </r>
    <r>
      <rPr>
        <sz val="11"/>
        <rFont val="游ゴシック Medium"/>
        <family val="3"/>
        <charset val="128"/>
      </rPr>
      <t>編纂</t>
    </r>
    <r>
      <rPr>
        <sz val="11"/>
        <rFont val="Consolas"/>
        <family val="3"/>
      </rPr>
      <t>|</t>
    </r>
    <r>
      <rPr>
        <sz val="11"/>
        <rFont val="游ゴシック Medium"/>
        <family val="3"/>
        <charset val="128"/>
      </rPr>
      <t>天理教道友社</t>
    </r>
    <r>
      <rPr>
        <sz val="11"/>
        <rFont val="Consolas"/>
        <family val="3"/>
      </rPr>
      <t>:</t>
    </r>
    <r>
      <rPr>
        <sz val="11"/>
        <rFont val="游ゴシック Medium"/>
        <family val="3"/>
        <charset val="128"/>
      </rPr>
      <t>発行所</t>
    </r>
    <r>
      <rPr>
        <sz val="11"/>
        <rFont val="Consolas"/>
        <family val="3"/>
      </rPr>
      <t>|</t>
    </r>
    <r>
      <rPr>
        <sz val="11"/>
        <rFont val="游ゴシック Medium"/>
        <family val="3"/>
        <charset val="128"/>
      </rPr>
      <t>天理時報社</t>
    </r>
    <r>
      <rPr>
        <sz val="11"/>
        <rFont val="Consolas"/>
        <family val="3"/>
      </rPr>
      <t>:</t>
    </r>
    <r>
      <rPr>
        <sz val="11"/>
        <rFont val="游ゴシック Medium"/>
        <family val="3"/>
        <charset val="128"/>
      </rPr>
      <t>印刷所</t>
    </r>
    <rPh sb="0" eb="2">
      <t>テンリ</t>
    </rPh>
    <rPh sb="2" eb="3">
      <t>キョウ</t>
    </rPh>
    <rPh sb="3" eb="5">
      <t>キョウギ</t>
    </rPh>
    <rPh sb="6" eb="7">
      <t>キュウ</t>
    </rPh>
    <rPh sb="8" eb="10">
      <t>シリョウ</t>
    </rPh>
    <rPh sb="10" eb="12">
      <t>シュウセイ</t>
    </rPh>
    <rPh sb="12" eb="13">
      <t>ブ</t>
    </rPh>
    <rPh sb="14" eb="16">
      <t>ヘンサン</t>
    </rPh>
    <rPh sb="17" eb="23">
      <t>テンリキョウドウユウシャ</t>
    </rPh>
    <rPh sb="24" eb="26">
      <t>ハッコウ</t>
    </rPh>
    <rPh sb="26" eb="27">
      <t>ジョ</t>
    </rPh>
    <rPh sb="28" eb="30">
      <t>テンリ</t>
    </rPh>
    <rPh sb="30" eb="32">
      <t>ジホウ</t>
    </rPh>
    <rPh sb="32" eb="33">
      <t>シャ</t>
    </rPh>
    <rPh sb="34" eb="36">
      <t>インサツ</t>
    </rPh>
    <rPh sb="36" eb="37">
      <t>ジョ</t>
    </rPh>
    <phoneticPr fontId="1"/>
  </si>
  <si>
    <r>
      <rPr>
        <sz val="11"/>
        <rFont val="游ゴシック Medium"/>
        <family val="3"/>
        <charset val="128"/>
      </rPr>
      <t>中山</t>
    </r>
    <r>
      <rPr>
        <sz val="11"/>
        <rFont val="Consolas"/>
        <family val="3"/>
      </rPr>
      <t xml:space="preserve"> </t>
    </r>
    <r>
      <rPr>
        <sz val="11"/>
        <rFont val="游ゴシック Medium"/>
        <family val="3"/>
        <charset val="128"/>
      </rPr>
      <t>正善</t>
    </r>
    <rPh sb="0" eb="2">
      <t>ナカヤマ</t>
    </rPh>
    <rPh sb="3" eb="5">
      <t>ショウゼン</t>
    </rPh>
    <phoneticPr fontId="1"/>
  </si>
  <si>
    <r>
      <rPr>
        <sz val="11"/>
        <rFont val="游ゴシック Medium"/>
        <family val="3"/>
        <charset val="128"/>
      </rPr>
      <t>真柱</t>
    </r>
    <rPh sb="0" eb="2">
      <t>シンチュウ</t>
    </rPh>
    <phoneticPr fontId="1"/>
  </si>
  <si>
    <r>
      <rPr>
        <sz val="11"/>
        <rFont val="游ゴシック Medium"/>
        <family val="3"/>
        <charset val="128"/>
      </rPr>
      <t>天理教教典</t>
    </r>
    <rPh sb="0" eb="5">
      <t>テンリキョウキョウテン</t>
    </rPh>
    <phoneticPr fontId="1"/>
  </si>
  <si>
    <r>
      <t>1949/10/26 (</t>
    </r>
    <r>
      <rPr>
        <sz val="11"/>
        <rFont val="游ゴシック Medium"/>
        <family val="3"/>
        <charset val="128"/>
      </rPr>
      <t>立教</t>
    </r>
    <r>
      <rPr>
        <sz val="11"/>
        <rFont val="Consolas"/>
        <family val="3"/>
      </rPr>
      <t>112</t>
    </r>
    <r>
      <rPr>
        <sz val="11"/>
        <rFont val="游ゴシック Medium"/>
        <family val="3"/>
        <charset val="128"/>
      </rPr>
      <t>年</t>
    </r>
    <r>
      <rPr>
        <sz val="11"/>
        <rFont val="Consolas"/>
        <family val="3"/>
      </rPr>
      <t>)</t>
    </r>
    <phoneticPr fontId="1"/>
  </si>
  <si>
    <r>
      <rPr>
        <sz val="11"/>
        <rFont val="游ゴシック Medium"/>
        <family val="3"/>
        <charset val="128"/>
      </rPr>
      <t>天理教教会本部</t>
    </r>
    <r>
      <rPr>
        <sz val="11"/>
        <rFont val="Consolas"/>
        <family val="3"/>
      </rPr>
      <t>:</t>
    </r>
    <r>
      <rPr>
        <sz val="11"/>
        <rFont val="游ゴシック Medium"/>
        <family val="3"/>
        <charset val="128"/>
      </rPr>
      <t>編纂</t>
    </r>
    <r>
      <rPr>
        <sz val="11"/>
        <rFont val="Consolas"/>
        <family val="3"/>
      </rPr>
      <t>|</t>
    </r>
    <r>
      <rPr>
        <sz val="11"/>
        <rFont val="游ゴシック Medium"/>
        <family val="3"/>
        <charset val="128"/>
      </rPr>
      <t>天理教道友社</t>
    </r>
    <r>
      <rPr>
        <sz val="11"/>
        <rFont val="Consolas"/>
        <family val="3"/>
      </rPr>
      <t>:</t>
    </r>
    <r>
      <rPr>
        <sz val="11"/>
        <rFont val="游ゴシック Medium"/>
        <family val="3"/>
        <charset val="128"/>
      </rPr>
      <t>発行所</t>
    </r>
    <r>
      <rPr>
        <sz val="11"/>
        <rFont val="Consolas"/>
        <family val="3"/>
      </rPr>
      <t>|</t>
    </r>
    <r>
      <rPr>
        <sz val="11"/>
        <rFont val="游ゴシック Medium"/>
        <family val="3"/>
        <charset val="128"/>
      </rPr>
      <t>天理時報社</t>
    </r>
    <r>
      <rPr>
        <sz val="11"/>
        <rFont val="Consolas"/>
        <family val="3"/>
      </rPr>
      <t>:</t>
    </r>
    <r>
      <rPr>
        <sz val="11"/>
        <rFont val="游ゴシック Medium"/>
        <family val="3"/>
        <charset val="128"/>
      </rPr>
      <t>印刷所</t>
    </r>
    <rPh sb="0" eb="2">
      <t>テンリ</t>
    </rPh>
    <rPh sb="2" eb="3">
      <t>キョウ</t>
    </rPh>
    <rPh sb="3" eb="5">
      <t>キョウカイ</t>
    </rPh>
    <rPh sb="5" eb="7">
      <t>ホンブ</t>
    </rPh>
    <rPh sb="8" eb="10">
      <t>ヘンサン</t>
    </rPh>
    <rPh sb="11" eb="17">
      <t>テンリキョウドウユウシャ</t>
    </rPh>
    <rPh sb="18" eb="20">
      <t>ハッコウ</t>
    </rPh>
    <rPh sb="20" eb="21">
      <t>ジョ</t>
    </rPh>
    <rPh sb="22" eb="24">
      <t>テンリ</t>
    </rPh>
    <rPh sb="24" eb="26">
      <t>ジホウ</t>
    </rPh>
    <rPh sb="26" eb="27">
      <t>シャ</t>
    </rPh>
    <rPh sb="28" eb="30">
      <t>インサツ</t>
    </rPh>
    <rPh sb="30" eb="31">
      <t>ジョ</t>
    </rPh>
    <phoneticPr fontId="1"/>
  </si>
  <si>
    <r>
      <rPr>
        <sz val="11"/>
        <rFont val="游ゴシック Medium"/>
        <family val="3"/>
        <charset val="128"/>
      </rPr>
      <t>経本</t>
    </r>
    <r>
      <rPr>
        <sz val="11"/>
        <rFont val="Consolas"/>
        <family val="3"/>
      </rPr>
      <t>CD</t>
    </r>
    <rPh sb="0" eb="2">
      <t>キョウホン</t>
    </rPh>
    <phoneticPr fontId="1"/>
  </si>
  <si>
    <r>
      <rPr>
        <sz val="11"/>
        <rFont val="游ゴシック Medium"/>
        <family val="3"/>
        <charset val="128"/>
      </rPr>
      <t>團</t>
    </r>
    <r>
      <rPr>
        <sz val="11"/>
        <rFont val="Consolas"/>
        <family val="3"/>
      </rPr>
      <t xml:space="preserve"> </t>
    </r>
    <r>
      <rPr>
        <sz val="11"/>
        <rFont val="游ゴシック Medium"/>
        <family val="3"/>
        <charset val="128"/>
      </rPr>
      <t>伊玖磨</t>
    </r>
    <rPh sb="0" eb="1">
      <t>ダン</t>
    </rPh>
    <rPh sb="2" eb="5">
      <t>イクマ</t>
    </rPh>
    <phoneticPr fontId="1"/>
  </si>
  <si>
    <r>
      <rPr>
        <sz val="11"/>
        <rFont val="游ゴシック Medium"/>
        <family val="3"/>
        <charset val="128"/>
      </rPr>
      <t>作曲</t>
    </r>
    <rPh sb="0" eb="2">
      <t>サッキョク</t>
    </rPh>
    <phoneticPr fontId="1"/>
  </si>
  <si>
    <r>
      <rPr>
        <sz val="11"/>
        <rFont val="游ゴシック Medium"/>
        <family val="3"/>
        <charset val="128"/>
      </rPr>
      <t>交声曲</t>
    </r>
    <r>
      <rPr>
        <sz val="11"/>
        <rFont val="Consolas"/>
        <family val="3"/>
      </rPr>
      <t xml:space="preserve"> </t>
    </r>
    <r>
      <rPr>
        <sz val="11"/>
        <rFont val="游ゴシック Medium"/>
        <family val="3"/>
        <charset val="128"/>
      </rPr>
      <t>元の理</t>
    </r>
    <r>
      <rPr>
        <sz val="11"/>
        <rFont val="Consolas"/>
        <family val="3"/>
      </rPr>
      <t>(</t>
    </r>
    <r>
      <rPr>
        <sz val="11"/>
        <rFont val="游ゴシック Medium"/>
        <family val="3"/>
        <charset val="128"/>
      </rPr>
      <t>おうた</t>
    </r>
    <r>
      <rPr>
        <sz val="11"/>
        <rFont val="Consolas"/>
        <family val="3"/>
      </rPr>
      <t xml:space="preserve"> 9)|</t>
    </r>
    <r>
      <rPr>
        <sz val="11"/>
        <rFont val="游ゴシック Medium"/>
        <family val="3"/>
        <charset val="128"/>
      </rPr>
      <t>心つくしたものだね</t>
    </r>
    <r>
      <rPr>
        <sz val="11"/>
        <rFont val="Consolas"/>
        <family val="3"/>
      </rPr>
      <t>(</t>
    </r>
    <r>
      <rPr>
        <sz val="11"/>
        <rFont val="游ゴシック Medium"/>
        <family val="3"/>
        <charset val="128"/>
      </rPr>
      <t>おうた</t>
    </r>
    <r>
      <rPr>
        <sz val="11"/>
        <rFont val="Consolas"/>
        <family val="3"/>
      </rPr>
      <t xml:space="preserve"> 7)|cantata [the Truth of the Creation]|[the Seeds of Single-Hearted Devotion]</t>
    </r>
    <rPh sb="0" eb="3">
      <t>コウセイキョク</t>
    </rPh>
    <rPh sb="4" eb="5">
      <t>モト</t>
    </rPh>
    <rPh sb="6" eb="7">
      <t>リ</t>
    </rPh>
    <rPh sb="15" eb="16">
      <t>ココロ</t>
    </rPh>
    <phoneticPr fontId="1"/>
  </si>
  <si>
    <r>
      <rPr>
        <sz val="11"/>
        <rFont val="游ゴシック Medium"/>
        <family val="3"/>
        <charset val="128"/>
      </rPr>
      <t>東芝</t>
    </r>
    <r>
      <rPr>
        <sz val="11"/>
        <rFont val="Consolas"/>
        <family val="3"/>
      </rPr>
      <t>EMI</t>
    </r>
    <rPh sb="0" eb="2">
      <t>トウシバ</t>
    </rPh>
    <phoneticPr fontId="1"/>
  </si>
  <si>
    <r>
      <rPr>
        <sz val="11"/>
        <rFont val="游ゴシック Medium"/>
        <family val="3"/>
        <charset val="128"/>
      </rPr>
      <t>團</t>
    </r>
    <r>
      <rPr>
        <sz val="11"/>
        <rFont val="Consolas"/>
        <family val="3"/>
      </rPr>
      <t xml:space="preserve"> </t>
    </r>
    <r>
      <rPr>
        <sz val="11"/>
        <rFont val="游ゴシック Medium"/>
        <family val="3"/>
        <charset val="128"/>
      </rPr>
      <t>伊玖磨</t>
    </r>
    <r>
      <rPr>
        <sz val="11"/>
        <rFont val="Consolas"/>
        <family val="3"/>
      </rPr>
      <t>:</t>
    </r>
    <r>
      <rPr>
        <sz val="11"/>
        <rFont val="游ゴシック Medium"/>
        <family val="3"/>
        <charset val="128"/>
      </rPr>
      <t>指揮</t>
    </r>
    <rPh sb="0" eb="1">
      <t>ダン</t>
    </rPh>
    <rPh sb="2" eb="5">
      <t>イクマ</t>
    </rPh>
    <rPh sb="6" eb="8">
      <t>シキ</t>
    </rPh>
    <phoneticPr fontId="1"/>
  </si>
  <si>
    <r>
      <rPr>
        <sz val="11"/>
        <rFont val="游ゴシック Medium"/>
        <family val="3"/>
        <charset val="128"/>
      </rPr>
      <t>高島暦出版本部</t>
    </r>
    <rPh sb="0" eb="2">
      <t>タカシマ</t>
    </rPh>
    <rPh sb="2" eb="3">
      <t>コヨミ</t>
    </rPh>
    <rPh sb="3" eb="5">
      <t>シュッパン</t>
    </rPh>
    <rPh sb="5" eb="7">
      <t>ホンブ</t>
    </rPh>
    <phoneticPr fontId="1"/>
  </si>
  <si>
    <r>
      <rPr>
        <sz val="11"/>
        <rFont val="游ゴシック Medium"/>
        <family val="3"/>
        <charset val="128"/>
      </rPr>
      <t>編纂</t>
    </r>
    <rPh sb="0" eb="2">
      <t>ヘンサン</t>
    </rPh>
    <phoneticPr fontId="1"/>
  </si>
  <si>
    <r>
      <rPr>
        <sz val="11"/>
        <rFont val="游ゴシック Medium"/>
        <family val="3"/>
        <charset val="128"/>
      </rPr>
      <t>令和七年高島暦</t>
    </r>
    <r>
      <rPr>
        <sz val="11"/>
        <rFont val="Consolas"/>
        <family val="3"/>
      </rPr>
      <t xml:space="preserve"> </t>
    </r>
    <r>
      <rPr>
        <sz val="11"/>
        <rFont val="游ゴシック Medium"/>
        <family val="3"/>
        <charset val="128"/>
      </rPr>
      <t>東京</t>
    </r>
    <r>
      <rPr>
        <sz val="11"/>
        <rFont val="Consolas"/>
        <family val="3"/>
      </rPr>
      <t xml:space="preserve"> </t>
    </r>
    <r>
      <rPr>
        <sz val="11"/>
        <rFont val="游ゴシック Medium"/>
        <family val="3"/>
        <charset val="128"/>
      </rPr>
      <t>神正館蔵版</t>
    </r>
    <rPh sb="0" eb="2">
      <t>レイワ</t>
    </rPh>
    <rPh sb="2" eb="3">
      <t>ナナ</t>
    </rPh>
    <rPh sb="3" eb="4">
      <t>ネン</t>
    </rPh>
    <rPh sb="4" eb="6">
      <t>タカシマ</t>
    </rPh>
    <rPh sb="6" eb="7">
      <t>コヨミ</t>
    </rPh>
    <rPh sb="8" eb="10">
      <t>トウキョウ</t>
    </rPh>
    <rPh sb="11" eb="14">
      <t>ジンショウカン</t>
    </rPh>
    <rPh sb="14" eb="15">
      <t>クラ</t>
    </rPh>
    <rPh sb="15" eb="16">
      <t>バン</t>
    </rPh>
    <phoneticPr fontId="1"/>
  </si>
  <si>
    <r>
      <t xml:space="preserve">2024/05/21 </t>
    </r>
    <r>
      <rPr>
        <sz val="11"/>
        <rFont val="游ゴシック Medium"/>
        <family val="3"/>
        <charset val="128"/>
      </rPr>
      <t>印刷</t>
    </r>
    <r>
      <rPr>
        <sz val="11"/>
        <rFont val="Consolas"/>
        <family val="3"/>
      </rPr>
      <t xml:space="preserve">|2024/06/02 </t>
    </r>
    <r>
      <rPr>
        <sz val="11"/>
        <rFont val="游ゴシック Medium"/>
        <family val="3"/>
        <charset val="128"/>
      </rPr>
      <t>発行</t>
    </r>
    <rPh sb="11" eb="13">
      <t>インサツ</t>
    </rPh>
    <rPh sb="25" eb="27">
      <t>ハッコウ</t>
    </rPh>
    <phoneticPr fontId="1"/>
  </si>
  <si>
    <r>
      <rPr>
        <sz val="11"/>
        <rFont val="游ゴシック Medium"/>
        <family val="3"/>
        <charset val="128"/>
      </rPr>
      <t>高島暦出版株式会社</t>
    </r>
    <rPh sb="0" eb="3">
      <t>タカシマレキ</t>
    </rPh>
    <rPh sb="3" eb="5">
      <t>シュッパン</t>
    </rPh>
    <rPh sb="5" eb="9">
      <t>カブシキガイシャ</t>
    </rPh>
    <phoneticPr fontId="1"/>
  </si>
  <si>
    <r>
      <rPr>
        <sz val="11"/>
        <rFont val="游ゴシック Medium"/>
        <family val="3"/>
        <charset val="128"/>
      </rPr>
      <t>松田</t>
    </r>
    <r>
      <rPr>
        <sz val="11"/>
        <rFont val="Consolas"/>
        <family val="3"/>
      </rPr>
      <t xml:space="preserve"> </t>
    </r>
    <r>
      <rPr>
        <sz val="11"/>
        <rFont val="游ゴシック Medium"/>
        <family val="3"/>
        <charset val="128"/>
      </rPr>
      <t>南窓</t>
    </r>
    <rPh sb="0" eb="2">
      <t>マツダ</t>
    </rPh>
    <rPh sb="3" eb="5">
      <t>ナンソウ</t>
    </rPh>
    <phoneticPr fontId="1"/>
  </si>
  <si>
    <r>
      <rPr>
        <sz val="11"/>
        <rFont val="游ゴシック Medium"/>
        <family val="3"/>
        <charset val="128"/>
      </rPr>
      <t>監修・筆・絵</t>
    </r>
    <r>
      <rPr>
        <sz val="11"/>
        <rFont val="Consolas"/>
        <family val="3"/>
      </rPr>
      <t xml:space="preserve"> </t>
    </r>
    <rPh sb="0" eb="2">
      <t>カンシュウ</t>
    </rPh>
    <rPh sb="3" eb="4">
      <t>ヒツ</t>
    </rPh>
    <rPh sb="5" eb="6">
      <t>エ</t>
    </rPh>
    <phoneticPr fontId="1"/>
  </si>
  <si>
    <r>
      <rPr>
        <sz val="10"/>
        <rFont val="游ゴシック Medium"/>
        <family val="3"/>
        <charset val="128"/>
      </rPr>
      <t>冠婚葬祭表書き特集</t>
    </r>
    <r>
      <rPr>
        <sz val="10"/>
        <rFont val="Consolas"/>
        <family val="3"/>
      </rPr>
      <t xml:space="preserve"> </t>
    </r>
    <r>
      <rPr>
        <sz val="10"/>
        <rFont val="游ゴシック Medium"/>
        <family val="3"/>
        <charset val="128"/>
      </rPr>
      <t>別冊</t>
    </r>
    <r>
      <rPr>
        <sz val="10"/>
        <rFont val="Consolas"/>
        <family val="3"/>
      </rPr>
      <t xml:space="preserve"> </t>
    </r>
    <r>
      <rPr>
        <sz val="11"/>
        <rFont val="游ゴシック Medium"/>
        <family val="3"/>
        <charset val="128"/>
      </rPr>
      <t>日本のしきたり</t>
    </r>
    <rPh sb="0" eb="2">
      <t>カンコン</t>
    </rPh>
    <rPh sb="2" eb="4">
      <t>ソウサイ</t>
    </rPh>
    <rPh sb="4" eb="6">
      <t>オモテガ</t>
    </rPh>
    <rPh sb="7" eb="9">
      <t>トクシュウ</t>
    </rPh>
    <rPh sb="10" eb="12">
      <t>ベッサツ</t>
    </rPh>
    <rPh sb="13" eb="15">
      <t>ニッポン</t>
    </rPh>
    <phoneticPr fontId="1"/>
  </si>
  <si>
    <r>
      <rPr>
        <sz val="11"/>
        <rFont val="游ゴシック Medium"/>
        <family val="3"/>
        <charset val="128"/>
      </rPr>
      <t>南窓四季の会</t>
    </r>
    <rPh sb="0" eb="2">
      <t>ナンソウ</t>
    </rPh>
    <rPh sb="2" eb="4">
      <t>シキ</t>
    </rPh>
    <rPh sb="5" eb="6">
      <t>カイ</t>
    </rPh>
    <phoneticPr fontId="1"/>
  </si>
  <si>
    <r>
      <rPr>
        <sz val="11"/>
        <rFont val="游ゴシック Medium"/>
        <family val="3"/>
        <charset val="128"/>
      </rPr>
      <t>今泉</t>
    </r>
    <r>
      <rPr>
        <sz val="11"/>
        <rFont val="Consolas"/>
        <family val="3"/>
      </rPr>
      <t xml:space="preserve"> </t>
    </r>
    <r>
      <rPr>
        <sz val="11"/>
        <rFont val="游ゴシック Medium"/>
        <family val="3"/>
        <charset val="128"/>
      </rPr>
      <t>忠明</t>
    </r>
    <rPh sb="0" eb="2">
      <t>イマイズミ</t>
    </rPh>
    <rPh sb="3" eb="5">
      <t>タダアキ</t>
    </rPh>
    <phoneticPr fontId="1"/>
  </si>
  <si>
    <r>
      <rPr>
        <sz val="11"/>
        <rFont val="游ゴシック Medium"/>
        <family val="3"/>
        <charset val="128"/>
      </rPr>
      <t>下間</t>
    </r>
    <r>
      <rPr>
        <sz val="11"/>
        <rFont val="Consolas"/>
        <family val="3"/>
      </rPr>
      <t xml:space="preserve"> </t>
    </r>
    <r>
      <rPr>
        <sz val="11"/>
        <rFont val="游ゴシック Medium"/>
        <family val="3"/>
        <charset val="128"/>
      </rPr>
      <t>文枝</t>
    </r>
    <r>
      <rPr>
        <sz val="11"/>
        <rFont val="Consolas"/>
        <family val="3"/>
      </rPr>
      <t>|</t>
    </r>
    <r>
      <rPr>
        <sz val="11"/>
        <rFont val="游ゴシック Medium"/>
        <family val="3"/>
        <charset val="128"/>
      </rPr>
      <t>徳永</t>
    </r>
    <r>
      <rPr>
        <sz val="11"/>
        <rFont val="Consolas"/>
        <family val="3"/>
      </rPr>
      <t xml:space="preserve"> </t>
    </r>
    <r>
      <rPr>
        <sz val="11"/>
        <rFont val="游ゴシック Medium"/>
        <family val="3"/>
        <charset val="128"/>
      </rPr>
      <t>明子</t>
    </r>
    <r>
      <rPr>
        <sz val="11"/>
        <rFont val="Consolas"/>
        <family val="3"/>
      </rPr>
      <t>|</t>
    </r>
    <r>
      <rPr>
        <sz val="11"/>
        <rFont val="游ゴシック Medium"/>
        <family val="3"/>
        <charset val="128"/>
      </rPr>
      <t>かわむら</t>
    </r>
    <r>
      <rPr>
        <sz val="11"/>
        <rFont val="Consolas"/>
        <family val="3"/>
      </rPr>
      <t xml:space="preserve"> </t>
    </r>
    <r>
      <rPr>
        <sz val="11"/>
        <rFont val="游ゴシック Medium"/>
        <family val="3"/>
        <charset val="128"/>
      </rPr>
      <t>ふゆみ</t>
    </r>
    <rPh sb="0" eb="2">
      <t>シモマ</t>
    </rPh>
    <rPh sb="3" eb="5">
      <t>フミエ</t>
    </rPh>
    <rPh sb="6" eb="8">
      <t>トクナガ</t>
    </rPh>
    <rPh sb="9" eb="11">
      <t>アキコ</t>
    </rPh>
    <phoneticPr fontId="1"/>
  </si>
  <si>
    <r>
      <rPr>
        <sz val="11"/>
        <rFont val="游ゴシック Medium"/>
        <family val="3"/>
        <charset val="128"/>
      </rPr>
      <t>ざんねんないきもの事典</t>
    </r>
    <r>
      <rPr>
        <sz val="11"/>
        <rFont val="Consolas"/>
        <family val="3"/>
      </rPr>
      <t>|</t>
    </r>
    <r>
      <rPr>
        <sz val="11"/>
        <rFont val="游ゴシック Medium"/>
        <family val="3"/>
        <charset val="128"/>
      </rPr>
      <t>おもしろい</t>
    </r>
    <r>
      <rPr>
        <sz val="11"/>
        <rFont val="Consolas"/>
        <family val="3"/>
      </rPr>
      <t xml:space="preserve"> ! </t>
    </r>
    <r>
      <rPr>
        <sz val="11"/>
        <rFont val="游ゴシック Medium"/>
        <family val="3"/>
        <charset val="128"/>
      </rPr>
      <t>進化のふしぎ</t>
    </r>
    <rPh sb="9" eb="11">
      <t>ジテン</t>
    </rPh>
    <rPh sb="20" eb="22">
      <t>シンカ</t>
    </rPh>
    <phoneticPr fontId="1"/>
  </si>
  <si>
    <r>
      <rPr>
        <sz val="11"/>
        <rFont val="游ゴシック Medium"/>
        <family val="3"/>
        <charset val="128"/>
      </rPr>
      <t>高橋書店</t>
    </r>
    <rPh sb="0" eb="4">
      <t>タカハシショテン</t>
    </rPh>
    <phoneticPr fontId="1"/>
  </si>
  <si>
    <r>
      <rPr>
        <sz val="11"/>
        <rFont val="游ゴシック Medium"/>
        <family val="3"/>
        <charset val="128"/>
      </rPr>
      <t>本多</t>
    </r>
    <r>
      <rPr>
        <sz val="11"/>
        <rFont val="Consolas"/>
        <family val="3"/>
      </rPr>
      <t xml:space="preserve"> </t>
    </r>
    <r>
      <rPr>
        <sz val="11"/>
        <rFont val="游ゴシック Medium"/>
        <family val="3"/>
        <charset val="128"/>
      </rPr>
      <t>勝一</t>
    </r>
    <rPh sb="0" eb="2">
      <t>ホンダ</t>
    </rPh>
    <rPh sb="3" eb="5">
      <t>カツイチ</t>
    </rPh>
    <phoneticPr fontId="1"/>
  </si>
  <si>
    <r>
      <rPr>
        <sz val="11"/>
        <rFont val="游ゴシック Medium"/>
        <family val="3"/>
        <charset val="128"/>
      </rPr>
      <t>子供たちの復讐</t>
    </r>
    <r>
      <rPr>
        <sz val="11"/>
        <rFont val="Consolas"/>
        <family val="3"/>
      </rPr>
      <t xml:space="preserve"> </t>
    </r>
    <r>
      <rPr>
        <sz val="11"/>
        <rFont val="游ゴシック Medium"/>
        <family val="3"/>
        <charset val="128"/>
      </rPr>
      <t>上</t>
    </r>
    <r>
      <rPr>
        <sz val="11"/>
        <rFont val="Consolas"/>
        <family val="3"/>
      </rPr>
      <t xml:space="preserve"> </t>
    </r>
    <r>
      <rPr>
        <sz val="11"/>
        <rFont val="游ゴシック Medium"/>
        <family val="3"/>
        <charset val="128"/>
      </rPr>
      <t>開成高校生殺人事件</t>
    </r>
    <rPh sb="0" eb="2">
      <t>コド</t>
    </rPh>
    <rPh sb="5" eb="7">
      <t>フクシュウ</t>
    </rPh>
    <rPh sb="8" eb="9">
      <t>ジョウ</t>
    </rPh>
    <rPh sb="10" eb="19">
      <t>カイセイコウコウセイサツジンジケン</t>
    </rPh>
    <phoneticPr fontId="1"/>
  </si>
  <si>
    <r>
      <rPr>
        <sz val="11"/>
        <rFont val="游ゴシック Medium"/>
        <family val="3"/>
        <charset val="128"/>
      </rPr>
      <t>朝日新聞社</t>
    </r>
    <rPh sb="0" eb="5">
      <t>アサヒシンブンシャ</t>
    </rPh>
    <phoneticPr fontId="1"/>
  </si>
  <si>
    <r>
      <t xml:space="preserve">amazon </t>
    </r>
    <r>
      <rPr>
        <sz val="11"/>
        <rFont val="游ゴシック Medium"/>
        <family val="3"/>
        <charset val="128"/>
      </rPr>
      <t>白新書店</t>
    </r>
    <rPh sb="7" eb="9">
      <t>ハクシン</t>
    </rPh>
    <rPh sb="9" eb="11">
      <t>ショテン</t>
    </rPh>
    <phoneticPr fontId="1"/>
  </si>
  <si>
    <r>
      <rPr>
        <sz val="11"/>
        <rFont val="游ゴシック Medium"/>
        <family val="3"/>
        <charset val="128"/>
      </rPr>
      <t>子供たちの復讐</t>
    </r>
    <r>
      <rPr>
        <sz val="11"/>
        <rFont val="Consolas"/>
        <family val="3"/>
      </rPr>
      <t xml:space="preserve"> </t>
    </r>
    <r>
      <rPr>
        <sz val="11"/>
        <rFont val="游ゴシック Medium"/>
        <family val="3"/>
        <charset val="128"/>
      </rPr>
      <t>下</t>
    </r>
    <r>
      <rPr>
        <sz val="11"/>
        <rFont val="Consolas"/>
        <family val="3"/>
      </rPr>
      <t xml:space="preserve"> </t>
    </r>
    <r>
      <rPr>
        <sz val="11"/>
        <rFont val="游ゴシック Medium"/>
        <family val="3"/>
        <charset val="128"/>
      </rPr>
      <t>祖母殺し高校生自殺事件</t>
    </r>
    <rPh sb="0" eb="2">
      <t>コド</t>
    </rPh>
    <rPh sb="5" eb="7">
      <t>フクシュウ</t>
    </rPh>
    <rPh sb="8" eb="9">
      <t>ゲ</t>
    </rPh>
    <rPh sb="10" eb="12">
      <t>ソボ</t>
    </rPh>
    <rPh sb="12" eb="13">
      <t>ゴロ</t>
    </rPh>
    <rPh sb="14" eb="17">
      <t>コウコウセイ</t>
    </rPh>
    <rPh sb="17" eb="21">
      <t>ジサツジケン</t>
    </rPh>
    <phoneticPr fontId="1"/>
  </si>
  <si>
    <r>
      <rPr>
        <sz val="11"/>
        <rFont val="游ゴシック Medium"/>
        <family val="3"/>
        <charset val="128"/>
      </rPr>
      <t>佐藤</t>
    </r>
    <r>
      <rPr>
        <sz val="11"/>
        <rFont val="Consolas"/>
        <family val="3"/>
      </rPr>
      <t xml:space="preserve"> B</t>
    </r>
    <r>
      <rPr>
        <sz val="11"/>
        <rFont val="游ゴシック Medium"/>
        <family val="3"/>
        <charset val="128"/>
      </rPr>
      <t>作</t>
    </r>
    <rPh sb="0" eb="2">
      <t>サトウ</t>
    </rPh>
    <rPh sb="4" eb="5">
      <t>サク</t>
    </rPh>
    <phoneticPr fontId="1"/>
  </si>
  <si>
    <r>
      <rPr>
        <sz val="11"/>
        <rFont val="游ゴシック Medium"/>
        <family val="3"/>
        <charset val="128"/>
      </rPr>
      <t>東京ヴォードヴィルショー</t>
    </r>
    <rPh sb="0" eb="2">
      <t>トウキョウ</t>
    </rPh>
    <phoneticPr fontId="1"/>
  </si>
  <si>
    <r>
      <rPr>
        <sz val="11"/>
        <rFont val="游ゴシック Medium"/>
        <family val="3"/>
        <charset val="128"/>
      </rPr>
      <t>早稲田か何かの古本屋</t>
    </r>
    <rPh sb="0" eb="3">
      <t>ワセダ</t>
    </rPh>
    <rPh sb="4" eb="5">
      <t>ナニ</t>
    </rPh>
    <rPh sb="7" eb="10">
      <t>フルホンヤ</t>
    </rPh>
    <phoneticPr fontId="1"/>
  </si>
  <si>
    <r>
      <rPr>
        <sz val="11"/>
        <rFont val="游ゴシック Medium"/>
        <family val="3"/>
        <charset val="128"/>
      </rPr>
      <t>絵</t>
    </r>
    <phoneticPr fontId="1"/>
  </si>
  <si>
    <r>
      <rPr>
        <sz val="11"/>
        <rFont val="游ゴシック Medium"/>
        <family val="3"/>
        <charset val="128"/>
      </rPr>
      <t>文</t>
    </r>
    <phoneticPr fontId="1"/>
  </si>
  <si>
    <r>
      <t>book/</t>
    </r>
    <r>
      <rPr>
        <sz val="11"/>
        <rFont val="游ゴシック Medium"/>
        <family val="3"/>
        <charset val="128"/>
      </rPr>
      <t>楽譜</t>
    </r>
    <phoneticPr fontId="1"/>
  </si>
  <si>
    <r>
      <rPr>
        <sz val="11"/>
        <rFont val="游ゴシック Medium"/>
        <family val="3"/>
        <charset val="128"/>
      </rPr>
      <t>伴奏</t>
    </r>
    <phoneticPr fontId="1"/>
  </si>
  <si>
    <r>
      <rPr>
        <sz val="11"/>
        <rFont val="游ゴシック Medium"/>
        <family val="3"/>
        <charset val="128"/>
      </rPr>
      <t>たにむら</t>
    </r>
    <r>
      <rPr>
        <sz val="11"/>
        <rFont val="Consolas"/>
        <family val="3"/>
      </rPr>
      <t xml:space="preserve"> </t>
    </r>
    <r>
      <rPr>
        <sz val="11"/>
        <rFont val="游ゴシック Medium"/>
        <family val="3"/>
        <charset val="128"/>
      </rPr>
      <t>のりあき</t>
    </r>
    <phoneticPr fontId="1"/>
  </si>
  <si>
    <r>
      <rPr>
        <sz val="11"/>
        <rFont val="游ゴシック Medium"/>
        <family val="3"/>
        <charset val="128"/>
      </rPr>
      <t>もののけしょくどう</t>
    </r>
    <r>
      <rPr>
        <sz val="11"/>
        <rFont val="Consolas"/>
        <family val="3"/>
      </rPr>
      <t xml:space="preserve"> </t>
    </r>
    <r>
      <rPr>
        <sz val="11"/>
        <rFont val="游ゴシック Medium"/>
        <family val="3"/>
        <charset val="128"/>
      </rPr>
      <t>うらめしや</t>
    </r>
    <phoneticPr fontId="1"/>
  </si>
  <si>
    <r>
      <rPr>
        <sz val="11"/>
        <rFont val="游ゴシック Medium"/>
        <family val="3"/>
        <charset val="128"/>
      </rPr>
      <t>日本傑作絵本シリーズ</t>
    </r>
    <rPh sb="0" eb="2">
      <t>ニホン</t>
    </rPh>
    <rPh sb="2" eb="4">
      <t>ケッサク</t>
    </rPh>
    <rPh sb="4" eb="6">
      <t>エホン</t>
    </rPh>
    <phoneticPr fontId="1"/>
  </si>
  <si>
    <r>
      <rPr>
        <sz val="11"/>
        <rFont val="游ゴシック Medium"/>
        <family val="3"/>
        <charset val="128"/>
      </rPr>
      <t>福音館書店</t>
    </r>
    <rPh sb="0" eb="5">
      <t>フクインカンショテン</t>
    </rPh>
    <phoneticPr fontId="1"/>
  </si>
  <si>
    <r>
      <rPr>
        <sz val="11"/>
        <rFont val="游ゴシック Medium"/>
        <family val="3"/>
        <charset val="128"/>
      </rPr>
      <t>丸善</t>
    </r>
    <r>
      <rPr>
        <sz val="11"/>
        <rFont val="Consolas"/>
        <family val="3"/>
      </rPr>
      <t xml:space="preserve"> </t>
    </r>
    <r>
      <rPr>
        <sz val="11"/>
        <rFont val="游ゴシック Medium"/>
        <family val="3"/>
        <charset val="128"/>
      </rPr>
      <t>丸ノ内線後楽園駅</t>
    </r>
    <rPh sb="0" eb="2">
      <t>マルゼン</t>
    </rPh>
    <rPh sb="3" eb="4">
      <t>マル</t>
    </rPh>
    <rPh sb="5" eb="7">
      <t>ウチセン</t>
    </rPh>
    <rPh sb="7" eb="11">
      <t>コウラクエンエキ</t>
    </rPh>
    <phoneticPr fontId="1"/>
  </si>
  <si>
    <r>
      <rPr>
        <sz val="11"/>
        <rFont val="游ゴシック Medium"/>
        <family val="3"/>
        <charset val="128"/>
      </rPr>
      <t>あまん</t>
    </r>
    <r>
      <rPr>
        <sz val="11"/>
        <rFont val="Consolas"/>
        <family val="3"/>
      </rPr>
      <t xml:space="preserve"> </t>
    </r>
    <r>
      <rPr>
        <sz val="11"/>
        <rFont val="游ゴシック Medium"/>
        <family val="3"/>
        <charset val="128"/>
      </rPr>
      <t>きみこ</t>
    </r>
    <phoneticPr fontId="1"/>
  </si>
  <si>
    <r>
      <rPr>
        <sz val="11"/>
        <rFont val="游ゴシック Medium"/>
        <family val="3"/>
        <charset val="128"/>
      </rPr>
      <t>いわさき</t>
    </r>
    <r>
      <rPr>
        <sz val="11"/>
        <rFont val="Consolas"/>
        <family val="3"/>
      </rPr>
      <t xml:space="preserve"> </t>
    </r>
    <r>
      <rPr>
        <sz val="11"/>
        <rFont val="游ゴシック Medium"/>
        <family val="3"/>
        <charset val="128"/>
      </rPr>
      <t>ちひろ</t>
    </r>
    <phoneticPr fontId="1"/>
  </si>
  <si>
    <r>
      <rPr>
        <sz val="11"/>
        <rFont val="游ゴシック Medium"/>
        <family val="3"/>
        <charset val="128"/>
      </rPr>
      <t>おにたのぼうし</t>
    </r>
    <phoneticPr fontId="1"/>
  </si>
  <si>
    <r>
      <rPr>
        <sz val="11"/>
        <rFont val="游ゴシック Medium"/>
        <family val="3"/>
        <charset val="128"/>
      </rPr>
      <t>おはなし名作絵本</t>
    </r>
    <r>
      <rPr>
        <sz val="11"/>
        <rFont val="Consolas"/>
        <family val="3"/>
      </rPr>
      <t xml:space="preserve"> 2|</t>
    </r>
    <r>
      <rPr>
        <sz val="11"/>
        <rFont val="游ゴシック Medium"/>
        <family val="3"/>
        <charset val="128"/>
      </rPr>
      <t>全国学校図書館協議会選定・よい絵本</t>
    </r>
    <rPh sb="4" eb="8">
      <t>メイサクエホン</t>
    </rPh>
    <rPh sb="11" eb="21">
      <t>ゼンコクガッコウトショカンキョウギカイ</t>
    </rPh>
    <rPh sb="21" eb="23">
      <t>センテイ</t>
    </rPh>
    <rPh sb="26" eb="28">
      <t>エホン</t>
    </rPh>
    <phoneticPr fontId="1"/>
  </si>
  <si>
    <r>
      <rPr>
        <sz val="11"/>
        <rFont val="游ゴシック Medium"/>
        <family val="3"/>
        <charset val="128"/>
      </rPr>
      <t>小学館の宝玉選シリーズ</t>
    </r>
    <r>
      <rPr>
        <sz val="11"/>
        <rFont val="Consolas"/>
        <family val="3"/>
      </rPr>
      <t xml:space="preserve"> </t>
    </r>
    <r>
      <rPr>
        <sz val="11"/>
        <rFont val="游ゴシック Medium"/>
        <family val="3"/>
        <charset val="128"/>
      </rPr>
      <t>菊判クロス豪華本</t>
    </r>
    <r>
      <rPr>
        <sz val="11"/>
        <rFont val="Consolas"/>
        <family val="3"/>
      </rPr>
      <t xml:space="preserve"> 664</t>
    </r>
    <r>
      <rPr>
        <sz val="11"/>
        <rFont val="游ゴシック Medium"/>
        <family val="3"/>
        <charset val="128"/>
      </rPr>
      <t>頁</t>
    </r>
    <rPh sb="0" eb="3">
      <t>ショウガクカン</t>
    </rPh>
    <rPh sb="4" eb="6">
      <t>ホウギョク</t>
    </rPh>
    <rPh sb="6" eb="7">
      <t>セン</t>
    </rPh>
    <rPh sb="12" eb="14">
      <t>キクバン</t>
    </rPh>
    <rPh sb="17" eb="19">
      <t>ゴウカ</t>
    </rPh>
    <rPh sb="19" eb="20">
      <t>ボン</t>
    </rPh>
    <rPh sb="24" eb="25">
      <t>ページ</t>
    </rPh>
    <phoneticPr fontId="1"/>
  </si>
  <si>
    <r>
      <rPr>
        <sz val="11"/>
        <rFont val="游ゴシック Medium"/>
        <family val="3"/>
        <charset val="128"/>
      </rPr>
      <t>世界童話宝玉選</t>
    </r>
    <rPh sb="0" eb="2">
      <t>セカイ</t>
    </rPh>
    <rPh sb="2" eb="4">
      <t>ドウワ</t>
    </rPh>
    <rPh sb="4" eb="6">
      <t>ホウギョク</t>
    </rPh>
    <rPh sb="6" eb="7">
      <t>セン</t>
    </rPh>
    <phoneticPr fontId="1"/>
  </si>
  <si>
    <r>
      <rPr>
        <sz val="11"/>
        <rFont val="游ゴシック Medium"/>
        <family val="3"/>
        <charset val="128"/>
      </rPr>
      <t>小学館の宝玉選シリーズ</t>
    </r>
    <rPh sb="0" eb="3">
      <t>ショウガクカン</t>
    </rPh>
    <rPh sb="4" eb="6">
      <t>ホウギョク</t>
    </rPh>
    <rPh sb="6" eb="7">
      <t>セン</t>
    </rPh>
    <phoneticPr fontId="1"/>
  </si>
  <si>
    <r>
      <rPr>
        <sz val="11"/>
        <rFont val="游ゴシック Medium"/>
        <family val="3"/>
        <charset val="128"/>
      </rPr>
      <t>お話宝玉選</t>
    </r>
    <rPh sb="1" eb="2">
      <t>ハナシ</t>
    </rPh>
    <rPh sb="2" eb="4">
      <t>ホウギョク</t>
    </rPh>
    <rPh sb="4" eb="5">
      <t>セン</t>
    </rPh>
    <phoneticPr fontId="1"/>
  </si>
  <si>
    <r>
      <rPr>
        <sz val="11"/>
        <rFont val="游ゴシック Medium"/>
        <family val="3"/>
        <charset val="128"/>
      </rPr>
      <t>メルカリ</t>
    </r>
    <phoneticPr fontId="1"/>
  </si>
  <si>
    <r>
      <rPr>
        <sz val="11"/>
        <rFont val="游ゴシック Medium"/>
        <family val="3"/>
        <charset val="128"/>
      </rPr>
      <t>金剛寺ハルナとその姉妹</t>
    </r>
    <r>
      <rPr>
        <sz val="11"/>
        <rFont val="Consolas"/>
        <family val="3"/>
      </rPr>
      <t xml:space="preserve"> </t>
    </r>
    <r>
      <rPr>
        <sz val="11"/>
        <rFont val="游ゴシック Medium"/>
        <family val="3"/>
        <charset val="128"/>
      </rPr>
      <t>大東亜戦役篇秘話</t>
    </r>
    <r>
      <rPr>
        <sz val="11"/>
        <rFont val="Consolas"/>
        <family val="3"/>
      </rPr>
      <t xml:space="preserve"> </t>
    </r>
    <r>
      <rPr>
        <sz val="11"/>
        <rFont val="游ゴシック Medium"/>
        <family val="3"/>
        <charset val="128"/>
      </rPr>
      <t>第</t>
    </r>
    <r>
      <rPr>
        <sz val="11"/>
        <rFont val="Consolas"/>
        <family val="3"/>
      </rPr>
      <t>840</t>
    </r>
    <r>
      <rPr>
        <sz val="11"/>
        <rFont val="游ゴシック Medium"/>
        <family val="3"/>
        <charset val="128"/>
      </rPr>
      <t>特殊看護部隊</t>
    </r>
    <r>
      <rPr>
        <sz val="11"/>
        <rFont val="Consolas"/>
        <family val="3"/>
      </rPr>
      <t xml:space="preserve"> </t>
    </r>
    <r>
      <rPr>
        <sz val="11"/>
        <rFont val="游ゴシック Medium"/>
        <family val="3"/>
        <charset val="128"/>
      </rPr>
      <t>斯クモ戦ヘリ</t>
    </r>
    <rPh sb="0" eb="3">
      <t>コンゴウジ</t>
    </rPh>
    <rPh sb="9" eb="11">
      <t>シマイ</t>
    </rPh>
    <rPh sb="12" eb="13">
      <t>ダイ</t>
    </rPh>
    <rPh sb="13" eb="15">
      <t>トウア</t>
    </rPh>
    <rPh sb="15" eb="17">
      <t>センエキ</t>
    </rPh>
    <rPh sb="17" eb="18">
      <t>ヘン</t>
    </rPh>
    <rPh sb="18" eb="20">
      <t>ヒワ</t>
    </rPh>
    <rPh sb="21" eb="22">
      <t>ダイ</t>
    </rPh>
    <rPh sb="25" eb="27">
      <t>トクシュ</t>
    </rPh>
    <rPh sb="27" eb="29">
      <t>カンゴ</t>
    </rPh>
    <rPh sb="29" eb="31">
      <t>ブタイ</t>
    </rPh>
    <rPh sb="32" eb="33">
      <t>シ</t>
    </rPh>
    <rPh sb="35" eb="36">
      <t>セン</t>
    </rPh>
    <phoneticPr fontId="1"/>
  </si>
  <si>
    <r>
      <rPr>
        <sz val="11"/>
        <rFont val="游ゴシック Medium"/>
        <family val="3"/>
        <charset val="128"/>
      </rPr>
      <t>撮影期間</t>
    </r>
    <r>
      <rPr>
        <sz val="11"/>
        <rFont val="Consolas"/>
        <family val="3"/>
      </rPr>
      <t xml:space="preserve"> : 2014 </t>
    </r>
    <r>
      <rPr>
        <sz val="11"/>
        <rFont val="游ゴシック Medium"/>
        <family val="3"/>
        <charset val="128"/>
      </rPr>
      <t>～</t>
    </r>
    <r>
      <rPr>
        <sz val="11"/>
        <rFont val="Consolas"/>
        <family val="3"/>
      </rPr>
      <t xml:space="preserve"> 2017</t>
    </r>
    <r>
      <rPr>
        <sz val="11"/>
        <rFont val="游ゴシック Medium"/>
        <family val="3"/>
        <charset val="128"/>
      </rPr>
      <t>年</t>
    </r>
    <phoneticPr fontId="1"/>
  </si>
  <si>
    <r>
      <rPr>
        <sz val="11"/>
        <rFont val="游ゴシック Medium"/>
        <family val="3"/>
        <charset val="128"/>
      </rPr>
      <t>八潮秘宝館</t>
    </r>
    <rPh sb="0" eb="5">
      <t>ヤシオヒホウカン</t>
    </rPh>
    <phoneticPr fontId="1"/>
  </si>
  <si>
    <r>
      <rPr>
        <sz val="11"/>
        <rFont val="游ゴシック Medium"/>
        <family val="3"/>
        <charset val="128"/>
      </rPr>
      <t>喜久盛酒造でのイベント記念品として</t>
    </r>
    <rPh sb="0" eb="5">
      <t>キクザカリシュゾウ</t>
    </rPh>
    <rPh sb="11" eb="14">
      <t>キネンヒン</t>
    </rPh>
    <phoneticPr fontId="1"/>
  </si>
  <si>
    <r>
      <t>50th AJAC | AJAC50</t>
    </r>
    <r>
      <rPr>
        <sz val="11"/>
        <rFont val="游ゴシック Medium"/>
        <family val="3"/>
        <charset val="128"/>
      </rPr>
      <t>周年</t>
    </r>
    <r>
      <rPr>
        <sz val="11"/>
        <rFont val="Consolas"/>
        <family val="3"/>
      </rPr>
      <t xml:space="preserve"> </t>
    </r>
    <r>
      <rPr>
        <sz val="11"/>
        <rFont val="游ゴシック Medium"/>
        <family val="3"/>
        <charset val="128"/>
      </rPr>
      <t>記念図録</t>
    </r>
    <rPh sb="18" eb="20">
      <t>シュウネン</t>
    </rPh>
    <rPh sb="21" eb="23">
      <t>キネン</t>
    </rPh>
    <rPh sb="23" eb="25">
      <t>ズロク</t>
    </rPh>
    <phoneticPr fontId="1"/>
  </si>
  <si>
    <r>
      <rPr>
        <sz val="11"/>
        <rFont val="游ゴシック Medium"/>
        <family val="3"/>
        <charset val="128"/>
      </rPr>
      <t>東京都美術館</t>
    </r>
    <rPh sb="0" eb="6">
      <t>トウキョウトビジュッカン</t>
    </rPh>
    <phoneticPr fontId="1"/>
  </si>
  <si>
    <r>
      <rPr>
        <sz val="11"/>
        <rFont val="游ゴシック Medium"/>
        <family val="3"/>
        <charset val="128"/>
      </rPr>
      <t>ミュージアム</t>
    </r>
    <r>
      <rPr>
        <sz val="11"/>
        <rFont val="Consolas"/>
        <family val="3"/>
      </rPr>
      <t xml:space="preserve"> </t>
    </r>
    <r>
      <rPr>
        <sz val="11"/>
        <rFont val="游ゴシック Medium"/>
        <family val="3"/>
        <charset val="128"/>
      </rPr>
      <t>パーク</t>
    </r>
    <r>
      <rPr>
        <sz val="11"/>
        <rFont val="Consolas"/>
        <family val="3"/>
      </rPr>
      <t xml:space="preserve"> </t>
    </r>
    <r>
      <rPr>
        <sz val="11"/>
        <rFont val="游ゴシック Medium"/>
        <family val="3"/>
        <charset val="128"/>
      </rPr>
      <t>茨城県自然博物館</t>
    </r>
    <rPh sb="11" eb="14">
      <t>イバラキケン</t>
    </rPh>
    <rPh sb="14" eb="19">
      <t>シゼンハクブツカン</t>
    </rPh>
    <phoneticPr fontId="1"/>
  </si>
  <si>
    <r>
      <rPr>
        <sz val="11"/>
        <rFont val="游ゴシック Medium"/>
        <family val="3"/>
        <charset val="128"/>
      </rPr>
      <t>第</t>
    </r>
    <r>
      <rPr>
        <sz val="11"/>
        <rFont val="Consolas"/>
        <family val="3"/>
      </rPr>
      <t>87</t>
    </r>
    <r>
      <rPr>
        <sz val="11"/>
        <rFont val="游ゴシック Medium"/>
        <family val="3"/>
        <charset val="128"/>
      </rPr>
      <t>回企画展</t>
    </r>
    <r>
      <rPr>
        <sz val="11"/>
        <rFont val="Consolas"/>
        <family val="3"/>
      </rPr>
      <t xml:space="preserve"> </t>
    </r>
    <r>
      <rPr>
        <sz val="11"/>
        <rFont val="游ゴシック Medium"/>
        <family val="3"/>
        <charset val="128"/>
      </rPr>
      <t>うんち無しでは生きられない</t>
    </r>
    <r>
      <rPr>
        <sz val="11"/>
        <rFont val="Consolas"/>
        <family val="3"/>
      </rPr>
      <t xml:space="preserve"> ! </t>
    </r>
    <r>
      <rPr>
        <sz val="11"/>
        <rFont val="游ゴシック Medium"/>
        <family val="3"/>
        <charset val="128"/>
      </rPr>
      <t>─</t>
    </r>
    <r>
      <rPr>
        <sz val="11"/>
        <rFont val="Consolas"/>
        <family val="3"/>
      </rPr>
      <t xml:space="preserve"> </t>
    </r>
    <r>
      <rPr>
        <sz val="11"/>
        <rFont val="游ゴシック Medium"/>
        <family val="3"/>
        <charset val="128"/>
      </rPr>
      <t>あなたの知らない自然のしくみ</t>
    </r>
    <r>
      <rPr>
        <sz val="11"/>
        <rFont val="Consolas"/>
        <family val="3"/>
      </rPr>
      <t xml:space="preserve"> </t>
    </r>
    <r>
      <rPr>
        <sz val="11"/>
        <rFont val="游ゴシック Medium"/>
        <family val="3"/>
        <charset val="128"/>
      </rPr>
      <t>─</t>
    </r>
    <rPh sb="0" eb="1">
      <t>ダイ</t>
    </rPh>
    <rPh sb="3" eb="4">
      <t>カイ</t>
    </rPh>
    <rPh sb="4" eb="7">
      <t>キカクテン</t>
    </rPh>
    <rPh sb="11" eb="12">
      <t>ナ</t>
    </rPh>
    <rPh sb="15" eb="16">
      <t>イ</t>
    </rPh>
    <rPh sb="30" eb="31">
      <t>シ</t>
    </rPh>
    <rPh sb="34" eb="36">
      <t>シゼン</t>
    </rPh>
    <phoneticPr fontId="1"/>
  </si>
  <si>
    <r>
      <t xml:space="preserve">2023/07/08 Sat - 2023/09/18 Mon </t>
    </r>
    <r>
      <rPr>
        <sz val="11"/>
        <rFont val="游ゴシック Medium"/>
        <family val="3"/>
        <charset val="128"/>
      </rPr>
      <t>祝</t>
    </r>
    <rPh sb="32" eb="33">
      <t>シュク</t>
    </rPh>
    <phoneticPr fontId="1"/>
  </si>
  <si>
    <r>
      <t>Gallery AaMo (</t>
    </r>
    <r>
      <rPr>
        <sz val="11"/>
        <rFont val="游ゴシック Medium"/>
        <family val="3"/>
        <charset val="128"/>
      </rPr>
      <t>東京ドームシティ内</t>
    </r>
    <r>
      <rPr>
        <sz val="11"/>
        <rFont val="Consolas"/>
        <family val="3"/>
      </rPr>
      <t>)</t>
    </r>
    <rPh sb="14" eb="16">
      <t>トウキョウ</t>
    </rPh>
    <rPh sb="22" eb="23">
      <t>ナイ</t>
    </rPh>
    <phoneticPr fontId="1"/>
  </si>
  <si>
    <r>
      <rPr>
        <sz val="11"/>
        <rFont val="游ゴシック Medium"/>
        <family val="3"/>
        <charset val="128"/>
      </rPr>
      <t>髙井</t>
    </r>
    <r>
      <rPr>
        <sz val="11"/>
        <rFont val="Consolas"/>
        <family val="3"/>
      </rPr>
      <t xml:space="preserve"> </t>
    </r>
    <r>
      <rPr>
        <sz val="11"/>
        <rFont val="游ゴシック Medium"/>
        <family val="3"/>
        <charset val="128"/>
      </rPr>
      <t>ホアン</t>
    </r>
    <rPh sb="0" eb="2">
      <t>タカイ</t>
    </rPh>
    <phoneticPr fontId="1"/>
  </si>
  <si>
    <r>
      <rPr>
        <sz val="11"/>
        <rFont val="游ゴシック Medium"/>
        <family val="3"/>
        <charset val="128"/>
      </rPr>
      <t>鬼畜米英漫画全集</t>
    </r>
    <r>
      <rPr>
        <sz val="8"/>
        <rFont val="Consolas"/>
        <family val="3"/>
      </rPr>
      <t xml:space="preserve"> </t>
    </r>
    <r>
      <rPr>
        <sz val="8"/>
        <rFont val="游ゴシック Medium"/>
        <family val="3"/>
        <charset val="128"/>
      </rPr>
      <t>戦時下の反アメリカ・イギリス的表象</t>
    </r>
    <rPh sb="0" eb="4">
      <t>キチクベイエイ</t>
    </rPh>
    <rPh sb="4" eb="6">
      <t>マンガ</t>
    </rPh>
    <rPh sb="6" eb="8">
      <t>ゼンシュウ</t>
    </rPh>
    <rPh sb="9" eb="12">
      <t>センジカ</t>
    </rPh>
    <rPh sb="13" eb="14">
      <t>ハン</t>
    </rPh>
    <rPh sb="23" eb="24">
      <t>テキ</t>
    </rPh>
    <rPh sb="24" eb="26">
      <t>ヒョウショウ</t>
    </rPh>
    <phoneticPr fontId="1"/>
  </si>
  <si>
    <r>
      <rPr>
        <sz val="11"/>
        <rFont val="游ゴシック Medium"/>
        <family val="3"/>
        <charset val="128"/>
      </rPr>
      <t>風刺画で知る世界</t>
    </r>
    <r>
      <rPr>
        <sz val="11"/>
        <rFont val="Consolas"/>
        <family val="3"/>
      </rPr>
      <t xml:space="preserve"> </t>
    </r>
    <r>
      <rPr>
        <sz val="11"/>
        <rFont val="游ゴシック Medium"/>
        <family val="3"/>
        <charset val="128"/>
      </rPr>
      <t>第</t>
    </r>
    <r>
      <rPr>
        <sz val="11"/>
        <rFont val="Consolas"/>
        <family val="3"/>
      </rPr>
      <t>1</t>
    </r>
    <r>
      <rPr>
        <sz val="11"/>
        <rFont val="游ゴシック Medium"/>
        <family val="3"/>
        <charset val="128"/>
      </rPr>
      <t>巻</t>
    </r>
    <rPh sb="0" eb="3">
      <t>フウシガ</t>
    </rPh>
    <rPh sb="4" eb="5">
      <t>シ</t>
    </rPh>
    <rPh sb="6" eb="8">
      <t>セカイ</t>
    </rPh>
    <rPh sb="9" eb="10">
      <t>ダイ</t>
    </rPh>
    <rPh sb="11" eb="12">
      <t>カン</t>
    </rPh>
    <phoneticPr fontId="1"/>
  </si>
  <si>
    <r>
      <rPr>
        <sz val="11"/>
        <rFont val="游ゴシック Medium"/>
        <family val="3"/>
        <charset val="128"/>
      </rPr>
      <t>合同会社</t>
    </r>
    <r>
      <rPr>
        <sz val="11"/>
        <rFont val="Consolas"/>
        <family val="3"/>
      </rPr>
      <t>PUBLIB</t>
    </r>
    <rPh sb="0" eb="4">
      <t>ゴウドウガイシャ</t>
    </rPh>
    <rPh sb="4" eb="10">
      <t>パブリブ</t>
    </rPh>
    <phoneticPr fontId="1"/>
  </si>
  <si>
    <r>
      <rPr>
        <sz val="11"/>
        <rFont val="游ゴシック Medium"/>
        <family val="3"/>
        <charset val="128"/>
      </rPr>
      <t>本人からサイン付きで</t>
    </r>
    <rPh sb="0" eb="2">
      <t>ホンニン</t>
    </rPh>
    <rPh sb="7" eb="8">
      <t>ツ</t>
    </rPh>
    <phoneticPr fontId="1"/>
  </si>
  <si>
    <r>
      <rPr>
        <sz val="11"/>
        <rFont val="游ゴシック Medium"/>
        <family val="3"/>
        <charset val="128"/>
      </rPr>
      <t>魚屋が出会う</t>
    </r>
    <r>
      <rPr>
        <sz val="11"/>
        <rFont val="Consolas"/>
        <family val="3"/>
      </rPr>
      <t xml:space="preserve"> </t>
    </r>
    <r>
      <rPr>
        <sz val="11"/>
        <rFont val="游ゴシック Medium"/>
        <family val="3"/>
        <charset val="128"/>
      </rPr>
      <t>身近な魚の</t>
    </r>
    <r>
      <rPr>
        <sz val="11"/>
        <rFont val="Consolas"/>
        <family val="3"/>
      </rPr>
      <t xml:space="preserve"> </t>
    </r>
    <r>
      <rPr>
        <sz val="11"/>
        <rFont val="游ゴシック Medium"/>
        <family val="3"/>
        <charset val="128"/>
      </rPr>
      <t>寄生虫─おかわり</t>
    </r>
    <rPh sb="0" eb="2">
      <t>サカナヤ</t>
    </rPh>
    <rPh sb="3" eb="5">
      <t>デア</t>
    </rPh>
    <rPh sb="7" eb="9">
      <t>ミヂカ</t>
    </rPh>
    <rPh sb="10" eb="11">
      <t>サカナ</t>
    </rPh>
    <rPh sb="13" eb="16">
      <t>キセイチュウ</t>
    </rPh>
    <phoneticPr fontId="1"/>
  </si>
  <si>
    <r>
      <rPr>
        <sz val="11"/>
        <rFont val="游ゴシック Medium"/>
        <family val="3"/>
        <charset val="128"/>
      </rPr>
      <t>自家製</t>
    </r>
    <rPh sb="0" eb="3">
      <t>ジカセイ</t>
    </rPh>
    <phoneticPr fontId="1"/>
  </si>
  <si>
    <r>
      <rPr>
        <sz val="11"/>
        <rFont val="游ゴシック Medium"/>
        <family val="3"/>
        <charset val="128"/>
      </rPr>
      <t>船田</t>
    </r>
    <r>
      <rPr>
        <sz val="11"/>
        <rFont val="Consolas"/>
        <family val="3"/>
      </rPr>
      <t xml:space="preserve"> </t>
    </r>
    <r>
      <rPr>
        <sz val="11"/>
        <rFont val="游ゴシック Medium"/>
        <family val="3"/>
        <charset val="128"/>
      </rPr>
      <t>京子</t>
    </r>
    <rPh sb="0" eb="2">
      <t>フナダ</t>
    </rPh>
    <rPh sb="3" eb="5">
      <t>キョウコ</t>
    </rPh>
    <phoneticPr fontId="1"/>
  </si>
  <si>
    <r>
      <rPr>
        <sz val="11"/>
        <rFont val="游ゴシック Medium"/>
        <family val="3"/>
        <charset val="128"/>
      </rPr>
      <t>社長から贈呈</t>
    </r>
    <rPh sb="0" eb="2">
      <t>シャチョウ</t>
    </rPh>
    <rPh sb="4" eb="6">
      <t>ゾウテイ</t>
    </rPh>
    <phoneticPr fontId="1"/>
  </si>
  <si>
    <r>
      <rPr>
        <sz val="11"/>
        <rFont val="游ゴシック Medium"/>
        <family val="3"/>
        <charset val="128"/>
      </rPr>
      <t>飛ぶ男</t>
    </r>
    <rPh sb="0" eb="1">
      <t>ト</t>
    </rPh>
    <phoneticPr fontId="1"/>
  </si>
  <si>
    <r>
      <t>(</t>
    </r>
    <r>
      <rPr>
        <sz val="11"/>
        <rFont val="游ゴシック Medium"/>
        <family val="3"/>
        <charset val="128"/>
      </rPr>
      <t>霊媒の話より</t>
    </r>
    <r>
      <rPr>
        <sz val="11"/>
        <rFont val="Consolas"/>
        <family val="3"/>
      </rPr>
      <t xml:space="preserve">) </t>
    </r>
    <r>
      <rPr>
        <sz val="11"/>
        <rFont val="游ゴシック Medium"/>
        <family val="3"/>
        <charset val="128"/>
      </rPr>
      <t>題未定</t>
    </r>
    <r>
      <rPr>
        <sz val="11"/>
        <rFont val="Consolas"/>
        <family val="3"/>
      </rPr>
      <t xml:space="preserve"> - </t>
    </r>
    <r>
      <rPr>
        <sz val="11"/>
        <rFont val="游ゴシック Medium"/>
        <family val="3"/>
        <charset val="128"/>
      </rPr>
      <t>安部公房初期短編集</t>
    </r>
    <r>
      <rPr>
        <sz val="11"/>
        <rFont val="Consolas"/>
        <family val="3"/>
      </rPr>
      <t xml:space="preserve"> -</t>
    </r>
    <rPh sb="1" eb="3">
      <t>レイバイ</t>
    </rPh>
    <rPh sb="4" eb="5">
      <t>ハナシ</t>
    </rPh>
    <rPh sb="9" eb="12">
      <t>ダイミテイ</t>
    </rPh>
    <rPh sb="15" eb="17">
      <t>アベ</t>
    </rPh>
    <rPh sb="17" eb="19">
      <t>コウボウ</t>
    </rPh>
    <rPh sb="19" eb="21">
      <t>ショキ</t>
    </rPh>
    <rPh sb="21" eb="24">
      <t>タンペンシュウ</t>
    </rPh>
    <phoneticPr fontId="1"/>
  </si>
  <si>
    <r>
      <rPr>
        <sz val="11"/>
        <rFont val="游ゴシック Medium"/>
        <family val="3"/>
        <charset val="128"/>
      </rPr>
      <t>三省堂</t>
    </r>
    <r>
      <rPr>
        <sz val="11"/>
        <rFont val="Consolas"/>
        <family val="3"/>
      </rPr>
      <t xml:space="preserve"> </t>
    </r>
    <r>
      <rPr>
        <sz val="11"/>
        <rFont val="游ゴシック Medium"/>
        <family val="3"/>
        <charset val="128"/>
      </rPr>
      <t>交通会館</t>
    </r>
    <rPh sb="0" eb="3">
      <t>サンセイドウ</t>
    </rPh>
    <rPh sb="4" eb="8">
      <t>コウツウカイカン</t>
    </rPh>
    <phoneticPr fontId="1"/>
  </si>
  <si>
    <r>
      <rPr>
        <sz val="11"/>
        <rFont val="游ゴシック Medium"/>
        <family val="3"/>
        <charset val="128"/>
      </rPr>
      <t>垣谷</t>
    </r>
    <r>
      <rPr>
        <sz val="11"/>
        <rFont val="Consolas"/>
        <family val="3"/>
      </rPr>
      <t xml:space="preserve"> </t>
    </r>
    <r>
      <rPr>
        <sz val="11"/>
        <rFont val="游ゴシック Medium"/>
        <family val="3"/>
        <charset val="128"/>
      </rPr>
      <t>美雨</t>
    </r>
    <rPh sb="0" eb="2">
      <t>カキヤ</t>
    </rPh>
    <rPh sb="3" eb="5">
      <t>ミウ</t>
    </rPh>
    <phoneticPr fontId="1"/>
  </si>
  <si>
    <r>
      <rPr>
        <sz val="11"/>
        <rFont val="游ゴシック Medium"/>
        <family val="3"/>
        <charset val="128"/>
      </rPr>
      <t>夫のカノジョ</t>
    </r>
    <rPh sb="0" eb="1">
      <t>オット</t>
    </rPh>
    <phoneticPr fontId="1"/>
  </si>
  <si>
    <r>
      <rPr>
        <sz val="11"/>
        <rFont val="游ゴシック Medium"/>
        <family val="3"/>
        <charset val="128"/>
      </rPr>
      <t>双葉文庫</t>
    </r>
    <rPh sb="0" eb="4">
      <t>フタバブンコ</t>
    </rPh>
    <phoneticPr fontId="1"/>
  </si>
  <si>
    <r>
      <rPr>
        <sz val="11"/>
        <rFont val="游ゴシック Medium"/>
        <family val="3"/>
        <charset val="128"/>
      </rPr>
      <t>角田</t>
    </r>
    <r>
      <rPr>
        <sz val="11"/>
        <rFont val="Consolas"/>
        <family val="3"/>
      </rPr>
      <t xml:space="preserve"> </t>
    </r>
    <r>
      <rPr>
        <sz val="11"/>
        <rFont val="游ゴシック Medium"/>
        <family val="3"/>
        <charset val="128"/>
      </rPr>
      <t>光代</t>
    </r>
    <rPh sb="0" eb="2">
      <t>カクタ</t>
    </rPh>
    <rPh sb="3" eb="5">
      <t>ミツヨ</t>
    </rPh>
    <phoneticPr fontId="1"/>
  </si>
  <si>
    <r>
      <rPr>
        <sz val="11"/>
        <rFont val="游ゴシック Medium"/>
        <family val="3"/>
        <charset val="128"/>
      </rPr>
      <t>愛がなんだ</t>
    </r>
    <rPh sb="0" eb="1">
      <t>アイ</t>
    </rPh>
    <phoneticPr fontId="1"/>
  </si>
  <si>
    <r>
      <rPr>
        <sz val="11"/>
        <rFont val="游ゴシック Medium"/>
        <family val="3"/>
        <charset val="128"/>
      </rPr>
      <t>角川文庫</t>
    </r>
    <rPh sb="0" eb="4">
      <t>カドカワ</t>
    </rPh>
    <phoneticPr fontId="1"/>
  </si>
  <si>
    <r>
      <rPr>
        <sz val="11"/>
        <rFont val="游ゴシック Medium"/>
        <family val="3"/>
        <charset val="128"/>
      </rPr>
      <t>三度目の恋</t>
    </r>
    <rPh sb="0" eb="1">
      <t>サン</t>
    </rPh>
    <rPh sb="1" eb="3">
      <t>ドメ</t>
    </rPh>
    <rPh sb="4" eb="5">
      <t>コイ</t>
    </rPh>
    <phoneticPr fontId="1"/>
  </si>
  <si>
    <r>
      <rPr>
        <sz val="11"/>
        <rFont val="游ゴシック Medium"/>
        <family val="3"/>
        <charset val="128"/>
      </rPr>
      <t>アミダサマ</t>
    </r>
    <phoneticPr fontId="1"/>
  </si>
  <si>
    <r>
      <rPr>
        <sz val="11"/>
        <rFont val="游ゴシック Medium"/>
        <family val="3"/>
        <charset val="128"/>
      </rPr>
      <t>辻</t>
    </r>
    <rPh sb="0" eb="1">
      <t>ツジ</t>
    </rPh>
    <phoneticPr fontId="1"/>
  </si>
  <si>
    <r>
      <t xml:space="preserve">2006/01/ </t>
    </r>
    <r>
      <rPr>
        <sz val="11"/>
        <rFont val="游ゴシック Medium"/>
        <family val="3"/>
        <charset val="128"/>
      </rPr>
      <t>新潮社</t>
    </r>
    <rPh sb="9" eb="12">
      <t>シンチョウシャ</t>
    </rPh>
    <phoneticPr fontId="1"/>
  </si>
  <si>
    <r>
      <rPr>
        <sz val="11"/>
        <rFont val="游ゴシック Medium"/>
        <family val="3"/>
        <charset val="128"/>
      </rPr>
      <t>大府市立大府中学校</t>
    </r>
    <rPh sb="0" eb="9">
      <t>オオブシリツオオブチュウガッコウ</t>
    </rPh>
    <phoneticPr fontId="1"/>
  </si>
  <si>
    <r>
      <rPr>
        <sz val="11"/>
        <rFont val="游ゴシック Medium"/>
        <family val="3"/>
        <charset val="128"/>
      </rPr>
      <t>卒業記念</t>
    </r>
    <r>
      <rPr>
        <sz val="11"/>
        <rFont val="Consolas"/>
        <family val="3"/>
      </rPr>
      <t xml:space="preserve"> </t>
    </r>
    <r>
      <rPr>
        <sz val="11"/>
        <rFont val="游ゴシック Medium"/>
        <family val="3"/>
        <charset val="128"/>
      </rPr>
      <t>昭和</t>
    </r>
    <r>
      <rPr>
        <sz val="11"/>
        <rFont val="Consolas"/>
        <family val="3"/>
      </rPr>
      <t>52</t>
    </r>
    <r>
      <rPr>
        <sz val="11"/>
        <rFont val="游ゴシック Medium"/>
        <family val="3"/>
        <charset val="128"/>
      </rPr>
      <t>年</t>
    </r>
    <r>
      <rPr>
        <sz val="11"/>
        <rFont val="Consolas"/>
        <family val="3"/>
      </rPr>
      <t>3</t>
    </r>
    <r>
      <rPr>
        <sz val="11"/>
        <rFont val="游ゴシック Medium"/>
        <family val="3"/>
        <charset val="128"/>
      </rPr>
      <t>月</t>
    </r>
    <rPh sb="0" eb="4">
      <t>ソツギョウキネン</t>
    </rPh>
    <rPh sb="5" eb="7">
      <t>ショウワ</t>
    </rPh>
    <rPh sb="9" eb="10">
      <t>ネン</t>
    </rPh>
    <rPh sb="11" eb="12">
      <t>ガツ</t>
    </rPh>
    <phoneticPr fontId="1"/>
  </si>
  <si>
    <r>
      <rPr>
        <sz val="11"/>
        <rFont val="游ゴシック Medium"/>
        <family val="3"/>
        <charset val="128"/>
      </rPr>
      <t>愛知県立横須賀高等学校</t>
    </r>
    <rPh sb="0" eb="4">
      <t>アイチケンリツ</t>
    </rPh>
    <rPh sb="4" eb="11">
      <t>ヨコスカコウトウガッコウ</t>
    </rPh>
    <phoneticPr fontId="1"/>
  </si>
  <si>
    <r>
      <rPr>
        <sz val="11"/>
        <rFont val="游ゴシック Medium"/>
        <family val="3"/>
        <charset val="128"/>
      </rPr>
      <t>わが校の歩み</t>
    </r>
    <rPh sb="2" eb="3">
      <t>コウ</t>
    </rPh>
    <rPh sb="4" eb="5">
      <t>アユ</t>
    </rPh>
    <phoneticPr fontId="1"/>
  </si>
  <si>
    <r>
      <rPr>
        <sz val="11"/>
        <rFont val="游ゴシック Medium"/>
        <family val="3"/>
        <charset val="128"/>
      </rPr>
      <t>卒業記念</t>
    </r>
    <r>
      <rPr>
        <sz val="11"/>
        <rFont val="Consolas"/>
        <family val="3"/>
      </rPr>
      <t xml:space="preserve"> </t>
    </r>
    <r>
      <rPr>
        <sz val="11"/>
        <rFont val="游ゴシック Medium"/>
        <family val="3"/>
        <charset val="128"/>
      </rPr>
      <t>昭和</t>
    </r>
    <r>
      <rPr>
        <sz val="11"/>
        <rFont val="Consolas"/>
        <family val="3"/>
      </rPr>
      <t>55</t>
    </r>
    <r>
      <rPr>
        <sz val="11"/>
        <rFont val="游ゴシック Medium"/>
        <family val="3"/>
        <charset val="128"/>
      </rPr>
      <t>年</t>
    </r>
    <r>
      <rPr>
        <sz val="11"/>
        <rFont val="Consolas"/>
        <family val="3"/>
      </rPr>
      <t>3</t>
    </r>
    <r>
      <rPr>
        <sz val="11"/>
        <rFont val="游ゴシック Medium"/>
        <family val="3"/>
        <charset val="128"/>
      </rPr>
      <t>月</t>
    </r>
    <rPh sb="0" eb="4">
      <t>ソツギョウキネン</t>
    </rPh>
    <rPh sb="5" eb="7">
      <t>ショウワ</t>
    </rPh>
    <rPh sb="9" eb="10">
      <t>ネン</t>
    </rPh>
    <rPh sb="11" eb="12">
      <t>ガツ</t>
    </rPh>
    <phoneticPr fontId="1"/>
  </si>
  <si>
    <r>
      <rPr>
        <sz val="11"/>
        <rFont val="游ゴシック Medium"/>
        <family val="3"/>
        <charset val="128"/>
      </rPr>
      <t>襤褸</t>
    </r>
    <rPh sb="0" eb="2">
      <t>ランル</t>
    </rPh>
    <phoneticPr fontId="1"/>
  </si>
  <si>
    <t>classics|france</t>
    <phoneticPr fontId="1"/>
  </si>
  <si>
    <t>Saint-Saens</t>
    <rPh sb="0" eb="11">
      <t>サン=サーンス</t>
    </rPh>
    <phoneticPr fontId="1"/>
  </si>
  <si>
    <t>978-4-11-160261-2</t>
    <phoneticPr fontId="1"/>
  </si>
  <si>
    <t>978-4-285-14800-3</t>
    <phoneticPr fontId="1"/>
  </si>
  <si>
    <r>
      <t>Jana'cek</t>
    </r>
    <r>
      <rPr>
        <sz val="11"/>
        <rFont val="Consolas"/>
        <family val="3"/>
      </rPr>
      <t>,Leos</t>
    </r>
    <rPh sb="0" eb="8">
      <t>ヤナーチェク</t>
    </rPh>
    <rPh sb="9" eb="13">
      <t>レオシュ</t>
    </rPh>
    <phoneticPr fontId="1"/>
  </si>
  <si>
    <r>
      <rPr>
        <sz val="11"/>
        <rFont val="游ゴシック Medium"/>
        <family val="3"/>
        <charset val="128"/>
      </rPr>
      <t>小池</t>
    </r>
    <r>
      <rPr>
        <sz val="11"/>
        <rFont val="Consolas"/>
        <family val="3"/>
      </rPr>
      <t xml:space="preserve"> </t>
    </r>
    <r>
      <rPr>
        <sz val="11"/>
        <rFont val="游ゴシック Medium"/>
        <family val="3"/>
        <charset val="128"/>
      </rPr>
      <t>孝志</t>
    </r>
    <rPh sb="0" eb="2">
      <t>コイケ</t>
    </rPh>
    <rPh sb="3" eb="5">
      <t>タカシ</t>
    </rPh>
    <phoneticPr fontId="1"/>
  </si>
  <si>
    <r>
      <rPr>
        <sz val="11"/>
        <rFont val="游ゴシック Medium"/>
        <family val="3"/>
        <charset val="128"/>
      </rPr>
      <t>ヤナーチェク・ピアノ名曲集</t>
    </r>
    <rPh sb="10" eb="13">
      <t>メイキョクシュウ</t>
    </rPh>
    <phoneticPr fontId="1"/>
  </si>
  <si>
    <r>
      <rPr>
        <sz val="11"/>
        <rFont val="游ゴシック Medium"/>
        <family val="3"/>
        <charset val="128"/>
      </rPr>
      <t>山野楽器</t>
    </r>
    <r>
      <rPr>
        <sz val="11"/>
        <rFont val="Consolas"/>
        <family val="3"/>
      </rPr>
      <t xml:space="preserve"> </t>
    </r>
    <r>
      <rPr>
        <sz val="11"/>
        <rFont val="游ゴシック Medium"/>
        <family val="3"/>
        <charset val="128"/>
      </rPr>
      <t>サウンドクルー吉祥寺</t>
    </r>
    <rPh sb="0" eb="4">
      <t>ヤマノガッキ</t>
    </rPh>
    <rPh sb="12" eb="15">
      <t>キチジョウジ</t>
    </rPh>
    <phoneticPr fontId="1"/>
  </si>
  <si>
    <r>
      <rPr>
        <sz val="11"/>
        <rFont val="游ゴシック Medium"/>
        <family val="3"/>
        <charset val="128"/>
      </rPr>
      <t>後藤</t>
    </r>
    <r>
      <rPr>
        <sz val="11"/>
        <rFont val="Consolas"/>
        <family val="3"/>
      </rPr>
      <t xml:space="preserve"> </t>
    </r>
    <r>
      <rPr>
        <sz val="11"/>
        <rFont val="游ゴシック Medium"/>
        <family val="3"/>
        <charset val="128"/>
      </rPr>
      <t>丹</t>
    </r>
    <rPh sb="0" eb="2">
      <t>ゴトウ</t>
    </rPh>
    <rPh sb="3" eb="4">
      <t>マコト</t>
    </rPh>
    <phoneticPr fontId="1"/>
  </si>
  <si>
    <r>
      <rPr>
        <sz val="11"/>
        <rFont val="游ゴシック Medium"/>
        <family val="3"/>
        <charset val="128"/>
      </rPr>
      <t>動物の謝肉祭</t>
    </r>
    <rPh sb="0" eb="2">
      <t>ドウブツ</t>
    </rPh>
    <rPh sb="3" eb="6">
      <t>シャニクサイ</t>
    </rPh>
    <phoneticPr fontId="1"/>
  </si>
  <si>
    <t>Reich,Steve</t>
    <rPh sb="0" eb="5">
      <t>ライヒ</t>
    </rPh>
    <rPh sb="6" eb="11">
      <t>スディーヴ</t>
    </rPh>
    <phoneticPr fontId="1"/>
  </si>
  <si>
    <t>Кабале́вский,Дми́трий Бори́сович</t>
    <rPh sb="0" eb="12">
      <t>カバレフスキー</t>
    </rPh>
    <rPh sb="13" eb="21">
      <t>ドミトリー</t>
    </rPh>
    <rPh sb="22" eb="32">
      <t>ボリソヴィチ</t>
    </rPh>
    <phoneticPr fontId="1"/>
  </si>
  <si>
    <t>Khatchatourian,Aram</t>
    <rPh sb="0" eb="14">
      <t>ハチァトゥリアン</t>
    </rPh>
    <rPh sb="15" eb="19">
      <t>アラム</t>
    </rPh>
    <phoneticPr fontId="1"/>
  </si>
  <si>
    <t>Duparc,Eugène Marie Henri Fouques</t>
    <rPh sb="0" eb="6">
      <t>デュパルク</t>
    </rPh>
    <rPh sb="7" eb="13">
      <t>ウジェーヌ</t>
    </rPh>
    <rPh sb="14" eb="19">
      <t>マリー</t>
    </rPh>
    <rPh sb="20" eb="25">
      <t>アンリ</t>
    </rPh>
    <rPh sb="26" eb="33">
      <t>フーケ</t>
    </rPh>
    <phoneticPr fontId="1"/>
  </si>
  <si>
    <t>Grieg,Edvard</t>
    <rPh sb="0" eb="5">
      <t>グリーク</t>
    </rPh>
    <rPh sb="6" eb="12">
      <t>エドヴァルド</t>
    </rPh>
    <phoneticPr fontId="1"/>
  </si>
  <si>
    <t>Mauro Giuliani,Giuseppe Sergio Pantaleo</t>
    <rPh sb="0" eb="14">
      <t>マウロ・ジュリアーニ</t>
    </rPh>
    <rPh sb="15" eb="23">
      <t>ジュゼッペ</t>
    </rPh>
    <rPh sb="24" eb="30">
      <t>セルジョ</t>
    </rPh>
    <rPh sb="31" eb="39">
      <t>パンタレーオ</t>
    </rPh>
    <phoneticPr fontId="1"/>
  </si>
  <si>
    <t>Hanon,Charles-Louis</t>
    <rPh sb="0" eb="5">
      <t>アノン</t>
    </rPh>
    <rPh sb="6" eb="19">
      <t>シャルル＝ルイ</t>
    </rPh>
    <phoneticPr fontId="1"/>
  </si>
  <si>
    <t>Beyer,Ferdinand</t>
    <rPh sb="0" eb="5">
      <t>バイエル</t>
    </rPh>
    <rPh sb="6" eb="15">
      <t>フェルディナント</t>
    </rPh>
    <phoneticPr fontId="1"/>
  </si>
  <si>
    <r>
      <rPr>
        <sz val="11"/>
        <rFont val="游ゴシック Medium"/>
        <family val="3"/>
        <charset val="128"/>
      </rPr>
      <t>怪奇小説傑作集</t>
    </r>
    <r>
      <rPr>
        <sz val="11"/>
        <rFont val="Consolas"/>
        <family val="3"/>
      </rPr>
      <t>1</t>
    </r>
    <r>
      <rPr>
        <sz val="11"/>
        <rFont val="游ゴシック Medium"/>
        <family val="3"/>
        <charset val="128"/>
      </rPr>
      <t>英米編</t>
    </r>
    <r>
      <rPr>
        <sz val="11"/>
        <rFont val="Consolas"/>
        <family val="3"/>
      </rPr>
      <t>|Blackwood</t>
    </r>
    <r>
      <rPr>
        <sz val="11"/>
        <rFont val="游ゴシック Medium"/>
        <family val="3"/>
        <charset val="128"/>
      </rPr>
      <t>他</t>
    </r>
    <r>
      <rPr>
        <sz val="11"/>
        <rFont val="Consolas"/>
        <family val="3"/>
      </rPr>
      <t>|</t>
    </r>
    <r>
      <rPr>
        <sz val="11"/>
        <rFont val="游ゴシック Medium"/>
        <family val="3"/>
        <charset val="128"/>
      </rPr>
      <t>平井呈一</t>
    </r>
    <r>
      <rPr>
        <sz val="11"/>
        <rFont val="Consolas"/>
        <family val="3"/>
      </rPr>
      <t>:</t>
    </r>
    <r>
      <rPr>
        <sz val="11"/>
        <rFont val="游ゴシック Medium"/>
        <family val="3"/>
        <charset val="128"/>
      </rPr>
      <t>訳</t>
    </r>
    <r>
      <rPr>
        <sz val="11"/>
        <rFont val="Consolas"/>
        <family val="3"/>
      </rPr>
      <t>|Great Stories of Horror and the Supernatural|</t>
    </r>
    <rPh sb="0" eb="2">
      <t>カイキ</t>
    </rPh>
    <rPh sb="2" eb="4">
      <t>ショウセツ</t>
    </rPh>
    <rPh sb="4" eb="6">
      <t>ケッサク</t>
    </rPh>
    <rPh sb="6" eb="7">
      <t>シュウ</t>
    </rPh>
    <rPh sb="8" eb="10">
      <t>エイベイ</t>
    </rPh>
    <rPh sb="10" eb="11">
      <t>ヘン</t>
    </rPh>
    <rPh sb="12" eb="21">
      <t>ブラックウッド</t>
    </rPh>
    <rPh sb="21" eb="22">
      <t>ホカ</t>
    </rPh>
    <rPh sb="23" eb="25">
      <t>ヒライ</t>
    </rPh>
    <rPh sb="25" eb="27">
      <t>テイイチ</t>
    </rPh>
    <rPh sb="28" eb="29">
      <t>ヤク</t>
    </rPh>
    <phoneticPr fontId="1"/>
  </si>
  <si>
    <r>
      <rPr>
        <sz val="11"/>
        <rFont val="游ゴシック Medium"/>
        <family val="3"/>
        <charset val="128"/>
      </rPr>
      <t>怪奇小説傑作集</t>
    </r>
    <r>
      <rPr>
        <sz val="11"/>
        <rFont val="Consolas"/>
        <family val="3"/>
      </rPr>
      <t>4France</t>
    </r>
    <r>
      <rPr>
        <sz val="11"/>
        <rFont val="游ゴシック Medium"/>
        <family val="3"/>
        <charset val="128"/>
      </rPr>
      <t>編</t>
    </r>
    <r>
      <rPr>
        <sz val="11"/>
        <rFont val="Consolas"/>
        <family val="3"/>
      </rPr>
      <t>|Apollinaire</t>
    </r>
    <r>
      <rPr>
        <sz val="11"/>
        <rFont val="游ゴシック Medium"/>
        <family val="3"/>
        <charset val="128"/>
      </rPr>
      <t>他</t>
    </r>
    <r>
      <rPr>
        <sz val="11"/>
        <rFont val="Consolas"/>
        <family val="3"/>
      </rPr>
      <t>|</t>
    </r>
    <r>
      <rPr>
        <sz val="11"/>
        <rFont val="游ゴシック Medium"/>
        <family val="3"/>
        <charset val="128"/>
      </rPr>
      <t>青柳瑞穂･澁澤龍彦</t>
    </r>
    <r>
      <rPr>
        <sz val="11"/>
        <rFont val="Consolas"/>
        <family val="3"/>
      </rPr>
      <t>:</t>
    </r>
    <r>
      <rPr>
        <sz val="11"/>
        <rFont val="游ゴシック Medium"/>
        <family val="3"/>
        <charset val="128"/>
      </rPr>
      <t>訳</t>
    </r>
    <r>
      <rPr>
        <sz val="11"/>
        <rFont val="Consolas"/>
        <family val="3"/>
      </rPr>
      <t>|Great Stories of Horror and the Supernatural</t>
    </r>
    <rPh sb="0" eb="2">
      <t>カイキ</t>
    </rPh>
    <rPh sb="2" eb="4">
      <t>ショウセツ</t>
    </rPh>
    <rPh sb="4" eb="6">
      <t>ケッサク</t>
    </rPh>
    <rPh sb="6" eb="7">
      <t>シュウ</t>
    </rPh>
    <rPh sb="8" eb="14">
      <t>フランス</t>
    </rPh>
    <rPh sb="14" eb="15">
      <t>ヘン</t>
    </rPh>
    <rPh sb="16" eb="27">
      <t>アポリネール</t>
    </rPh>
    <rPh sb="27" eb="28">
      <t>ホカ</t>
    </rPh>
    <rPh sb="29" eb="31">
      <t>アオヤギ</t>
    </rPh>
    <rPh sb="31" eb="33">
      <t>ミズホ</t>
    </rPh>
    <rPh sb="34" eb="38">
      <t>シブサワタツヒコ</t>
    </rPh>
    <rPh sb="39" eb="40">
      <t>ヤク</t>
    </rPh>
    <phoneticPr fontId="1"/>
  </si>
  <si>
    <r>
      <rPr>
        <sz val="11"/>
        <rFont val="游ゴシック Medium"/>
        <family val="3"/>
        <charset val="128"/>
      </rPr>
      <t>怪奇小説傑作集</t>
    </r>
    <r>
      <rPr>
        <sz val="11"/>
        <rFont val="Consolas"/>
        <family val="3"/>
      </rPr>
      <t>5</t>
    </r>
    <r>
      <rPr>
        <sz val="11"/>
        <rFont val="游ゴシック Medium"/>
        <family val="3"/>
        <charset val="128"/>
      </rPr>
      <t>独露編</t>
    </r>
    <r>
      <rPr>
        <sz val="11"/>
        <rFont val="Consolas"/>
        <family val="3"/>
      </rPr>
      <t>|</t>
    </r>
    <r>
      <rPr>
        <sz val="11"/>
        <rFont val="游ゴシック Medium"/>
        <family val="3"/>
        <charset val="128"/>
      </rPr>
      <t>ドイツ編</t>
    </r>
    <r>
      <rPr>
        <sz val="11"/>
        <rFont val="Consolas"/>
        <family val="3"/>
      </rPr>
      <t>|</t>
    </r>
    <r>
      <rPr>
        <sz val="11"/>
        <rFont val="游ゴシック Medium"/>
        <family val="3"/>
        <charset val="128"/>
      </rPr>
      <t>エーベルス他</t>
    </r>
    <r>
      <rPr>
        <sz val="11"/>
        <rFont val="Consolas"/>
        <family val="3"/>
      </rPr>
      <t>|</t>
    </r>
    <r>
      <rPr>
        <sz val="11"/>
        <rFont val="游ゴシック Medium"/>
        <family val="3"/>
        <charset val="128"/>
      </rPr>
      <t>植田敏郎･原</t>
    </r>
    <r>
      <rPr>
        <sz val="11"/>
        <rFont val="Consolas"/>
        <family val="3"/>
      </rPr>
      <t xml:space="preserve"> </t>
    </r>
    <r>
      <rPr>
        <sz val="11"/>
        <rFont val="游ゴシック Medium"/>
        <family val="3"/>
        <charset val="128"/>
      </rPr>
      <t>卓也</t>
    </r>
    <r>
      <rPr>
        <sz val="11"/>
        <rFont val="Consolas"/>
        <family val="3"/>
      </rPr>
      <t>:</t>
    </r>
    <r>
      <rPr>
        <sz val="11"/>
        <rFont val="游ゴシック Medium"/>
        <family val="3"/>
        <charset val="128"/>
      </rPr>
      <t>訳</t>
    </r>
    <r>
      <rPr>
        <sz val="11"/>
        <rFont val="Consolas"/>
        <family val="3"/>
      </rPr>
      <t>|Great Stories of Horror and the Supernatural</t>
    </r>
    <rPh sb="0" eb="2">
      <t>カイキ</t>
    </rPh>
    <rPh sb="2" eb="4">
      <t>ショウセツ</t>
    </rPh>
    <rPh sb="4" eb="6">
      <t>ケッサク</t>
    </rPh>
    <rPh sb="6" eb="7">
      <t>シュウ</t>
    </rPh>
    <rPh sb="8" eb="9">
      <t>ドク</t>
    </rPh>
    <rPh sb="9" eb="10">
      <t>ロ</t>
    </rPh>
    <rPh sb="10" eb="11">
      <t>ヘン</t>
    </rPh>
    <rPh sb="15" eb="16">
      <t>ヘン</t>
    </rPh>
    <rPh sb="22" eb="23">
      <t>ホカ</t>
    </rPh>
    <rPh sb="24" eb="26">
      <t>ウエダ</t>
    </rPh>
    <rPh sb="26" eb="28">
      <t>トシロウ</t>
    </rPh>
    <rPh sb="29" eb="30">
      <t>ハラ</t>
    </rPh>
    <rPh sb="31" eb="33">
      <t>タクヤ</t>
    </rPh>
    <rPh sb="34" eb="35">
      <t>ヤク</t>
    </rPh>
    <phoneticPr fontId="1"/>
  </si>
  <si>
    <r>
      <rPr>
        <sz val="11"/>
        <rFont val="游ゴシック Medium"/>
        <family val="3"/>
        <charset val="128"/>
      </rPr>
      <t>恐怖の愉しみ</t>
    </r>
    <r>
      <rPr>
        <sz val="11"/>
        <rFont val="Consolas"/>
        <family val="3"/>
      </rPr>
      <t>|</t>
    </r>
    <r>
      <rPr>
        <sz val="11"/>
        <rFont val="游ゴシック Medium"/>
        <family val="3"/>
        <charset val="128"/>
      </rPr>
      <t>上</t>
    </r>
    <r>
      <rPr>
        <sz val="11"/>
        <rFont val="Consolas"/>
        <family val="3"/>
      </rPr>
      <t>|Le Fanu</t>
    </r>
    <r>
      <rPr>
        <sz val="11"/>
        <rFont val="游ゴシック Medium"/>
        <family val="3"/>
        <charset val="128"/>
      </rPr>
      <t>他</t>
    </r>
    <r>
      <rPr>
        <sz val="11"/>
        <rFont val="Consolas"/>
        <family val="3"/>
      </rPr>
      <t>|</t>
    </r>
    <r>
      <rPr>
        <sz val="11"/>
        <rFont val="游ゴシック Medium"/>
        <family val="3"/>
        <charset val="128"/>
      </rPr>
      <t>平井呈一</t>
    </r>
    <r>
      <rPr>
        <sz val="11"/>
        <rFont val="Consolas"/>
        <family val="3"/>
      </rPr>
      <t>:</t>
    </r>
    <r>
      <rPr>
        <sz val="11"/>
        <rFont val="游ゴシック Medium"/>
        <family val="3"/>
        <charset val="128"/>
      </rPr>
      <t>編訳</t>
    </r>
    <r>
      <rPr>
        <sz val="11"/>
        <rFont val="Consolas"/>
        <family val="3"/>
      </rPr>
      <t>|Madam Crowl's Ghost and Other Ghost Stories</t>
    </r>
    <rPh sb="0" eb="2">
      <t>キョウフ</t>
    </rPh>
    <rPh sb="3" eb="4">
      <t>タノ</t>
    </rPh>
    <rPh sb="7" eb="8">
      <t>ジョウ</t>
    </rPh>
    <rPh sb="9" eb="16">
      <t>レ・ファニュ</t>
    </rPh>
    <rPh sb="16" eb="17">
      <t>ホカ</t>
    </rPh>
    <rPh sb="18" eb="20">
      <t>ヒライ</t>
    </rPh>
    <rPh sb="20" eb="22">
      <t>テイイチ</t>
    </rPh>
    <rPh sb="23" eb="24">
      <t>ヘン</t>
    </rPh>
    <rPh sb="24" eb="25">
      <t>ヤク</t>
    </rPh>
    <phoneticPr fontId="1"/>
  </si>
  <si>
    <r>
      <rPr>
        <sz val="11"/>
        <rFont val="游ゴシック Medium"/>
        <family val="3"/>
        <charset val="128"/>
      </rPr>
      <t>恐怖の愉しみ</t>
    </r>
    <r>
      <rPr>
        <sz val="11"/>
        <rFont val="Consolas"/>
        <family val="3"/>
      </rPr>
      <t>|</t>
    </r>
    <r>
      <rPr>
        <sz val="11"/>
        <rFont val="游ゴシック Medium"/>
        <family val="3"/>
        <charset val="128"/>
      </rPr>
      <t>下</t>
    </r>
    <r>
      <rPr>
        <sz val="11"/>
        <rFont val="Consolas"/>
        <family val="3"/>
      </rPr>
      <t>|De La Mare</t>
    </r>
    <r>
      <rPr>
        <sz val="11"/>
        <rFont val="游ゴシック Medium"/>
        <family val="3"/>
        <charset val="128"/>
      </rPr>
      <t>他</t>
    </r>
    <r>
      <rPr>
        <sz val="11"/>
        <rFont val="Consolas"/>
        <family val="3"/>
      </rPr>
      <t>|</t>
    </r>
    <r>
      <rPr>
        <sz val="11"/>
        <rFont val="游ゴシック Medium"/>
        <family val="3"/>
        <charset val="128"/>
      </rPr>
      <t>平井呈一</t>
    </r>
    <r>
      <rPr>
        <sz val="11"/>
        <rFont val="Consolas"/>
        <family val="3"/>
      </rPr>
      <t>:</t>
    </r>
    <r>
      <rPr>
        <sz val="11"/>
        <rFont val="游ゴシック Medium"/>
        <family val="3"/>
        <charset val="128"/>
      </rPr>
      <t>編訳</t>
    </r>
    <r>
      <rPr>
        <sz val="11"/>
        <rFont val="Consolas"/>
        <family val="3"/>
      </rPr>
      <t>|Madam Crowl's Ghost and Other Ghost Stories</t>
    </r>
    <rPh sb="0" eb="2">
      <t>キョウフ</t>
    </rPh>
    <rPh sb="3" eb="4">
      <t>タノ</t>
    </rPh>
    <rPh sb="7" eb="8">
      <t>ゲ</t>
    </rPh>
    <rPh sb="9" eb="19">
      <t>デ・ラ・メア</t>
    </rPh>
    <rPh sb="19" eb="20">
      <t>ホカ</t>
    </rPh>
    <rPh sb="21" eb="23">
      <t>ヒライ</t>
    </rPh>
    <rPh sb="23" eb="25">
      <t>テイイチ</t>
    </rPh>
    <rPh sb="26" eb="27">
      <t>ヘン</t>
    </rPh>
    <rPh sb="27" eb="28">
      <t>ヤク</t>
    </rPh>
    <phoneticPr fontId="1"/>
  </si>
  <si>
    <r>
      <rPr>
        <sz val="11"/>
        <rFont val="游ゴシック Medium"/>
        <family val="3"/>
        <charset val="128"/>
      </rPr>
      <t>マンガ</t>
    </r>
    <r>
      <rPr>
        <sz val="11"/>
        <rFont val="Consolas"/>
        <family val="3"/>
      </rPr>
      <t xml:space="preserve"> </t>
    </r>
    <r>
      <rPr>
        <sz val="11"/>
        <rFont val="游ゴシック Medium"/>
        <family val="3"/>
        <charset val="128"/>
      </rPr>
      <t>ギリシア神話</t>
    </r>
    <r>
      <rPr>
        <sz val="11"/>
        <rFont val="Consolas"/>
        <family val="3"/>
      </rPr>
      <t xml:space="preserve"> 1 </t>
    </r>
    <r>
      <rPr>
        <sz val="11"/>
        <rFont val="游ゴシック Medium"/>
        <family val="3"/>
        <charset val="128"/>
      </rPr>
      <t>オリュンポスの神々</t>
    </r>
    <rPh sb="8" eb="10">
      <t>シンワ</t>
    </rPh>
    <rPh sb="20" eb="22">
      <t>カミガミ</t>
    </rPh>
    <phoneticPr fontId="1"/>
  </si>
  <si>
    <r>
      <rPr>
        <sz val="11"/>
        <rFont val="游ゴシック Medium"/>
        <family val="3"/>
        <charset val="128"/>
      </rPr>
      <t>マンガ</t>
    </r>
    <r>
      <rPr>
        <sz val="11"/>
        <rFont val="Consolas"/>
        <family val="3"/>
      </rPr>
      <t xml:space="preserve"> </t>
    </r>
    <r>
      <rPr>
        <sz val="11"/>
        <rFont val="游ゴシック Medium"/>
        <family val="3"/>
        <charset val="128"/>
      </rPr>
      <t>ギリシア神話</t>
    </r>
    <r>
      <rPr>
        <sz val="11"/>
        <rFont val="Consolas"/>
        <family val="3"/>
      </rPr>
      <t xml:space="preserve"> 2 </t>
    </r>
    <r>
      <rPr>
        <sz val="11"/>
        <rFont val="游ゴシック Medium"/>
        <family val="3"/>
        <charset val="128"/>
      </rPr>
      <t>アポロンの哀しみ</t>
    </r>
    <rPh sb="8" eb="10">
      <t>シンワ</t>
    </rPh>
    <rPh sb="18" eb="19">
      <t>カナ</t>
    </rPh>
    <phoneticPr fontId="1"/>
  </si>
  <si>
    <r>
      <rPr>
        <sz val="11"/>
        <rFont val="游ゴシック Medium"/>
        <family val="3"/>
        <charset val="128"/>
      </rPr>
      <t>マンガ</t>
    </r>
    <r>
      <rPr>
        <sz val="11"/>
        <rFont val="Consolas"/>
        <family val="3"/>
      </rPr>
      <t xml:space="preserve"> </t>
    </r>
    <r>
      <rPr>
        <sz val="11"/>
        <rFont val="游ゴシック Medium"/>
        <family val="3"/>
        <charset val="128"/>
      </rPr>
      <t>ギリシア神話</t>
    </r>
    <r>
      <rPr>
        <sz val="11"/>
        <rFont val="Consolas"/>
        <family val="3"/>
      </rPr>
      <t xml:space="preserve"> 5 </t>
    </r>
    <r>
      <rPr>
        <sz val="11"/>
        <rFont val="游ゴシック Medium"/>
        <family val="3"/>
        <charset val="128"/>
      </rPr>
      <t>英雄ヘラクレス</t>
    </r>
    <rPh sb="8" eb="10">
      <t>シンワ</t>
    </rPh>
    <rPh sb="13" eb="15">
      <t>エイユウ</t>
    </rPh>
    <phoneticPr fontId="1"/>
  </si>
  <si>
    <r>
      <rPr>
        <sz val="11"/>
        <rFont val="游ゴシック Medium"/>
        <family val="3"/>
        <charset val="128"/>
      </rPr>
      <t>マンガ</t>
    </r>
    <r>
      <rPr>
        <sz val="11"/>
        <rFont val="Consolas"/>
        <family val="3"/>
      </rPr>
      <t xml:space="preserve"> </t>
    </r>
    <r>
      <rPr>
        <sz val="11"/>
        <rFont val="游ゴシック Medium"/>
        <family val="3"/>
        <charset val="128"/>
      </rPr>
      <t>ギリシア神話</t>
    </r>
    <r>
      <rPr>
        <sz val="11"/>
        <rFont val="Consolas"/>
        <family val="3"/>
      </rPr>
      <t xml:space="preserve"> 6 </t>
    </r>
    <r>
      <rPr>
        <sz val="11"/>
        <rFont val="游ゴシック Medium"/>
        <family val="3"/>
        <charset val="128"/>
      </rPr>
      <t>激情の王女メデイア</t>
    </r>
    <rPh sb="8" eb="10">
      <t>シンワ</t>
    </rPh>
    <rPh sb="13" eb="15">
      <t>ゲキジョウ</t>
    </rPh>
    <rPh sb="16" eb="18">
      <t>オウジョ</t>
    </rPh>
    <phoneticPr fontId="1"/>
  </si>
  <si>
    <r>
      <rPr>
        <sz val="11"/>
        <rFont val="游ゴシック Medium"/>
        <family val="3"/>
        <charset val="128"/>
      </rPr>
      <t>マンガ</t>
    </r>
    <r>
      <rPr>
        <sz val="11"/>
        <rFont val="Consolas"/>
        <family val="3"/>
      </rPr>
      <t xml:space="preserve"> </t>
    </r>
    <r>
      <rPr>
        <sz val="11"/>
        <rFont val="游ゴシック Medium"/>
        <family val="3"/>
        <charset val="128"/>
      </rPr>
      <t>ギリシア神話</t>
    </r>
    <r>
      <rPr>
        <sz val="11"/>
        <rFont val="Consolas"/>
        <family val="3"/>
      </rPr>
      <t xml:space="preserve"> 8 </t>
    </r>
    <r>
      <rPr>
        <sz val="11"/>
        <rFont val="游ゴシック Medium"/>
        <family val="3"/>
        <charset val="128"/>
      </rPr>
      <t>オデュッセウスの航海</t>
    </r>
    <rPh sb="8" eb="10">
      <t>シンワ</t>
    </rPh>
    <rPh sb="21" eb="23">
      <t>コウカイ</t>
    </rPh>
    <phoneticPr fontId="1"/>
  </si>
  <si>
    <t>2025/</t>
    <phoneticPr fontId="1"/>
  </si>
  <si>
    <t>4-06-176922-7</t>
    <phoneticPr fontId="1"/>
  </si>
  <si>
    <t>1984/08 - 1986/02</t>
    <phoneticPr fontId="1"/>
  </si>
  <si>
    <t>4-7669-1013-3</t>
    <phoneticPr fontId="1"/>
  </si>
  <si>
    <t>4-257-96107-4</t>
    <phoneticPr fontId="1"/>
  </si>
  <si>
    <t>C8279</t>
    <phoneticPr fontId="1"/>
  </si>
  <si>
    <t>086105-2253(0)</t>
    <phoneticPr fontId="1"/>
  </si>
  <si>
    <t>4-04-731388-1</t>
    <phoneticPr fontId="1"/>
  </si>
  <si>
    <t>0171-761228-7339</t>
    <phoneticPr fontId="1"/>
  </si>
  <si>
    <t>978-4-582-92326-1</t>
    <phoneticPr fontId="1"/>
  </si>
  <si>
    <t>C9436</t>
    <phoneticPr fontId="1"/>
  </si>
  <si>
    <r>
      <rPr>
        <sz val="11"/>
        <rFont val="游ゴシック Medium"/>
        <family val="3"/>
        <charset val="128"/>
      </rPr>
      <t>別冊</t>
    </r>
    <r>
      <rPr>
        <sz val="11"/>
        <rFont val="Consolas"/>
        <family val="3"/>
      </rPr>
      <t xml:space="preserve"> </t>
    </r>
    <r>
      <rPr>
        <sz val="11"/>
        <rFont val="游ゴシック Medium"/>
        <family val="3"/>
        <charset val="128"/>
      </rPr>
      <t>太陽</t>
    </r>
    <r>
      <rPr>
        <sz val="11"/>
        <rFont val="Consolas"/>
        <family val="3"/>
      </rPr>
      <t xml:space="preserve"> | </t>
    </r>
    <r>
      <rPr>
        <sz val="11"/>
        <rFont val="游ゴシック Medium"/>
        <family val="3"/>
        <charset val="128"/>
      </rPr>
      <t>島村</t>
    </r>
    <r>
      <rPr>
        <sz val="11"/>
        <rFont val="Consolas"/>
        <family val="3"/>
      </rPr>
      <t xml:space="preserve"> </t>
    </r>
    <r>
      <rPr>
        <sz val="11"/>
        <rFont val="游ゴシック Medium"/>
        <family val="3"/>
        <charset val="128"/>
      </rPr>
      <t>一平</t>
    </r>
    <rPh sb="0" eb="2">
      <t>ベッサツ</t>
    </rPh>
    <rPh sb="3" eb="5">
      <t>タイヨウ</t>
    </rPh>
    <rPh sb="8" eb="10">
      <t>シマムラ</t>
    </rPh>
    <rPh sb="11" eb="13">
      <t>イッペイ</t>
    </rPh>
    <phoneticPr fontId="1"/>
  </si>
  <si>
    <r>
      <rPr>
        <sz val="11"/>
        <rFont val="游ゴシック Medium"/>
        <family val="3"/>
        <charset val="128"/>
      </rPr>
      <t>日本のこころ</t>
    </r>
    <r>
      <rPr>
        <sz val="11"/>
        <rFont val="Consolas"/>
        <family val="3"/>
      </rPr>
      <t xml:space="preserve"> 326 |  2025/09/25 Tue </t>
    </r>
    <r>
      <rPr>
        <sz val="11"/>
        <rFont val="游ゴシック Medium"/>
        <family val="3"/>
        <charset val="128"/>
      </rPr>
      <t>号</t>
    </r>
    <rPh sb="0" eb="2">
      <t>ニホン</t>
    </rPh>
    <rPh sb="29" eb="30">
      <t>ゴウ</t>
    </rPh>
    <phoneticPr fontId="1"/>
  </si>
  <si>
    <t>978-4-16-754901-5</t>
    <phoneticPr fontId="1"/>
  </si>
  <si>
    <t>2025/09/</t>
    <phoneticPr fontId="1"/>
  </si>
  <si>
    <r>
      <rPr>
        <sz val="11"/>
        <rFont val="游ゴシック Medium"/>
        <family val="3"/>
        <charset val="128"/>
      </rPr>
      <t>国立民族学博物館</t>
    </r>
    <rPh sb="0" eb="8">
      <t>コクリツミンゾクガクハクブツカン</t>
    </rPh>
    <phoneticPr fontId="1"/>
  </si>
  <si>
    <r>
      <rPr>
        <sz val="11"/>
        <rFont val="游ゴシック Medium"/>
        <family val="3"/>
        <charset val="128"/>
      </rPr>
      <t>世界の呪術と民間信仰</t>
    </r>
    <r>
      <rPr>
        <sz val="11"/>
        <rFont val="Consolas"/>
        <family val="3"/>
      </rPr>
      <t xml:space="preserve"> </t>
    </r>
    <r>
      <rPr>
        <sz val="11"/>
        <rFont val="游ゴシック Medium"/>
        <family val="3"/>
        <charset val="128"/>
      </rPr>
      <t>国立民族学博物館コレクション</t>
    </r>
    <rPh sb="0" eb="2">
      <t>セカイ</t>
    </rPh>
    <rPh sb="3" eb="5">
      <t>ジュジュツ</t>
    </rPh>
    <rPh sb="6" eb="10">
      <t>ミンカンシンコウ</t>
    </rPh>
    <rPh sb="11" eb="13">
      <t>コクリツ</t>
    </rPh>
    <rPh sb="13" eb="16">
      <t>ミンゾクガク</t>
    </rPh>
    <rPh sb="16" eb="19">
      <t>ハクブツカン</t>
    </rPh>
    <phoneticPr fontId="1"/>
  </si>
  <si>
    <r>
      <rPr>
        <sz val="11"/>
        <rFont val="游ゴシック Medium"/>
        <family val="3"/>
        <charset val="128"/>
      </rPr>
      <t>合同会社きろくびと</t>
    </r>
    <rPh sb="0" eb="4">
      <t>ゴウドウガイシャ</t>
    </rPh>
    <phoneticPr fontId="1"/>
  </si>
  <si>
    <r>
      <rPr>
        <sz val="11"/>
        <rFont val="游ゴシック Medium"/>
        <family val="3"/>
        <charset val="128"/>
      </rPr>
      <t>制作協力・配給</t>
    </r>
    <r>
      <rPr>
        <sz val="11"/>
        <rFont val="Consolas"/>
        <family val="3"/>
      </rPr>
      <t>|</t>
    </r>
    <r>
      <rPr>
        <sz val="11"/>
        <rFont val="游ゴシック Medium"/>
        <family val="3"/>
        <charset val="128"/>
      </rPr>
      <t>発行・編集</t>
    </r>
    <rPh sb="0" eb="2">
      <t>セイサク</t>
    </rPh>
    <rPh sb="2" eb="4">
      <t>キョウリョク</t>
    </rPh>
    <rPh sb="5" eb="7">
      <t>ハイキュウ</t>
    </rPh>
    <rPh sb="8" eb="10">
      <t>ハッコウ</t>
    </rPh>
    <rPh sb="11" eb="13">
      <t>ヘンシュウ</t>
    </rPh>
    <phoneticPr fontId="1"/>
  </si>
  <si>
    <r>
      <rPr>
        <sz val="11"/>
        <rFont val="游ゴシック Medium"/>
        <family val="3"/>
        <charset val="128"/>
      </rPr>
      <t>川上</t>
    </r>
    <r>
      <rPr>
        <sz val="11"/>
        <rFont val="Consolas"/>
        <family val="3"/>
      </rPr>
      <t xml:space="preserve"> </t>
    </r>
    <r>
      <rPr>
        <sz val="11"/>
        <rFont val="游ゴシック Medium"/>
        <family val="3"/>
        <charset val="128"/>
      </rPr>
      <t>泰徳</t>
    </r>
    <rPh sb="0" eb="2">
      <t>カワカミ</t>
    </rPh>
    <rPh sb="3" eb="5">
      <t>ヤスノリ</t>
    </rPh>
    <phoneticPr fontId="1"/>
  </si>
  <si>
    <r>
      <rPr>
        <sz val="11"/>
        <rFont val="游ゴシック Medium"/>
        <family val="3"/>
        <charset val="128"/>
      </rPr>
      <t>監督・撮影・編集・制作</t>
    </r>
    <r>
      <rPr>
        <sz val="11"/>
        <rFont val="Consolas"/>
        <family val="3"/>
      </rPr>
      <t>|</t>
    </r>
    <r>
      <rPr>
        <sz val="11"/>
        <rFont val="游ゴシック Medium"/>
        <family val="3"/>
        <charset val="128"/>
      </rPr>
      <t>発行・編集</t>
    </r>
    <rPh sb="0" eb="2">
      <t>カントク</t>
    </rPh>
    <rPh sb="3" eb="5">
      <t>サツエイ</t>
    </rPh>
    <rPh sb="6" eb="8">
      <t>ヘンシュウ</t>
    </rPh>
    <rPh sb="9" eb="11">
      <t>セイサク</t>
    </rPh>
    <rPh sb="12" eb="14">
      <t>ハッコウ</t>
    </rPh>
    <rPh sb="15" eb="17">
      <t>ヘンシュウ</t>
    </rPh>
    <phoneticPr fontId="1"/>
  </si>
  <si>
    <r>
      <rPr>
        <sz val="11"/>
        <rFont val="游ゴシック Medium"/>
        <family val="3"/>
        <charset val="128"/>
      </rPr>
      <t>壁の外側と内側</t>
    </r>
    <r>
      <rPr>
        <sz val="11"/>
        <rFont val="Consolas"/>
        <family val="3"/>
      </rPr>
      <t xml:space="preserve"> - </t>
    </r>
    <r>
      <rPr>
        <sz val="11"/>
        <rFont val="游ゴシック Medium"/>
        <family val="3"/>
        <charset val="128"/>
      </rPr>
      <t>パレスチナ・イスラエル取材記</t>
    </r>
    <r>
      <rPr>
        <sz val="11"/>
        <rFont val="Consolas"/>
        <family val="3"/>
      </rPr>
      <t xml:space="preserve"> - </t>
    </r>
    <r>
      <rPr>
        <sz val="11"/>
        <rFont val="游ゴシック Medium"/>
        <family val="3"/>
        <charset val="128"/>
      </rPr>
      <t>その</t>
    </r>
    <r>
      <rPr>
        <sz val="11"/>
        <rFont val="Consolas"/>
        <family val="3"/>
      </rPr>
      <t xml:space="preserve"> “</t>
    </r>
    <r>
      <rPr>
        <sz val="11"/>
        <rFont val="游ゴシック Medium"/>
        <family val="3"/>
        <charset val="128"/>
      </rPr>
      <t>境界</t>
    </r>
    <r>
      <rPr>
        <sz val="11"/>
        <rFont val="Consolas"/>
        <family val="3"/>
      </rPr>
      <t xml:space="preserve">” </t>
    </r>
    <r>
      <rPr>
        <sz val="11"/>
        <rFont val="游ゴシック Medium"/>
        <family val="3"/>
        <charset val="128"/>
      </rPr>
      <t>は乗り越えられるのか</t>
    </r>
    <r>
      <rPr>
        <sz val="11"/>
        <rFont val="Consolas"/>
        <family val="3"/>
      </rPr>
      <t xml:space="preserve"> - </t>
    </r>
    <r>
      <rPr>
        <sz val="11"/>
        <rFont val="游ゴシック Medium"/>
        <family val="3"/>
        <charset val="128"/>
      </rPr>
      <t>日本人ジャーナリストが現地で目の当たりにした</t>
    </r>
    <r>
      <rPr>
        <sz val="11"/>
        <rFont val="Consolas"/>
        <family val="3"/>
      </rPr>
      <t xml:space="preserve"> 10.7 </t>
    </r>
    <r>
      <rPr>
        <sz val="11"/>
        <rFont val="游ゴシック Medium"/>
        <family val="3"/>
        <charset val="128"/>
      </rPr>
      <t>の「その後」</t>
    </r>
    <rPh sb="0" eb="1">
      <t>カベ</t>
    </rPh>
    <rPh sb="2" eb="4">
      <t>ソトガワ</t>
    </rPh>
    <rPh sb="5" eb="7">
      <t>ウチガワ</t>
    </rPh>
    <rPh sb="21" eb="23">
      <t>シュザイ</t>
    </rPh>
    <rPh sb="23" eb="24">
      <t>キ</t>
    </rPh>
    <rPh sb="31" eb="33">
      <t>キョウカイ</t>
    </rPh>
    <rPh sb="36" eb="37">
      <t>ノ</t>
    </rPh>
    <rPh sb="38" eb="39">
      <t>コ</t>
    </rPh>
    <rPh sb="48" eb="51">
      <t>ニホンジン</t>
    </rPh>
    <rPh sb="59" eb="61">
      <t>ゲンチ</t>
    </rPh>
    <rPh sb="62" eb="63">
      <t>マ</t>
    </rPh>
    <rPh sb="64" eb="65">
      <t>ア</t>
    </rPh>
    <rPh sb="80" eb="81">
      <t>ゴ</t>
    </rPh>
    <phoneticPr fontId="1"/>
  </si>
  <si>
    <r>
      <rPr>
        <sz val="11"/>
        <rFont val="游ゴシック Medium"/>
        <family val="3"/>
        <charset val="128"/>
      </rPr>
      <t>ユーロスペース</t>
    </r>
    <phoneticPr fontId="1"/>
  </si>
  <si>
    <r>
      <rPr>
        <sz val="11"/>
        <rFont val="游ゴシック Medium"/>
        <family val="3"/>
        <charset val="128"/>
      </rPr>
      <t>サイン付き</t>
    </r>
    <rPh sb="3" eb="4">
      <t>ツ</t>
    </rPh>
    <phoneticPr fontId="1"/>
  </si>
  <si>
    <r>
      <rPr>
        <sz val="11"/>
        <rFont val="游ゴシック Medium"/>
        <family val="3"/>
        <charset val="128"/>
      </rPr>
      <t>中東ジャーナリスト</t>
    </r>
    <rPh sb="0" eb="2">
      <t>チュウトウ</t>
    </rPh>
    <phoneticPr fontId="1"/>
  </si>
  <si>
    <r>
      <rPr>
        <sz val="11"/>
        <rFont val="游ゴシック Medium"/>
        <family val="3"/>
        <charset val="128"/>
      </rPr>
      <t>〈現地報告〉</t>
    </r>
    <r>
      <rPr>
        <sz val="11"/>
        <rFont val="Consolas"/>
        <family val="3"/>
      </rPr>
      <t>"</t>
    </r>
    <r>
      <rPr>
        <sz val="11"/>
        <rFont val="游ゴシック Medium"/>
        <family val="3"/>
        <charset val="128"/>
      </rPr>
      <t>壁</t>
    </r>
    <r>
      <rPr>
        <sz val="11"/>
        <rFont val="Consolas"/>
        <family val="3"/>
      </rPr>
      <t xml:space="preserve">" </t>
    </r>
    <r>
      <rPr>
        <sz val="11"/>
        <rFont val="游ゴシック Medium"/>
        <family val="3"/>
        <charset val="128"/>
      </rPr>
      <t>の外と内</t>
    </r>
    <r>
      <rPr>
        <sz val="11"/>
        <rFont val="Consolas"/>
        <family val="3"/>
      </rPr>
      <t xml:space="preserve"> - </t>
    </r>
    <r>
      <rPr>
        <sz val="11"/>
        <rFont val="游ゴシック Medium"/>
        <family val="3"/>
        <charset val="128"/>
      </rPr>
      <t>果てしない忍従のなかで</t>
    </r>
    <rPh sb="1" eb="3">
      <t>ゲンチ</t>
    </rPh>
    <rPh sb="3" eb="5">
      <t>ホウコク</t>
    </rPh>
    <rPh sb="7" eb="8">
      <t>カベ</t>
    </rPh>
    <rPh sb="11" eb="12">
      <t>ソト</t>
    </rPh>
    <rPh sb="13" eb="14">
      <t>ウチ</t>
    </rPh>
    <rPh sb="17" eb="18">
      <t>ハ</t>
    </rPh>
    <rPh sb="22" eb="24">
      <t>ニンジュウ</t>
    </rPh>
    <phoneticPr fontId="1"/>
  </si>
  <si>
    <r>
      <rPr>
        <sz val="11"/>
        <rFont val="游ゴシック Medium"/>
        <family val="3"/>
        <charset val="128"/>
      </rPr>
      <t>上記の付録</t>
    </r>
    <r>
      <rPr>
        <sz val="11"/>
        <rFont val="Consolas"/>
        <family val="3"/>
      </rPr>
      <t>|</t>
    </r>
    <r>
      <rPr>
        <sz val="11"/>
        <rFont val="游ゴシック Medium"/>
        <family val="3"/>
        <charset val="128"/>
      </rPr>
      <t>記録文芸誌「かなたのひと」第</t>
    </r>
    <r>
      <rPr>
        <sz val="11"/>
        <rFont val="Consolas"/>
        <family val="3"/>
      </rPr>
      <t>7</t>
    </r>
    <r>
      <rPr>
        <sz val="11"/>
        <rFont val="游ゴシック Medium"/>
        <family val="3"/>
        <charset val="128"/>
      </rPr>
      <t>号</t>
    </r>
    <r>
      <rPr>
        <sz val="11"/>
        <rFont val="Consolas"/>
        <family val="3"/>
      </rPr>
      <t xml:space="preserve"> </t>
    </r>
    <r>
      <rPr>
        <sz val="11"/>
        <rFont val="游ゴシック Medium"/>
        <family val="3"/>
        <charset val="128"/>
      </rPr>
      <t>抜刷｜特別企画</t>
    </r>
    <r>
      <rPr>
        <sz val="11"/>
        <rFont val="Consolas"/>
        <family val="3"/>
      </rPr>
      <t xml:space="preserve"> </t>
    </r>
    <r>
      <rPr>
        <sz val="11"/>
        <rFont val="游ゴシック Medium"/>
        <family val="3"/>
        <charset val="128"/>
      </rPr>
      <t>いまパレスチナとイスラエルを知ろう</t>
    </r>
    <rPh sb="0" eb="2">
      <t>ジョウキ</t>
    </rPh>
    <rPh sb="3" eb="5">
      <t>フロク</t>
    </rPh>
    <rPh sb="6" eb="8">
      <t>キロク</t>
    </rPh>
    <rPh sb="8" eb="11">
      <t>ブンゲイシ</t>
    </rPh>
    <rPh sb="19" eb="20">
      <t>ダイ</t>
    </rPh>
    <rPh sb="21" eb="22">
      <t>ゴウ</t>
    </rPh>
    <rPh sb="23" eb="24">
      <t>バツ</t>
    </rPh>
    <rPh sb="24" eb="25">
      <t>サツ</t>
    </rPh>
    <rPh sb="26" eb="30">
      <t>トクベツキカク</t>
    </rPh>
    <rPh sb="45" eb="46">
      <t>シ</t>
    </rPh>
    <phoneticPr fontId="1"/>
  </si>
  <si>
    <r>
      <rPr>
        <sz val="11"/>
        <rFont val="游ゴシック Medium"/>
        <family val="3"/>
        <charset val="128"/>
      </rPr>
      <t>宮部</t>
    </r>
    <r>
      <rPr>
        <sz val="11"/>
        <rFont val="Consolas"/>
        <family val="3"/>
      </rPr>
      <t xml:space="preserve"> </t>
    </r>
    <r>
      <rPr>
        <sz val="11"/>
        <rFont val="游ゴシック Medium"/>
        <family val="3"/>
        <charset val="128"/>
      </rPr>
      <t>みゆき</t>
    </r>
    <rPh sb="0" eb="2">
      <t>ミヤベ</t>
    </rPh>
    <phoneticPr fontId="1"/>
  </si>
  <si>
    <r>
      <rPr>
        <sz val="11"/>
        <rFont val="游ゴシック Medium"/>
        <family val="3"/>
        <charset val="128"/>
      </rPr>
      <t>我らが隣人の犯罪</t>
    </r>
    <r>
      <rPr>
        <sz val="11"/>
        <rFont val="Consolas"/>
        <family val="3"/>
      </rPr>
      <t xml:space="preserve"> | Our neighbors' crimes</t>
    </r>
    <rPh sb="0" eb="1">
      <t>ワレ</t>
    </rPh>
    <rPh sb="3" eb="5">
      <t>リンジン</t>
    </rPh>
    <rPh sb="6" eb="8">
      <t>ハンザイ</t>
    </rPh>
    <phoneticPr fontId="1"/>
  </si>
  <si>
    <r>
      <t xml:space="preserve">1990/01/ </t>
    </r>
    <r>
      <rPr>
        <sz val="11"/>
        <rFont val="游ゴシック Medium"/>
        <family val="3"/>
        <charset val="128"/>
      </rPr>
      <t>文藝春秋</t>
    </r>
    <r>
      <rPr>
        <sz val="11"/>
        <rFont val="Consolas"/>
        <family val="3"/>
      </rPr>
      <t>|1993/01/10 Sun</t>
    </r>
    <rPh sb="9" eb="13">
      <t>ブンゲイシュンジュウ</t>
    </rPh>
    <phoneticPr fontId="1"/>
  </si>
  <si>
    <r>
      <rPr>
        <sz val="11"/>
        <rFont val="游ゴシック Medium"/>
        <family val="3"/>
        <charset val="128"/>
      </rPr>
      <t>まほ購入、まほンチ収蔵</t>
    </r>
    <rPh sb="2" eb="4">
      <t>コウニュウ</t>
    </rPh>
    <rPh sb="9" eb="11">
      <t>シュウゾウ</t>
    </rPh>
    <phoneticPr fontId="1"/>
  </si>
  <si>
    <r>
      <t>Lovecraft</t>
    </r>
    <r>
      <rPr>
        <sz val="11"/>
        <rFont val="游ゴシック Medium"/>
        <family val="3"/>
        <charset val="128"/>
      </rPr>
      <t>全集</t>
    </r>
    <r>
      <rPr>
        <sz val="11"/>
        <rFont val="Consolas"/>
        <family val="3"/>
      </rPr>
      <t>|The Shadow Over Innsmouth and other Stories|1974</t>
    </r>
    <rPh sb="0" eb="9">
      <t>ラヴクラフト</t>
    </rPh>
    <rPh sb="9" eb="11">
      <t>ゼンシュウ</t>
    </rPh>
    <phoneticPr fontId="1"/>
  </si>
  <si>
    <r>
      <t>Lovecraft</t>
    </r>
    <r>
      <rPr>
        <sz val="11"/>
        <rFont val="游ゴシック Medium"/>
        <family val="3"/>
        <charset val="128"/>
      </rPr>
      <t>全集</t>
    </r>
    <r>
      <rPr>
        <sz val="11"/>
        <rFont val="Consolas"/>
        <family val="3"/>
      </rPr>
      <t>|The Case of Charles Dexter Ward and other Stories|1976</t>
    </r>
    <rPh sb="0" eb="9">
      <t>ラヴクラフト</t>
    </rPh>
    <rPh sb="9" eb="11">
      <t>ゼンシュウ</t>
    </rPh>
    <phoneticPr fontId="1"/>
  </si>
  <si>
    <r>
      <t>Lovecraft</t>
    </r>
    <r>
      <rPr>
        <sz val="11"/>
        <rFont val="游ゴシック Medium"/>
        <family val="3"/>
        <charset val="128"/>
      </rPr>
      <t>全集</t>
    </r>
    <r>
      <rPr>
        <sz val="11"/>
        <rFont val="Consolas"/>
        <family val="3"/>
      </rPr>
      <t>|The Shadow out of Time and other Stories|1984</t>
    </r>
    <rPh sb="0" eb="9">
      <t>ラヴクラフト</t>
    </rPh>
    <rPh sb="9" eb="11">
      <t>ゼンシュウ</t>
    </rPh>
    <phoneticPr fontId="1"/>
  </si>
  <si>
    <r>
      <t>Lovecraft</t>
    </r>
    <r>
      <rPr>
        <sz val="11"/>
        <rFont val="游ゴシック Medium"/>
        <family val="3"/>
        <charset val="128"/>
      </rPr>
      <t>全集</t>
    </r>
    <r>
      <rPr>
        <sz val="11"/>
        <rFont val="Consolas"/>
        <family val="3"/>
      </rPr>
      <t>|At The Mountains of Madness and other Stories|1985</t>
    </r>
    <rPh sb="0" eb="9">
      <t>ラヴクラフト</t>
    </rPh>
    <rPh sb="9" eb="11">
      <t>ゼンシュウ</t>
    </rPh>
    <phoneticPr fontId="1"/>
  </si>
  <si>
    <r>
      <t>Lovecraft</t>
    </r>
    <r>
      <rPr>
        <sz val="11"/>
        <rFont val="游ゴシック Medium"/>
        <family val="3"/>
        <charset val="128"/>
      </rPr>
      <t>全集</t>
    </r>
    <r>
      <rPr>
        <sz val="11"/>
        <rFont val="Consolas"/>
        <family val="3"/>
      </rPr>
      <t>|The Danwich Horror and other Stories|1987</t>
    </r>
    <rPh sb="0" eb="9">
      <t>ラヴクラフト</t>
    </rPh>
    <rPh sb="9" eb="11">
      <t>ゼンシュウ</t>
    </rPh>
    <phoneticPr fontId="1"/>
  </si>
  <si>
    <r>
      <t>Lovecraft</t>
    </r>
    <r>
      <rPr>
        <sz val="11"/>
        <rFont val="游ゴシック Medium"/>
        <family val="3"/>
        <charset val="128"/>
      </rPr>
      <t>全集</t>
    </r>
    <r>
      <rPr>
        <sz val="11"/>
        <rFont val="Consolas"/>
        <family val="3"/>
      </rPr>
      <t>|The Dream Quest of Unknown Kadath and other Stories|1989</t>
    </r>
    <rPh sb="0" eb="9">
      <t>ラヴクラフト</t>
    </rPh>
    <rPh sb="9" eb="11">
      <t>ゼンシュウ</t>
    </rPh>
    <phoneticPr fontId="1"/>
  </si>
  <si>
    <r>
      <t>Innsmouth</t>
    </r>
    <r>
      <rPr>
        <sz val="11"/>
        <rFont val="游ゴシック Medium"/>
        <family val="3"/>
        <charset val="128"/>
      </rPr>
      <t>年代記</t>
    </r>
    <r>
      <rPr>
        <sz val="11"/>
        <rFont val="Consolas"/>
        <family val="3"/>
      </rPr>
      <t>|</t>
    </r>
    <r>
      <rPr>
        <sz val="11"/>
        <rFont val="游ゴシック Medium"/>
        <family val="3"/>
        <charset val="128"/>
      </rPr>
      <t>上</t>
    </r>
    <r>
      <rPr>
        <sz val="11"/>
        <rFont val="Consolas"/>
        <family val="3"/>
      </rPr>
      <t>|Jones,Stephen:</t>
    </r>
    <r>
      <rPr>
        <sz val="11"/>
        <rFont val="游ゴシック Medium"/>
        <family val="3"/>
        <charset val="128"/>
      </rPr>
      <t>編</t>
    </r>
    <r>
      <rPr>
        <sz val="11"/>
        <rFont val="Consolas"/>
        <family val="3"/>
      </rPr>
      <t>|</t>
    </r>
    <r>
      <rPr>
        <sz val="11"/>
        <rFont val="游ゴシック Medium"/>
        <family val="3"/>
        <charset val="128"/>
      </rPr>
      <t>大瀧啓裕</t>
    </r>
    <r>
      <rPr>
        <sz val="11"/>
        <rFont val="Consolas"/>
        <family val="3"/>
      </rPr>
      <t>:</t>
    </r>
    <r>
      <rPr>
        <sz val="11"/>
        <rFont val="游ゴシック Medium"/>
        <family val="3"/>
        <charset val="128"/>
      </rPr>
      <t>訳</t>
    </r>
    <r>
      <rPr>
        <sz val="11"/>
        <rFont val="Consolas"/>
        <family val="3"/>
      </rPr>
      <t>|Shadows over Innsmouth|1994|2001/11/16</t>
    </r>
    <rPh sb="0" eb="9">
      <t>インスマス</t>
    </rPh>
    <rPh sb="9" eb="12">
      <t>ネンダイキ</t>
    </rPh>
    <rPh sb="13" eb="14">
      <t>ジョウ</t>
    </rPh>
    <rPh sb="29" eb="30">
      <t>ヘン</t>
    </rPh>
    <rPh sb="31" eb="33">
      <t>オオタキ</t>
    </rPh>
    <rPh sb="33" eb="35">
      <t>ケイスケ</t>
    </rPh>
    <rPh sb="36" eb="37">
      <t>ヤク</t>
    </rPh>
    <phoneticPr fontId="1"/>
  </si>
  <si>
    <r>
      <rPr>
        <sz val="11"/>
        <rFont val="游ゴシック Medium"/>
        <family val="3"/>
        <charset val="128"/>
      </rPr>
      <t>昭和史</t>
    </r>
    <r>
      <rPr>
        <sz val="11"/>
        <rFont val="Consolas"/>
        <family val="3"/>
      </rPr>
      <t xml:space="preserve"> </t>
    </r>
    <r>
      <rPr>
        <sz val="11"/>
        <rFont val="游ゴシック Medium"/>
        <family val="3"/>
        <charset val="128"/>
      </rPr>
      <t>第</t>
    </r>
    <r>
      <rPr>
        <sz val="11"/>
        <rFont val="Consolas"/>
        <family val="3"/>
      </rPr>
      <t>8</t>
    </r>
    <r>
      <rPr>
        <sz val="11"/>
        <rFont val="游ゴシック Medium"/>
        <family val="3"/>
        <charset val="128"/>
      </rPr>
      <t>巻</t>
    </r>
    <r>
      <rPr>
        <sz val="11"/>
        <rFont val="Consolas"/>
        <family val="3"/>
      </rPr>
      <t xml:space="preserve"> </t>
    </r>
    <r>
      <rPr>
        <sz val="11"/>
        <rFont val="游ゴシック Medium"/>
        <family val="3"/>
        <charset val="128"/>
      </rPr>
      <t>高度成長</t>
    </r>
    <r>
      <rPr>
        <sz val="11"/>
        <rFont val="Consolas"/>
        <family val="3"/>
      </rPr>
      <t xml:space="preserve"> </t>
    </r>
    <r>
      <rPr>
        <sz val="11"/>
        <rFont val="游ゴシック Medium"/>
        <family val="3"/>
        <charset val="128"/>
      </rPr>
      <t>以降</t>
    </r>
    <rPh sb="0" eb="2">
      <t>ショウワ</t>
    </rPh>
    <rPh sb="2" eb="3">
      <t>シ</t>
    </rPh>
    <rPh sb="4" eb="5">
      <t>ダイ</t>
    </rPh>
    <rPh sb="6" eb="7">
      <t>カン</t>
    </rPh>
    <rPh sb="8" eb="12">
      <t>コウドセイチョウ</t>
    </rPh>
    <rPh sb="13" eb="15">
      <t>イコウ</t>
    </rPh>
    <phoneticPr fontId="1"/>
  </si>
  <si>
    <r>
      <rPr>
        <sz val="11"/>
        <rFont val="游ゴシック Medium"/>
        <family val="3"/>
        <charset val="128"/>
      </rPr>
      <t>コミック</t>
    </r>
    <r>
      <rPr>
        <sz val="11"/>
        <rFont val="Consolas"/>
        <family val="3"/>
      </rPr>
      <t xml:space="preserve"> </t>
    </r>
    <r>
      <rPr>
        <sz val="11"/>
        <rFont val="游ゴシック Medium"/>
        <family val="3"/>
        <charset val="128"/>
      </rPr>
      <t>昭和史</t>
    </r>
    <rPh sb="5" eb="7">
      <t>ショウワ</t>
    </rPh>
    <rPh sb="7" eb="8">
      <t>シ</t>
    </rPh>
    <phoneticPr fontId="1"/>
  </si>
  <si>
    <r>
      <t xml:space="preserve">Yoko </t>
    </r>
    <r>
      <rPr>
        <sz val="11"/>
        <rFont val="游ゴシック Medium"/>
        <family val="3"/>
        <charset val="128"/>
      </rPr>
      <t>が</t>
    </r>
    <r>
      <rPr>
        <sz val="11"/>
        <rFont val="Consolas"/>
        <family val="3"/>
      </rPr>
      <t xml:space="preserve"> </t>
    </r>
    <r>
      <rPr>
        <sz val="11"/>
        <rFont val="游ゴシック Medium"/>
        <family val="3"/>
        <charset val="128"/>
      </rPr>
      <t>どっかから入手</t>
    </r>
    <rPh sb="12" eb="14">
      <t>ニュウシュ</t>
    </rPh>
    <phoneticPr fontId="1"/>
  </si>
  <si>
    <r>
      <rPr>
        <sz val="11"/>
        <rFont val="游ゴシック Medium"/>
        <family val="3"/>
        <charset val="128"/>
      </rPr>
      <t>日野</t>
    </r>
    <r>
      <rPr>
        <sz val="11"/>
        <rFont val="Consolas"/>
        <family val="3"/>
      </rPr>
      <t xml:space="preserve"> </t>
    </r>
    <r>
      <rPr>
        <sz val="11"/>
        <rFont val="游ゴシック Medium"/>
        <family val="3"/>
        <charset val="128"/>
      </rPr>
      <t>日出志</t>
    </r>
    <rPh sb="0" eb="2">
      <t>ヒノ</t>
    </rPh>
    <rPh sb="3" eb="6">
      <t>ヒデシ</t>
    </rPh>
    <phoneticPr fontId="1"/>
  </si>
  <si>
    <r>
      <rPr>
        <sz val="11"/>
        <rFont val="游ゴシック Medium"/>
        <family val="3"/>
        <charset val="128"/>
      </rPr>
      <t>赤い蛇</t>
    </r>
    <rPh sb="0" eb="1">
      <t>アカ</t>
    </rPh>
    <rPh sb="2" eb="3">
      <t>ヘビ</t>
    </rPh>
    <phoneticPr fontId="1"/>
  </si>
  <si>
    <r>
      <rPr>
        <sz val="11"/>
        <rFont val="游ゴシック Medium"/>
        <family val="3"/>
        <charset val="128"/>
      </rPr>
      <t>コミックス傑作選</t>
    </r>
    <rPh sb="5" eb="8">
      <t>ケッサクセン</t>
    </rPh>
    <phoneticPr fontId="1"/>
  </si>
  <si>
    <r>
      <rPr>
        <sz val="11"/>
        <rFont val="游ゴシック Medium"/>
        <family val="3"/>
        <charset val="128"/>
      </rPr>
      <t>勁文社</t>
    </r>
    <rPh sb="0" eb="3">
      <t>ケイブンシャ</t>
    </rPh>
    <phoneticPr fontId="1"/>
  </si>
  <si>
    <r>
      <rPr>
        <sz val="11"/>
        <rFont val="游ゴシック Medium"/>
        <family val="3"/>
        <charset val="128"/>
      </rPr>
      <t>雑誌</t>
    </r>
    <r>
      <rPr>
        <sz val="11"/>
        <rFont val="Consolas"/>
        <family val="3"/>
      </rPr>
      <t>51810-39</t>
    </r>
    <rPh sb="0" eb="2">
      <t>ザッシ</t>
    </rPh>
    <phoneticPr fontId="1"/>
  </si>
  <si>
    <r>
      <rPr>
        <sz val="11"/>
        <rFont val="游ゴシック Medium"/>
        <family val="3"/>
        <charset val="128"/>
      </rPr>
      <t>蛭子</t>
    </r>
    <r>
      <rPr>
        <sz val="11"/>
        <rFont val="Consolas"/>
        <family val="3"/>
      </rPr>
      <t xml:space="preserve"> </t>
    </r>
    <r>
      <rPr>
        <sz val="11"/>
        <rFont val="游ゴシック Medium"/>
        <family val="3"/>
        <charset val="128"/>
      </rPr>
      <t>能収</t>
    </r>
    <rPh sb="0" eb="2">
      <t>エビス</t>
    </rPh>
    <rPh sb="3" eb="5">
      <t>ヨシカズ</t>
    </rPh>
    <phoneticPr fontId="1"/>
  </si>
  <si>
    <r>
      <rPr>
        <sz val="11"/>
        <rFont val="游ゴシック Medium"/>
        <family val="3"/>
        <charset val="128"/>
      </rPr>
      <t>狂ったバナナ</t>
    </r>
    <rPh sb="0" eb="1">
      <t>クル</t>
    </rPh>
    <phoneticPr fontId="1"/>
  </si>
  <si>
    <r>
      <rPr>
        <sz val="11"/>
        <rFont val="游ゴシック Medium"/>
        <family val="3"/>
        <charset val="128"/>
      </rPr>
      <t>漫画ラブアタック♨シュール・ド・エロ♨シリーズ</t>
    </r>
    <r>
      <rPr>
        <sz val="11"/>
        <rFont val="Consolas"/>
        <family val="3"/>
      </rPr>
      <t>|</t>
    </r>
    <r>
      <rPr>
        <sz val="11"/>
        <rFont val="游ゴシック Medium"/>
        <family val="3"/>
        <charset val="128"/>
      </rPr>
      <t>タツミコミックス</t>
    </r>
    <r>
      <rPr>
        <sz val="11"/>
        <rFont val="Consolas"/>
        <family val="3"/>
      </rPr>
      <t xml:space="preserve"> 39</t>
    </r>
    <rPh sb="0" eb="2">
      <t>マンガ</t>
    </rPh>
    <phoneticPr fontId="1"/>
  </si>
  <si>
    <r>
      <rPr>
        <strike/>
        <sz val="11"/>
        <rFont val="游ゴシック Medium"/>
        <family val="3"/>
        <charset val="128"/>
      </rPr>
      <t>峰倉</t>
    </r>
    <r>
      <rPr>
        <strike/>
        <sz val="11"/>
        <rFont val="Consolas"/>
        <family val="3"/>
      </rPr>
      <t xml:space="preserve"> </t>
    </r>
    <r>
      <rPr>
        <strike/>
        <sz val="11"/>
        <rFont val="游ゴシック Medium"/>
        <family val="3"/>
        <charset val="128"/>
      </rPr>
      <t>かずや</t>
    </r>
    <rPh sb="0" eb="2">
      <t>ミネクラ</t>
    </rPh>
    <phoneticPr fontId="1"/>
  </si>
  <si>
    <r>
      <rPr>
        <sz val="11"/>
        <rFont val="游ゴシック Medium"/>
        <family val="3"/>
        <charset val="128"/>
      </rPr>
      <t>大塚</t>
    </r>
    <r>
      <rPr>
        <sz val="11"/>
        <rFont val="Consolas"/>
        <family val="3"/>
      </rPr>
      <t xml:space="preserve"> </t>
    </r>
    <r>
      <rPr>
        <sz val="11"/>
        <rFont val="游ゴシック Medium"/>
        <family val="3"/>
        <charset val="128"/>
      </rPr>
      <t>初重</t>
    </r>
    <rPh sb="0" eb="2">
      <t>オオツカ</t>
    </rPh>
    <rPh sb="3" eb="5">
      <t>ハツシゲ</t>
    </rPh>
    <phoneticPr fontId="1"/>
  </si>
  <si>
    <r>
      <rPr>
        <sz val="11"/>
        <rFont val="游ゴシック Medium"/>
        <family val="3"/>
        <charset val="128"/>
      </rPr>
      <t>峰岸</t>
    </r>
    <r>
      <rPr>
        <sz val="11"/>
        <rFont val="Consolas"/>
        <family val="3"/>
      </rPr>
      <t xml:space="preserve"> </t>
    </r>
    <r>
      <rPr>
        <sz val="11"/>
        <rFont val="游ゴシック Medium"/>
        <family val="3"/>
        <charset val="128"/>
      </rPr>
      <t>純夫</t>
    </r>
    <rPh sb="0" eb="2">
      <t>ミネギシ</t>
    </rPh>
    <rPh sb="3" eb="5">
      <t>スミオ</t>
    </rPh>
    <phoneticPr fontId="1"/>
  </si>
  <si>
    <r>
      <rPr>
        <sz val="11"/>
        <rFont val="游ゴシック Medium"/>
        <family val="3"/>
        <charset val="128"/>
      </rPr>
      <t>大石</t>
    </r>
    <r>
      <rPr>
        <sz val="11"/>
        <rFont val="Consolas"/>
        <family val="3"/>
      </rPr>
      <t xml:space="preserve"> </t>
    </r>
    <r>
      <rPr>
        <sz val="11"/>
        <rFont val="游ゴシック Medium"/>
        <family val="3"/>
        <charset val="128"/>
      </rPr>
      <t>慎三郎</t>
    </r>
    <rPh sb="0" eb="2">
      <t>オオイシ</t>
    </rPh>
    <rPh sb="3" eb="6">
      <t>シンザブロウ</t>
    </rPh>
    <phoneticPr fontId="1"/>
  </si>
  <si>
    <r>
      <rPr>
        <sz val="11"/>
        <rFont val="游ゴシック Medium"/>
        <family val="3"/>
        <charset val="128"/>
      </rPr>
      <t>児玉</t>
    </r>
    <r>
      <rPr>
        <sz val="11"/>
        <rFont val="Consolas"/>
        <family val="3"/>
      </rPr>
      <t xml:space="preserve"> </t>
    </r>
    <r>
      <rPr>
        <sz val="11"/>
        <rFont val="游ゴシック Medium"/>
        <family val="3"/>
        <charset val="128"/>
      </rPr>
      <t>幸多</t>
    </r>
    <rPh sb="0" eb="2">
      <t>コダマ</t>
    </rPh>
    <rPh sb="3" eb="5">
      <t>コウタ</t>
    </rPh>
    <phoneticPr fontId="1"/>
  </si>
  <si>
    <r>
      <rPr>
        <sz val="11"/>
        <rFont val="游ゴシック Medium"/>
        <family val="3"/>
        <charset val="128"/>
      </rPr>
      <t>墓の町</t>
    </r>
    <r>
      <rPr>
        <sz val="11"/>
        <rFont val="Consolas"/>
        <family val="3"/>
      </rPr>
      <t>/</t>
    </r>
    <r>
      <rPr>
        <sz val="11"/>
        <rFont val="游ゴシック Medium"/>
        <family val="3"/>
        <charset val="128"/>
      </rPr>
      <t>地底の足音</t>
    </r>
    <rPh sb="0" eb="1">
      <t>ハカ</t>
    </rPh>
    <rPh sb="2" eb="3">
      <t>マチ</t>
    </rPh>
    <rPh sb="4" eb="6">
      <t>チテイ</t>
    </rPh>
    <rPh sb="7" eb="9">
      <t>アシオト</t>
    </rPh>
    <phoneticPr fontId="1"/>
  </si>
  <si>
    <r>
      <rPr>
        <sz val="11"/>
        <rFont val="游ゴシック Medium"/>
        <family val="3"/>
        <charset val="128"/>
      </rPr>
      <t>水木しげる貸本漫画傑作選</t>
    </r>
    <r>
      <rPr>
        <sz val="11"/>
        <rFont val="Consolas"/>
        <family val="3"/>
      </rPr>
      <t xml:space="preserve"> 8|</t>
    </r>
    <r>
      <rPr>
        <sz val="11"/>
        <rFont val="游ゴシック Medium"/>
        <family val="3"/>
        <charset val="128"/>
      </rPr>
      <t>長編怪談</t>
    </r>
    <r>
      <rPr>
        <sz val="11"/>
        <rFont val="Consolas"/>
        <family val="3"/>
      </rPr>
      <t>/</t>
    </r>
    <r>
      <rPr>
        <sz val="11"/>
        <rFont val="游ゴシック Medium"/>
        <family val="3"/>
        <charset val="128"/>
      </rPr>
      <t>長編スリラー</t>
    </r>
    <rPh sb="0" eb="2">
      <t>ミズキ</t>
    </rPh>
    <rPh sb="5" eb="9">
      <t>カシホンマンガ</t>
    </rPh>
    <rPh sb="9" eb="12">
      <t>ケッサクセン</t>
    </rPh>
    <rPh sb="15" eb="17">
      <t>チョウヘン</t>
    </rPh>
    <rPh sb="17" eb="19">
      <t>カイダン</t>
    </rPh>
    <rPh sb="20" eb="22">
      <t>チョウヘン</t>
    </rPh>
    <phoneticPr fontId="1"/>
  </si>
  <si>
    <r>
      <rPr>
        <sz val="11"/>
        <rFont val="游ゴシック Medium"/>
        <family val="3"/>
        <charset val="128"/>
      </rPr>
      <t>手塚治虫漫画全集</t>
    </r>
    <rPh sb="0" eb="8">
      <t>テヅカオサム</t>
    </rPh>
    <phoneticPr fontId="1"/>
  </si>
  <si>
    <r>
      <rPr>
        <sz val="11"/>
        <rFont val="游ゴシック Medium"/>
        <family val="3"/>
        <charset val="128"/>
      </rPr>
      <t>田島</t>
    </r>
    <r>
      <rPr>
        <sz val="11"/>
        <rFont val="Consolas"/>
        <family val="3"/>
      </rPr>
      <t xml:space="preserve"> </t>
    </r>
    <r>
      <rPr>
        <sz val="11"/>
        <rFont val="游ゴシック Medium"/>
        <family val="3"/>
        <charset val="128"/>
      </rPr>
      <t>昭宇</t>
    </r>
    <r>
      <rPr>
        <sz val="11"/>
        <rFont val="Consolas"/>
        <family val="3"/>
      </rPr>
      <t>|</t>
    </r>
    <r>
      <rPr>
        <sz val="11"/>
        <rFont val="游ゴシック Medium"/>
        <family val="3"/>
        <charset val="128"/>
      </rPr>
      <t>大塚</t>
    </r>
    <r>
      <rPr>
        <sz val="11"/>
        <rFont val="Consolas"/>
        <family val="3"/>
      </rPr>
      <t xml:space="preserve"> </t>
    </r>
    <r>
      <rPr>
        <sz val="11"/>
        <rFont val="游ゴシック Medium"/>
        <family val="3"/>
        <charset val="128"/>
      </rPr>
      <t>英志</t>
    </r>
    <rPh sb="0" eb="2">
      <t>タジマ</t>
    </rPh>
    <rPh sb="3" eb="5">
      <t>ショウウ</t>
    </rPh>
    <rPh sb="6" eb="8">
      <t>オオツカ</t>
    </rPh>
    <rPh sb="9" eb="11">
      <t>エイジ</t>
    </rPh>
    <phoneticPr fontId="1"/>
  </si>
  <si>
    <r>
      <rPr>
        <sz val="11"/>
        <rFont val="游ゴシック Medium"/>
        <family val="3"/>
        <charset val="128"/>
      </rPr>
      <t>多重人格探偵サイコ</t>
    </r>
    <r>
      <rPr>
        <sz val="11"/>
        <rFont val="Consolas"/>
        <family val="3"/>
      </rPr>
      <t>|MPD-PSYCHO</t>
    </r>
    <rPh sb="0" eb="4">
      <t>タジュウジンカク</t>
    </rPh>
    <rPh sb="4" eb="6">
      <t>タンテイ</t>
    </rPh>
    <phoneticPr fontId="1"/>
  </si>
  <si>
    <r>
      <rPr>
        <sz val="11"/>
        <rFont val="游ゴシック Medium"/>
        <family val="3"/>
        <charset val="128"/>
      </rPr>
      <t>角川コミックス・エース</t>
    </r>
    <rPh sb="0" eb="2">
      <t>カドカワ</t>
    </rPh>
    <phoneticPr fontId="1"/>
  </si>
  <si>
    <r>
      <t>580</t>
    </r>
    <r>
      <rPr>
        <sz val="11"/>
        <rFont val="游ゴシック Medium"/>
        <family val="3"/>
        <charset val="128"/>
      </rPr>
      <t>税別</t>
    </r>
    <r>
      <rPr>
        <sz val="11"/>
        <rFont val="Consolas"/>
        <family val="3"/>
      </rPr>
      <t>|100</t>
    </r>
    <rPh sb="3" eb="5">
      <t>ゼイベツ</t>
    </rPh>
    <phoneticPr fontId="1"/>
  </si>
  <si>
    <r>
      <rPr>
        <sz val="11"/>
        <rFont val="游ゴシック Medium"/>
        <family val="3"/>
        <charset val="128"/>
      </rPr>
      <t>川崎</t>
    </r>
    <r>
      <rPr>
        <sz val="11"/>
        <rFont val="Consolas"/>
        <family val="3"/>
      </rPr>
      <t xml:space="preserve"> </t>
    </r>
    <r>
      <rPr>
        <sz val="11"/>
        <rFont val="游ゴシック Medium"/>
        <family val="3"/>
        <charset val="128"/>
      </rPr>
      <t>ゆきお</t>
    </r>
    <rPh sb="0" eb="2">
      <t>カワサキ</t>
    </rPh>
    <phoneticPr fontId="1"/>
  </si>
  <si>
    <r>
      <rPr>
        <sz val="11"/>
        <rFont val="游ゴシック Medium"/>
        <family val="3"/>
        <charset val="128"/>
      </rPr>
      <t>天地無用</t>
    </r>
    <rPh sb="0" eb="4">
      <t>テンチムヨウ</t>
    </rPh>
    <phoneticPr fontId="1"/>
  </si>
  <si>
    <r>
      <rPr>
        <sz val="11"/>
        <rFont val="游ゴシック Medium"/>
        <family val="3"/>
        <charset val="128"/>
      </rPr>
      <t>プレイガイドジャーナル社</t>
    </r>
    <rPh sb="11" eb="12">
      <t>シャ</t>
    </rPh>
    <phoneticPr fontId="1"/>
  </si>
  <si>
    <r>
      <rPr>
        <sz val="11"/>
        <rFont val="游ゴシック Medium"/>
        <family val="3"/>
        <charset val="128"/>
      </rPr>
      <t>墓場鬼太郎</t>
    </r>
    <r>
      <rPr>
        <sz val="11"/>
        <rFont val="Consolas"/>
        <family val="3"/>
      </rPr>
      <t xml:space="preserve"> 2|</t>
    </r>
    <r>
      <rPr>
        <sz val="11"/>
        <rFont val="游ゴシック Medium"/>
        <family val="3"/>
        <charset val="128"/>
      </rPr>
      <t>復刻版</t>
    </r>
    <r>
      <rPr>
        <sz val="11"/>
        <rFont val="Consolas"/>
        <family val="3"/>
      </rPr>
      <t>|</t>
    </r>
    <r>
      <rPr>
        <sz val="11"/>
        <rFont val="游ゴシック Medium"/>
        <family val="3"/>
        <charset val="128"/>
      </rPr>
      <t>ボクは新入生</t>
    </r>
    <rPh sb="0" eb="2">
      <t>ハカバノ</t>
    </rPh>
    <rPh sb="2" eb="5">
      <t>キタロウ</t>
    </rPh>
    <rPh sb="8" eb="11">
      <t>フッコクバン</t>
    </rPh>
    <rPh sb="15" eb="18">
      <t>シンニュウセイ</t>
    </rPh>
    <phoneticPr fontId="1"/>
  </si>
  <si>
    <r>
      <rPr>
        <sz val="11"/>
        <rFont val="游ゴシック Medium"/>
        <family val="3"/>
        <charset val="128"/>
      </rPr>
      <t>サラ文庫</t>
    </r>
    <r>
      <rPr>
        <sz val="11"/>
        <rFont val="Consolas"/>
        <family val="3"/>
      </rPr>
      <t xml:space="preserve"> 8|</t>
    </r>
    <r>
      <rPr>
        <sz val="11"/>
        <rFont val="游ゴシック Medium"/>
        <family val="3"/>
        <charset val="128"/>
      </rPr>
      <t>昭和漫画傑作選</t>
    </r>
    <rPh sb="2" eb="4">
      <t>ブンコ</t>
    </rPh>
    <rPh sb="7" eb="9">
      <t>ショウワ</t>
    </rPh>
    <rPh sb="9" eb="11">
      <t>マンガ</t>
    </rPh>
    <rPh sb="11" eb="14">
      <t>ケッサクセン</t>
    </rPh>
    <phoneticPr fontId="1"/>
  </si>
  <si>
    <r>
      <rPr>
        <sz val="11"/>
        <rFont val="游ゴシック Medium"/>
        <family val="3"/>
        <charset val="128"/>
      </rPr>
      <t>二見書房</t>
    </r>
    <rPh sb="0" eb="4">
      <t>フタミショボウ</t>
    </rPh>
    <phoneticPr fontId="1"/>
  </si>
  <si>
    <r>
      <rPr>
        <sz val="11"/>
        <rFont val="游ゴシック Medium"/>
        <family val="3"/>
        <charset val="128"/>
      </rPr>
      <t>松永</t>
    </r>
    <r>
      <rPr>
        <sz val="11"/>
        <rFont val="Consolas"/>
        <family val="3"/>
      </rPr>
      <t xml:space="preserve"> </t>
    </r>
    <r>
      <rPr>
        <sz val="11"/>
        <rFont val="游ゴシック Medium"/>
        <family val="3"/>
        <charset val="128"/>
      </rPr>
      <t>通温</t>
    </r>
    <rPh sb="0" eb="2">
      <t>マツナガ</t>
    </rPh>
    <rPh sb="3" eb="5">
      <t>ミチハル</t>
    </rPh>
    <phoneticPr fontId="1"/>
  </si>
  <si>
    <r>
      <rPr>
        <sz val="11"/>
        <rFont val="游ゴシック Medium"/>
        <family val="3"/>
        <charset val="128"/>
      </rPr>
      <t>中田</t>
    </r>
    <r>
      <rPr>
        <sz val="11"/>
        <rFont val="Consolas"/>
        <family val="3"/>
      </rPr>
      <t xml:space="preserve"> </t>
    </r>
    <r>
      <rPr>
        <sz val="11"/>
        <rFont val="游ゴシック Medium"/>
        <family val="3"/>
        <charset val="128"/>
      </rPr>
      <t>喜直</t>
    </r>
    <rPh sb="0" eb="2">
      <t>ナカダ</t>
    </rPh>
    <rPh sb="3" eb="5">
      <t>ヨシナオ</t>
    </rPh>
    <phoneticPr fontId="1"/>
  </si>
  <si>
    <r>
      <rPr>
        <sz val="11"/>
        <rFont val="游ゴシック Medium"/>
        <family val="3"/>
        <charset val="128"/>
      </rPr>
      <t>阪田</t>
    </r>
    <r>
      <rPr>
        <sz val="11"/>
        <rFont val="Consolas"/>
        <family val="3"/>
      </rPr>
      <t xml:space="preserve"> </t>
    </r>
    <r>
      <rPr>
        <sz val="11"/>
        <rFont val="游ゴシック Medium"/>
        <family val="3"/>
        <charset val="128"/>
      </rPr>
      <t>寛夫</t>
    </r>
    <rPh sb="0" eb="2">
      <t>サカタ</t>
    </rPh>
    <rPh sb="3" eb="5">
      <t>ヒロオ</t>
    </rPh>
    <phoneticPr fontId="1"/>
  </si>
  <si>
    <r>
      <rPr>
        <sz val="11"/>
        <rFont val="游ゴシック Medium"/>
        <family val="3"/>
        <charset val="128"/>
      </rPr>
      <t>ハノン</t>
    </r>
    <r>
      <rPr>
        <sz val="11"/>
        <rFont val="Consolas"/>
        <family val="3"/>
      </rPr>
      <t xml:space="preserve"> </t>
    </r>
    <r>
      <rPr>
        <sz val="11"/>
        <rFont val="游ゴシック Medium"/>
        <family val="3"/>
        <charset val="128"/>
      </rPr>
      <t>ピアノ教本</t>
    </r>
    <r>
      <rPr>
        <sz val="11"/>
        <rFont val="Consolas"/>
        <family val="3"/>
      </rPr>
      <t>|60</t>
    </r>
    <r>
      <rPr>
        <sz val="11"/>
        <rFont val="游ゴシック Medium"/>
        <family val="3"/>
        <charset val="128"/>
      </rPr>
      <t>の練習曲によるヴィルトゥオーゾ・ピアニスト</t>
    </r>
    <rPh sb="7" eb="9">
      <t>キョウホン</t>
    </rPh>
    <rPh sb="13" eb="16">
      <t>レンシュウキョク</t>
    </rPh>
    <phoneticPr fontId="1"/>
  </si>
  <si>
    <r>
      <rPr>
        <sz val="11"/>
        <rFont val="游ゴシック Medium"/>
        <family val="3"/>
        <charset val="128"/>
      </rPr>
      <t>バイエル</t>
    </r>
    <r>
      <rPr>
        <sz val="11"/>
        <rFont val="Consolas"/>
        <family val="3"/>
      </rPr>
      <t xml:space="preserve"> </t>
    </r>
    <r>
      <rPr>
        <sz val="11"/>
        <rFont val="游ゴシック Medium"/>
        <family val="3"/>
        <charset val="128"/>
      </rPr>
      <t>ピアノ教本</t>
    </r>
    <r>
      <rPr>
        <sz val="11"/>
        <rFont val="Consolas"/>
        <family val="3"/>
      </rPr>
      <t>|</t>
    </r>
    <r>
      <rPr>
        <sz val="11"/>
        <rFont val="游ゴシック Medium"/>
        <family val="3"/>
        <charset val="128"/>
      </rPr>
      <t>ピアノ奏法入門書</t>
    </r>
    <rPh sb="8" eb="10">
      <t>キョウホン</t>
    </rPh>
    <rPh sb="14" eb="16">
      <t>ソウホウ</t>
    </rPh>
    <rPh sb="16" eb="19">
      <t>ニュウモンショ</t>
    </rPh>
    <phoneticPr fontId="1"/>
  </si>
  <si>
    <r>
      <rPr>
        <sz val="11"/>
        <rFont val="游ゴシック Medium"/>
        <family val="3"/>
        <charset val="128"/>
      </rPr>
      <t>衛藤</t>
    </r>
    <r>
      <rPr>
        <sz val="11"/>
        <rFont val="Consolas"/>
        <family val="3"/>
      </rPr>
      <t xml:space="preserve"> </t>
    </r>
    <r>
      <rPr>
        <sz val="11"/>
        <rFont val="游ゴシック Medium"/>
        <family val="3"/>
        <charset val="128"/>
      </rPr>
      <t>幸雄</t>
    </r>
    <rPh sb="0" eb="2">
      <t>エトウ</t>
    </rPh>
    <rPh sb="3" eb="5">
      <t>ユキオ</t>
    </rPh>
    <phoneticPr fontId="1"/>
  </si>
  <si>
    <r>
      <rPr>
        <sz val="11"/>
        <rFont val="游ゴシック Medium"/>
        <family val="3"/>
        <charset val="128"/>
      </rPr>
      <t>身内</t>
    </r>
    <r>
      <rPr>
        <sz val="11"/>
        <rFont val="Consolas"/>
        <family val="3"/>
      </rPr>
      <t>/Korea etc.</t>
    </r>
    <rPh sb="0" eb="2">
      <t>ミウチ</t>
    </rPh>
    <phoneticPr fontId="1"/>
  </si>
  <si>
    <r>
      <rPr>
        <strike/>
        <sz val="11"/>
        <rFont val="游ゴシック Medium"/>
        <family val="3"/>
        <charset val="128"/>
      </rPr>
      <t>許可</t>
    </r>
    <rPh sb="0" eb="2">
      <t>シュイ　クゥ</t>
    </rPh>
    <phoneticPr fontId="1"/>
  </si>
  <si>
    <r>
      <rPr>
        <strike/>
        <sz val="11"/>
        <rFont val="游ゴシック Medium"/>
        <family val="3"/>
        <charset val="128"/>
      </rPr>
      <t>胡弓</t>
    </r>
    <rPh sb="0" eb="2">
      <t>コキュウ</t>
    </rPh>
    <phoneticPr fontId="1"/>
  </si>
  <si>
    <r>
      <rPr>
        <strike/>
        <sz val="11"/>
        <rFont val="游ゴシック Medium"/>
        <family val="3"/>
        <charset val="128"/>
      </rPr>
      <t>胡弓と馬頭琴の出会い─民族音楽の楽しみ</t>
    </r>
    <r>
      <rPr>
        <strike/>
        <sz val="11"/>
        <rFont val="Consolas"/>
        <family val="3"/>
      </rPr>
      <t>No.5</t>
    </r>
    <r>
      <rPr>
        <strike/>
        <sz val="11"/>
        <rFont val="游ゴシック Medium"/>
        <family val="3"/>
        <charset val="128"/>
      </rPr>
      <t>─</t>
    </r>
    <rPh sb="0" eb="2">
      <t>コキュウ</t>
    </rPh>
    <rPh sb="3" eb="6">
      <t>バトウキン</t>
    </rPh>
    <rPh sb="7" eb="9">
      <t>デア</t>
    </rPh>
    <rPh sb="11" eb="15">
      <t>ミンゾクオンガク</t>
    </rPh>
    <rPh sb="16" eb="17">
      <t>タノ</t>
    </rPh>
    <phoneticPr fontId="1"/>
  </si>
  <si>
    <r>
      <t>18</t>
    </r>
    <r>
      <rPr>
        <strike/>
        <sz val="11"/>
        <rFont val="游ゴシック Medium"/>
        <family val="3"/>
        <charset val="128"/>
      </rPr>
      <t>時半</t>
    </r>
    <rPh sb="2" eb="4">
      <t>ジハン</t>
    </rPh>
    <phoneticPr fontId="1"/>
  </si>
  <si>
    <r>
      <rPr>
        <strike/>
        <sz val="11"/>
        <rFont val="游ゴシック Medium"/>
        <family val="3"/>
        <charset val="128"/>
      </rPr>
      <t>東京文化会館小ホール</t>
    </r>
    <rPh sb="0" eb="6">
      <t>トウキョウブンカカイカン</t>
    </rPh>
    <rPh sb="6" eb="7">
      <t>ショウ</t>
    </rPh>
    <phoneticPr fontId="1"/>
  </si>
  <si>
    <r>
      <rPr>
        <strike/>
        <sz val="11"/>
        <rFont val="游ゴシック Medium"/>
        <family val="3"/>
        <charset val="128"/>
      </rPr>
      <t>池辺晋一郎</t>
    </r>
    <rPh sb="0" eb="2">
      <t>イケベ</t>
    </rPh>
    <rPh sb="2" eb="5">
      <t>シンイチロウ</t>
    </rPh>
    <phoneticPr fontId="1"/>
  </si>
  <si>
    <r>
      <rPr>
        <strike/>
        <sz val="11"/>
        <rFont val="游ゴシック Medium"/>
        <family val="3"/>
        <charset val="128"/>
      </rPr>
      <t>作品目録</t>
    </r>
    <rPh sb="0" eb="4">
      <t>サクヒンモクロク</t>
    </rPh>
    <phoneticPr fontId="1"/>
  </si>
  <si>
    <r>
      <rPr>
        <strike/>
        <sz val="11"/>
        <rFont val="游ゴシック Medium"/>
        <family val="3"/>
        <charset val="128"/>
      </rPr>
      <t>佐藤聰明</t>
    </r>
    <rPh sb="0" eb="2">
      <t>サトウ</t>
    </rPh>
    <rPh sb="2" eb="4">
      <t>トシアキ</t>
    </rPh>
    <phoneticPr fontId="1"/>
  </si>
  <si>
    <r>
      <rPr>
        <strike/>
        <sz val="11"/>
        <rFont val="游ゴシック Medium"/>
        <family val="3"/>
        <charset val="128"/>
      </rPr>
      <t>藤家渓子</t>
    </r>
    <rPh sb="0" eb="2">
      <t>フジイエ</t>
    </rPh>
    <rPh sb="2" eb="4">
      <t>ケイコ</t>
    </rPh>
    <phoneticPr fontId="1"/>
  </si>
  <si>
    <r>
      <rPr>
        <strike/>
        <sz val="11"/>
        <rFont val="游ゴシック Medium"/>
        <family val="3"/>
        <charset val="128"/>
      </rPr>
      <t>新実徳英</t>
    </r>
    <rPh sb="0" eb="2">
      <t>ニイミ</t>
    </rPh>
    <rPh sb="2" eb="4">
      <t>トクヒデ</t>
    </rPh>
    <phoneticPr fontId="1"/>
  </si>
  <si>
    <r>
      <rPr>
        <strike/>
        <sz val="11"/>
        <rFont val="游ゴシック Medium"/>
        <family val="3"/>
        <charset val="128"/>
      </rPr>
      <t>金子仁美</t>
    </r>
    <rPh sb="0" eb="2">
      <t>カネコ</t>
    </rPh>
    <rPh sb="2" eb="4">
      <t>ヒトミ</t>
    </rPh>
    <phoneticPr fontId="1"/>
  </si>
  <si>
    <r>
      <rPr>
        <b/>
        <strike/>
        <sz val="11"/>
        <color indexed="33"/>
        <rFont val="游ゴシック Medium"/>
        <family val="3"/>
        <charset val="128"/>
      </rPr>
      <t>西村</t>
    </r>
    <r>
      <rPr>
        <b/>
        <strike/>
        <sz val="11"/>
        <color indexed="33"/>
        <rFont val="Consolas"/>
        <family val="3"/>
      </rPr>
      <t xml:space="preserve"> </t>
    </r>
    <r>
      <rPr>
        <b/>
        <strike/>
        <sz val="11"/>
        <color indexed="33"/>
        <rFont val="游ゴシック Medium"/>
        <family val="3"/>
        <charset val="128"/>
      </rPr>
      <t>朗</t>
    </r>
    <rPh sb="0" eb="2">
      <t>ニシムラ</t>
    </rPh>
    <rPh sb="3" eb="4">
      <t>アキラ</t>
    </rPh>
    <phoneticPr fontId="1"/>
  </si>
  <si>
    <r>
      <rPr>
        <b/>
        <strike/>
        <sz val="11"/>
        <color indexed="33"/>
        <rFont val="游ゴシック Medium"/>
        <family val="3"/>
        <charset val="128"/>
      </rPr>
      <t>武満</t>
    </r>
    <r>
      <rPr>
        <b/>
        <strike/>
        <sz val="11"/>
        <color indexed="33"/>
        <rFont val="Consolas"/>
        <family val="3"/>
      </rPr>
      <t xml:space="preserve"> </t>
    </r>
    <r>
      <rPr>
        <b/>
        <strike/>
        <sz val="11"/>
        <color indexed="33"/>
        <rFont val="游ゴシック Medium"/>
        <family val="3"/>
        <charset val="128"/>
      </rPr>
      <t>徹</t>
    </r>
    <rPh sb="0" eb="2">
      <t>タケミツ</t>
    </rPh>
    <rPh sb="3" eb="4">
      <t>トオル</t>
    </rPh>
    <phoneticPr fontId="1"/>
  </si>
  <si>
    <r>
      <rPr>
        <strike/>
        <sz val="11"/>
        <rFont val="游ゴシック Medium"/>
        <family val="3"/>
        <charset val="128"/>
      </rPr>
      <t>日本ショット㈱</t>
    </r>
    <rPh sb="0" eb="2">
      <t>ニホン</t>
    </rPh>
    <phoneticPr fontId="1"/>
  </si>
  <si>
    <t>reference.xlsx</t>
    <phoneticPr fontId="1"/>
  </si>
  <si>
    <t>book.xlsx</t>
    <phoneticPr fontId="1"/>
  </si>
  <si>
    <t>=&gt;</t>
    <phoneticPr fontId="1"/>
  </si>
  <si>
    <t>cassette.xlsx</t>
    <phoneticPr fontId="1"/>
  </si>
  <si>
    <r>
      <t xml:space="preserve">cassette Tape </t>
    </r>
    <r>
      <rPr>
        <sz val="11"/>
        <rFont val="游ゴシック Medium"/>
        <family val="3"/>
        <charset val="128"/>
      </rPr>
      <t>の</t>
    </r>
    <r>
      <rPr>
        <sz val="11"/>
        <rFont val="Consolas"/>
        <family val="3"/>
      </rPr>
      <t xml:space="preserve"> Library </t>
    </r>
    <r>
      <rPr>
        <sz val="11"/>
        <rFont val="游ゴシック Medium"/>
        <family val="3"/>
        <charset val="128"/>
      </rPr>
      <t>は</t>
    </r>
    <r>
      <rPr>
        <sz val="11"/>
        <rFont val="Consolas"/>
        <family val="3"/>
      </rPr>
      <t xml:space="preserve"> </t>
    </r>
    <r>
      <rPr>
        <sz val="11"/>
        <rFont val="游ゴシック Medium"/>
        <family val="3"/>
        <charset val="128"/>
      </rPr>
      <t>こちら。</t>
    </r>
    <phoneticPr fontId="1"/>
  </si>
  <si>
    <t>library.xlsx</t>
    <phoneticPr fontId="1"/>
  </si>
  <si>
    <r>
      <t xml:space="preserve">cassette Tape </t>
    </r>
    <r>
      <rPr>
        <sz val="11"/>
        <rFont val="游ゴシック Medium"/>
        <family val="3"/>
        <charset val="128"/>
      </rPr>
      <t>以外</t>
    </r>
    <r>
      <rPr>
        <sz val="11"/>
        <rFont val="Consolas"/>
        <family val="3"/>
      </rPr>
      <t xml:space="preserve"> </t>
    </r>
    <r>
      <rPr>
        <sz val="11"/>
        <rFont val="游ゴシック Medium"/>
        <family val="3"/>
        <charset val="128"/>
      </rPr>
      <t>での</t>
    </r>
    <r>
      <rPr>
        <sz val="11"/>
        <rFont val="Consolas"/>
        <family val="3"/>
      </rPr>
      <t xml:space="preserve"> Library </t>
    </r>
    <r>
      <rPr>
        <sz val="11"/>
        <rFont val="游ゴシック Medium"/>
        <family val="3"/>
        <charset val="128"/>
      </rPr>
      <t>は</t>
    </r>
    <r>
      <rPr>
        <sz val="11"/>
        <rFont val="Consolas"/>
        <family val="3"/>
      </rPr>
      <t xml:space="preserve"> </t>
    </r>
    <r>
      <rPr>
        <sz val="11"/>
        <rFont val="游ゴシック Medium"/>
        <family val="3"/>
        <charset val="128"/>
      </rPr>
      <t>こちら。</t>
    </r>
    <phoneticPr fontId="1"/>
  </si>
  <si>
    <r>
      <t>[</t>
    </r>
    <r>
      <rPr>
        <u/>
        <sz val="11"/>
        <color indexed="12"/>
        <rFont val="游ゴシック Medium"/>
        <family val="3"/>
        <charset val="128"/>
      </rPr>
      <t>世界中</t>
    </r>
    <r>
      <rPr>
        <u/>
        <sz val="11"/>
        <color indexed="12"/>
        <rFont val="Consolas"/>
        <family val="3"/>
      </rPr>
      <t xml:space="preserve"> (</t>
    </r>
    <r>
      <rPr>
        <u/>
        <sz val="11"/>
        <color indexed="12"/>
        <rFont val="游ゴシック Medium"/>
        <family val="3"/>
        <charset val="128"/>
      </rPr>
      <t>日本も含む</t>
    </r>
    <r>
      <rPr>
        <u/>
        <sz val="11"/>
        <color indexed="12"/>
        <rFont val="Consolas"/>
        <family val="3"/>
      </rPr>
      <t xml:space="preserve">) </t>
    </r>
    <r>
      <rPr>
        <u/>
        <sz val="11"/>
        <color indexed="12"/>
        <rFont val="游ゴシック Medium"/>
        <family val="3"/>
        <charset val="128"/>
      </rPr>
      <t>の
民族芸能･民族音楽</t>
    </r>
    <r>
      <rPr>
        <u/>
        <sz val="11"/>
        <color indexed="12"/>
        <rFont val="Consolas"/>
        <family val="3"/>
      </rPr>
      <t xml:space="preserve"> </t>
    </r>
    <r>
      <rPr>
        <u/>
        <sz val="11"/>
        <color indexed="12"/>
        <rFont val="游ゴシック Medium"/>
        <family val="3"/>
        <charset val="128"/>
      </rPr>
      <t>を
見まくろう聴きまくろう</t>
    </r>
    <r>
      <rPr>
        <u/>
        <sz val="11"/>
        <color indexed="12"/>
        <rFont val="Consolas"/>
        <family val="3"/>
      </rPr>
      <t xml:space="preserve"> </t>
    </r>
    <r>
      <rPr>
        <u/>
        <sz val="11"/>
        <color indexed="12"/>
        <rFont val="游ゴシック Medium"/>
        <family val="3"/>
        <charset val="128"/>
      </rPr>
      <t>の</t>
    </r>
    <r>
      <rPr>
        <u/>
        <sz val="11"/>
        <color indexed="12"/>
        <rFont val="Consolas"/>
        <family val="3"/>
      </rPr>
      <t xml:space="preserve"> </t>
    </r>
    <r>
      <rPr>
        <u/>
        <sz val="11"/>
        <color indexed="12"/>
        <rFont val="游ゴシック Medium"/>
        <family val="3"/>
        <charset val="128"/>
      </rPr>
      <t>会</t>
    </r>
    <r>
      <rPr>
        <u/>
        <sz val="11"/>
        <color indexed="12"/>
        <rFont val="Consolas"/>
        <family val="3"/>
      </rPr>
      <t>]</t>
    </r>
    <phoneticPr fontId="1"/>
  </si>
  <si>
    <r>
      <rPr>
        <u/>
        <sz val="11"/>
        <color indexed="12"/>
        <rFont val="游ゴシック Medium"/>
        <family val="3"/>
        <charset val="128"/>
      </rPr>
      <t>民俗芸能・民族音楽</t>
    </r>
    <phoneticPr fontId="1"/>
  </si>
  <si>
    <t>藤城 清治</t>
    <rPh sb="0" eb="2">
      <t>フジシロ</t>
    </rPh>
    <rPh sb="3" eb="5">
      <t>セイジ</t>
    </rPh>
    <phoneticPr fontId="1"/>
  </si>
  <si>
    <t>藤城清治 美術館 那須高原</t>
    <rPh sb="0" eb="2">
      <t>フジシロ</t>
    </rPh>
    <rPh sb="2" eb="4">
      <t>セイジ</t>
    </rPh>
    <rPh sb="5" eb="8">
      <t>ビジュツカン</t>
    </rPh>
    <rPh sb="9" eb="13">
      <t>ナスコウゲン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</si>
</sst>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yyyy/mm/dd\ ddd"/>
    <numFmt numFmtId="178" formatCode="0_);[Red]\(0\)"/>
    <numFmt numFmtId="179" formatCode="yyyy/mm/dd"/>
  </numFmts>
  <fonts count="49"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Ｐ明朝"/>
      <family val="1"/>
      <charset val="128"/>
    </font>
    <font>
      <b/>
      <sz val="11"/>
      <name val="Consolas"/>
      <family val="3"/>
    </font>
    <font>
      <sz val="6"/>
      <name val="Consolas"/>
      <family val="3"/>
    </font>
    <font>
      <sz val="11"/>
      <name val="Consolas"/>
      <family val="3"/>
    </font>
    <font>
      <b/>
      <sz val="11"/>
      <color indexed="33"/>
      <name val="Consolas"/>
      <family val="3"/>
    </font>
    <font>
      <strike/>
      <sz val="11"/>
      <name val="Consolas"/>
      <family val="3"/>
    </font>
    <font>
      <sz val="8"/>
      <name val="Consolas"/>
      <family val="3"/>
    </font>
    <font>
      <b/>
      <strike/>
      <sz val="11"/>
      <color indexed="33"/>
      <name val="Consolas"/>
      <family val="3"/>
    </font>
    <font>
      <u/>
      <sz val="11"/>
      <color indexed="12"/>
      <name val="Consolas"/>
      <family val="3"/>
    </font>
    <font>
      <sz val="10"/>
      <name val="Consolas"/>
      <family val="3"/>
    </font>
    <font>
      <b/>
      <sz val="11"/>
      <color indexed="14"/>
      <name val="Consolas"/>
      <family val="3"/>
    </font>
    <font>
      <b/>
      <sz val="8"/>
      <color indexed="33"/>
      <name val="Consolas"/>
      <family val="3"/>
    </font>
    <font>
      <sz val="11"/>
      <color indexed="10"/>
      <name val="Consolas"/>
      <family val="3"/>
    </font>
    <font>
      <sz val="9"/>
      <name val="Consolas"/>
      <family val="3"/>
    </font>
    <font>
      <b/>
      <u/>
      <sz val="11"/>
      <color indexed="12"/>
      <name val="Consolas"/>
      <family val="3"/>
    </font>
    <font>
      <u/>
      <sz val="11"/>
      <name val="Consolas"/>
      <family val="3"/>
    </font>
    <font>
      <b/>
      <sz val="11"/>
      <color indexed="57"/>
      <name val="Consolas"/>
      <family val="3"/>
    </font>
    <font>
      <b/>
      <sz val="11"/>
      <color indexed="12"/>
      <name val="Consolas"/>
      <family val="3"/>
    </font>
    <font>
      <sz val="12"/>
      <name val="Consolas"/>
      <family val="3"/>
    </font>
    <font>
      <u/>
      <sz val="12"/>
      <color indexed="12"/>
      <name val="Consolas"/>
      <family val="3"/>
    </font>
    <font>
      <strike/>
      <sz val="8"/>
      <name val="Consolas"/>
      <family val="3"/>
    </font>
    <font>
      <strike/>
      <u/>
      <sz val="11"/>
      <color indexed="12"/>
      <name val="Consolas"/>
      <family val="3"/>
    </font>
    <font>
      <b/>
      <strike/>
      <sz val="11"/>
      <color indexed="14"/>
      <name val="Consolas"/>
      <family val="3"/>
    </font>
    <font>
      <sz val="12"/>
      <name val="游ゴシック Medium"/>
      <family val="3"/>
      <charset val="128"/>
    </font>
    <font>
      <u/>
      <sz val="12"/>
      <color indexed="12"/>
      <name val="游ゴシック Medium"/>
      <family val="3"/>
      <charset val="128"/>
    </font>
    <font>
      <sz val="11"/>
      <name val="游ゴシック Medium"/>
      <family val="3"/>
      <charset val="128"/>
    </font>
    <font>
      <u/>
      <sz val="11"/>
      <color indexed="12"/>
      <name val="游ゴシック Medium"/>
      <family val="3"/>
      <charset val="128"/>
    </font>
    <font>
      <sz val="8"/>
      <name val="游ゴシック Medium"/>
      <family val="3"/>
      <charset val="128"/>
    </font>
    <font>
      <b/>
      <sz val="11"/>
      <name val="游ゴシック Medium"/>
      <family val="3"/>
      <charset val="128"/>
    </font>
    <font>
      <sz val="11"/>
      <color indexed="8"/>
      <name val="游ゴシック Medium"/>
      <family val="3"/>
      <charset val="128"/>
    </font>
    <font>
      <sz val="6"/>
      <name val="游ゴシック Medium"/>
      <family val="3"/>
      <charset val="128"/>
    </font>
    <font>
      <b/>
      <sz val="11"/>
      <color indexed="33"/>
      <name val="游ゴシック Medium"/>
      <family val="3"/>
      <charset val="128"/>
    </font>
    <font>
      <strike/>
      <sz val="11"/>
      <name val="游ゴシック Medium"/>
      <family val="3"/>
      <charset val="128"/>
    </font>
    <font>
      <sz val="11"/>
      <color indexed="10"/>
      <name val="游ゴシック Medium"/>
      <family val="3"/>
      <charset val="128"/>
    </font>
    <font>
      <strike/>
      <sz val="8"/>
      <name val="游ゴシック Medium"/>
      <family val="3"/>
      <charset val="128"/>
    </font>
    <font>
      <b/>
      <strike/>
      <sz val="11"/>
      <color indexed="33"/>
      <name val="游ゴシック Medium"/>
      <family val="3"/>
      <charset val="128"/>
    </font>
    <font>
      <sz val="10"/>
      <name val="游ゴシック Medium"/>
      <family val="3"/>
      <charset val="128"/>
    </font>
    <font>
      <b/>
      <sz val="11"/>
      <color indexed="14"/>
      <name val="游ゴシック Medium"/>
      <family val="3"/>
      <charset val="128"/>
    </font>
    <font>
      <sz val="9"/>
      <name val="游ゴシック Medium"/>
      <family val="3"/>
      <charset val="128"/>
    </font>
    <font>
      <b/>
      <strike/>
      <sz val="11"/>
      <color indexed="14"/>
      <name val="游ゴシック Medium"/>
      <family val="3"/>
      <charset val="128"/>
    </font>
    <font>
      <strike/>
      <u/>
      <sz val="11"/>
      <color indexed="12"/>
      <name val="游ゴシック Medium"/>
      <family val="3"/>
      <charset val="128"/>
    </font>
    <font>
      <b/>
      <u/>
      <sz val="11"/>
      <color indexed="12"/>
      <name val="游ゴシック Medium"/>
      <family val="3"/>
      <charset val="128"/>
    </font>
    <font>
      <sz val="11"/>
      <color indexed="37"/>
      <name val="游ゴシック Medium"/>
      <family val="3"/>
      <charset val="128"/>
    </font>
    <font>
      <b/>
      <sz val="10"/>
      <color indexed="33"/>
      <name val="游ゴシック Medium"/>
      <family val="3"/>
      <charset val="128"/>
    </font>
    <font>
      <sz val="11"/>
      <color rgb="FF000000"/>
      <name val="Consolas"/>
      <family val="3"/>
    </font>
    <font>
      <b/>
      <sz val="11"/>
      <color rgb="FFFF00FF"/>
      <name val="Consolas"/>
      <family val="3"/>
    </font>
  </fonts>
  <fills count="9">
    <fill>
      <patternFill patternType="none"/>
    </fill>
    <fill>
      <patternFill patternType="gray125"/>
    </fill>
    <fill>
      <patternFill patternType="solid">
        <fgColor indexed="41"/>
        <bgColor indexed="64"/>
      </patternFill>
    </fill>
    <fill>
      <patternFill patternType="solid">
        <fgColor indexed="20"/>
        <bgColor indexed="64"/>
      </patternFill>
    </fill>
    <fill>
      <patternFill patternType="solid">
        <fgColor indexed="43"/>
        <bgColor indexed="64"/>
      </patternFill>
    </fill>
    <fill>
      <patternFill patternType="solid">
        <fgColor indexed="22"/>
        <bgColor indexed="64"/>
      </patternFill>
    </fill>
    <fill>
      <patternFill patternType="solid">
        <fgColor indexed="47"/>
        <bgColor indexed="64"/>
      </patternFill>
    </fill>
    <fill>
      <patternFill patternType="solid">
        <fgColor indexed="34"/>
        <bgColor indexed="64"/>
      </patternFill>
    </fill>
    <fill>
      <patternFill patternType="solid">
        <fgColor rgb="FFFFFFFF"/>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ck">
        <color indexed="64"/>
      </top>
      <bottom/>
      <diagonal/>
    </border>
    <border>
      <left style="hair">
        <color indexed="64"/>
      </left>
      <right style="medium">
        <color indexed="64"/>
      </right>
      <top style="thick">
        <color indexed="64"/>
      </top>
      <bottom/>
      <diagonal/>
    </border>
    <border>
      <left style="medium">
        <color indexed="64"/>
      </left>
      <right style="hair">
        <color indexed="64"/>
      </right>
      <top style="thick">
        <color indexed="64"/>
      </top>
      <bottom/>
      <diagonal/>
    </border>
    <border>
      <left style="hair">
        <color indexed="64"/>
      </left>
      <right style="thick">
        <color indexed="64"/>
      </right>
      <top style="thick">
        <color indexed="64"/>
      </top>
      <bottom/>
      <diagonal/>
    </border>
    <border>
      <left style="thick">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hair">
        <color indexed="64"/>
      </left>
      <right style="thick">
        <color indexed="64"/>
      </right>
      <top/>
      <bottom style="medium">
        <color indexed="64"/>
      </bottom>
      <diagonal/>
    </border>
    <border>
      <left style="thick">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style="medium">
        <color indexed="64"/>
      </top>
      <bottom/>
      <diagonal/>
    </border>
    <border>
      <left style="hair">
        <color indexed="64"/>
      </left>
      <right style="thick">
        <color indexed="64"/>
      </right>
      <top style="medium">
        <color indexed="64"/>
      </top>
      <bottom/>
      <diagonal/>
    </border>
    <border>
      <left style="thick">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ck">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thick">
        <color indexed="64"/>
      </right>
      <top style="thin">
        <color indexed="64"/>
      </top>
      <bottom style="thin">
        <color indexed="64"/>
      </bottom>
      <diagonal/>
    </border>
    <border>
      <left style="thick">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thin">
        <color indexed="64"/>
      </top>
      <bottom/>
      <diagonal/>
    </border>
    <border>
      <left style="hair">
        <color indexed="64"/>
      </left>
      <right style="thick">
        <color indexed="64"/>
      </right>
      <top style="thin">
        <color indexed="64"/>
      </top>
      <bottom/>
      <diagonal/>
    </border>
    <border>
      <left style="thick">
        <color indexed="64"/>
      </left>
      <right style="hair">
        <color indexed="64"/>
      </right>
      <top style="double">
        <color indexed="64"/>
      </top>
      <bottom style="thick">
        <color indexed="64"/>
      </bottom>
      <diagonal/>
    </border>
    <border>
      <left style="hair">
        <color indexed="64"/>
      </left>
      <right style="hair">
        <color indexed="64"/>
      </right>
      <top style="double">
        <color indexed="64"/>
      </top>
      <bottom style="thick">
        <color indexed="64"/>
      </bottom>
      <diagonal/>
    </border>
    <border>
      <left style="hair">
        <color indexed="64"/>
      </left>
      <right style="medium">
        <color indexed="64"/>
      </right>
      <top style="double">
        <color indexed="64"/>
      </top>
      <bottom style="thick">
        <color indexed="64"/>
      </bottom>
      <diagonal/>
    </border>
    <border>
      <left style="medium">
        <color indexed="64"/>
      </left>
      <right style="hair">
        <color indexed="64"/>
      </right>
      <top style="double">
        <color indexed="64"/>
      </top>
      <bottom style="thick">
        <color indexed="64"/>
      </bottom>
      <diagonal/>
    </border>
    <border>
      <left style="hair">
        <color indexed="64"/>
      </left>
      <right style="thick">
        <color indexed="64"/>
      </right>
      <top style="double">
        <color indexed="64"/>
      </top>
      <bottom style="thick">
        <color indexed="64"/>
      </bottom>
      <diagonal/>
    </border>
    <border>
      <left style="hair">
        <color indexed="64"/>
      </left>
      <right style="hair">
        <color indexed="64"/>
      </right>
      <top/>
      <bottom style="thin">
        <color indexed="64"/>
      </bottom>
      <diagonal/>
    </border>
    <border>
      <left style="thick">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thick">
        <color indexed="64"/>
      </left>
      <right style="hair">
        <color indexed="64"/>
      </right>
      <top style="thick">
        <color indexed="64"/>
      </top>
      <bottom/>
      <diagonal/>
    </border>
    <border>
      <left style="thin">
        <color theme="5" tint="0.59996337778862885"/>
      </left>
      <right style="thin">
        <color theme="5" tint="0.59996337778862885"/>
      </right>
      <top style="thin">
        <color theme="5" tint="0.59996337778862885"/>
      </top>
      <bottom style="thin">
        <color theme="5" tint="0.59996337778862885"/>
      </bottom>
      <diagonal/>
    </border>
  </borders>
  <cellStyleXfs count="2">
    <xf numFmtId="0" fontId="0" fillId="0" borderId="0"/>
    <xf numFmtId="0" fontId="2" fillId="0" borderId="0" applyNumberFormat="0" applyFill="0" applyBorder="0" applyAlignment="0" applyProtection="0">
      <alignment vertical="top"/>
      <protection locked="0"/>
    </xf>
  </cellStyleXfs>
  <cellXfs count="134">
    <xf numFmtId="0" fontId="0" fillId="0" borderId="0" xfId="0"/>
    <xf numFmtId="176" fontId="5" fillId="0" borderId="0" xfId="0" applyNumberFormat="1" applyFont="1"/>
    <xf numFmtId="49" fontId="4" fillId="0" borderId="0" xfId="0" applyNumberFormat="1" applyFont="1"/>
    <xf numFmtId="177" fontId="4" fillId="0" borderId="0" xfId="0" applyNumberFormat="1" applyFont="1" applyAlignment="1">
      <alignment horizontal="left"/>
    </xf>
    <xf numFmtId="178" fontId="4" fillId="0" borderId="0" xfId="0" applyNumberFormat="1" applyFont="1" applyAlignment="1">
      <alignment horizontal="left"/>
    </xf>
    <xf numFmtId="176" fontId="6" fillId="0" borderId="0" xfId="0" applyNumberFormat="1" applyFont="1"/>
    <xf numFmtId="49" fontId="6" fillId="2" borderId="0" xfId="0" applyNumberFormat="1" applyFont="1" applyFill="1"/>
    <xf numFmtId="49" fontId="6" fillId="3" borderId="0" xfId="0" applyNumberFormat="1" applyFont="1" applyFill="1"/>
    <xf numFmtId="49" fontId="6" fillId="4" borderId="0" xfId="0" applyNumberFormat="1" applyFont="1" applyFill="1"/>
    <xf numFmtId="49" fontId="6" fillId="5" borderId="0" xfId="0" applyNumberFormat="1" applyFont="1" applyFill="1"/>
    <xf numFmtId="177" fontId="6" fillId="3" borderId="0" xfId="0" applyNumberFormat="1" applyFont="1" applyFill="1" applyAlignment="1">
      <alignment horizontal="left"/>
    </xf>
    <xf numFmtId="178" fontId="6" fillId="3" borderId="0" xfId="0" applyNumberFormat="1" applyFont="1" applyFill="1" applyAlignment="1">
      <alignment horizontal="right"/>
    </xf>
    <xf numFmtId="49" fontId="6" fillId="6" borderId="0" xfId="0" applyNumberFormat="1" applyFont="1" applyFill="1"/>
    <xf numFmtId="49" fontId="6" fillId="0" borderId="0" xfId="0" applyNumberFormat="1" applyFont="1"/>
    <xf numFmtId="0" fontId="6" fillId="0" borderId="0" xfId="0" applyFont="1"/>
    <xf numFmtId="49" fontId="7" fillId="0" borderId="0" xfId="0" applyNumberFormat="1" applyFont="1"/>
    <xf numFmtId="177" fontId="6" fillId="0" borderId="0" xfId="0" applyNumberFormat="1" applyFont="1" applyAlignment="1">
      <alignment horizontal="left"/>
    </xf>
    <xf numFmtId="178" fontId="6" fillId="0" borderId="0" xfId="0" applyNumberFormat="1" applyFont="1" applyAlignment="1">
      <alignment horizontal="right"/>
    </xf>
    <xf numFmtId="176" fontId="8" fillId="0" borderId="0" xfId="0" applyNumberFormat="1" applyFont="1"/>
    <xf numFmtId="49" fontId="8" fillId="0" borderId="0" xfId="0" applyNumberFormat="1" applyFont="1"/>
    <xf numFmtId="177" fontId="8" fillId="0" borderId="0" xfId="0" applyNumberFormat="1" applyFont="1" applyAlignment="1">
      <alignment horizontal="left"/>
    </xf>
    <xf numFmtId="178" fontId="8" fillId="0" borderId="0" xfId="0" applyNumberFormat="1" applyFont="1" applyAlignment="1">
      <alignment horizontal="right"/>
    </xf>
    <xf numFmtId="49" fontId="9" fillId="0" borderId="0" xfId="0" applyNumberFormat="1" applyFont="1"/>
    <xf numFmtId="49" fontId="10" fillId="0" borderId="0" xfId="0" applyNumberFormat="1" applyFont="1"/>
    <xf numFmtId="49" fontId="11" fillId="0" borderId="0" xfId="1" applyNumberFormat="1" applyFont="1" applyAlignment="1" applyProtection="1"/>
    <xf numFmtId="49" fontId="12" fillId="0" borderId="0" xfId="0" applyNumberFormat="1" applyFont="1"/>
    <xf numFmtId="49" fontId="6" fillId="0" borderId="0" xfId="0" applyNumberFormat="1" applyFont="1" applyAlignment="1">
      <alignment horizontal="left"/>
    </xf>
    <xf numFmtId="0" fontId="8" fillId="0" borderId="0" xfId="0" applyFont="1"/>
    <xf numFmtId="49" fontId="13" fillId="0" borderId="0" xfId="0" applyNumberFormat="1" applyFont="1"/>
    <xf numFmtId="49" fontId="15" fillId="0" borderId="0" xfId="0" applyNumberFormat="1" applyFont="1"/>
    <xf numFmtId="49" fontId="6" fillId="0" borderId="0" xfId="0" quotePrefix="1" applyNumberFormat="1" applyFont="1"/>
    <xf numFmtId="49" fontId="16" fillId="0" borderId="0" xfId="0" applyNumberFormat="1" applyFont="1"/>
    <xf numFmtId="49" fontId="5" fillId="0" borderId="0" xfId="0" applyNumberFormat="1" applyFont="1"/>
    <xf numFmtId="49" fontId="17" fillId="0" borderId="0" xfId="1" applyNumberFormat="1" applyFont="1" applyAlignment="1" applyProtection="1"/>
    <xf numFmtId="0" fontId="6" fillId="3" borderId="0" xfId="0" applyFont="1" applyFill="1"/>
    <xf numFmtId="49" fontId="7" fillId="0" borderId="0" xfId="0" quotePrefix="1" applyNumberFormat="1" applyFont="1"/>
    <xf numFmtId="49" fontId="19" fillId="0" borderId="0" xfId="0" applyNumberFormat="1" applyFont="1"/>
    <xf numFmtId="0" fontId="21" fillId="0" borderId="0" xfId="0" applyFont="1"/>
    <xf numFmtId="49" fontId="22" fillId="7" borderId="2" xfId="1" applyNumberFormat="1" applyFont="1" applyFill="1" applyBorder="1" applyAlignment="1" applyProtection="1">
      <alignment shrinkToFit="1"/>
    </xf>
    <xf numFmtId="49" fontId="22" fillId="7" borderId="3" xfId="1" applyNumberFormat="1" applyFont="1" applyFill="1" applyBorder="1" applyAlignment="1" applyProtection="1">
      <alignment shrinkToFit="1"/>
    </xf>
    <xf numFmtId="49" fontId="21" fillId="7" borderId="4" xfId="0" applyNumberFormat="1" applyFont="1" applyFill="1" applyBorder="1" applyAlignment="1">
      <alignment shrinkToFit="1"/>
    </xf>
    <xf numFmtId="49" fontId="22" fillId="7" borderId="5" xfId="1" applyNumberFormat="1" applyFont="1" applyFill="1" applyBorder="1" applyAlignment="1" applyProtection="1">
      <alignment shrinkToFit="1"/>
    </xf>
    <xf numFmtId="49" fontId="22" fillId="0" borderId="0" xfId="1" applyNumberFormat="1" applyFont="1" applyFill="1" applyBorder="1" applyAlignment="1" applyProtection="1">
      <alignment shrinkToFit="1"/>
    </xf>
    <xf numFmtId="49" fontId="21" fillId="7" borderId="6" xfId="0" applyNumberFormat="1" applyFont="1" applyFill="1" applyBorder="1" applyAlignment="1">
      <alignment shrinkToFit="1"/>
    </xf>
    <xf numFmtId="49" fontId="22" fillId="7" borderId="7" xfId="1" applyNumberFormat="1" applyFont="1" applyFill="1" applyBorder="1" applyAlignment="1" applyProtection="1">
      <alignment shrinkToFit="1"/>
    </xf>
    <xf numFmtId="49" fontId="22" fillId="7" borderId="8" xfId="1" applyNumberFormat="1" applyFont="1" applyFill="1" applyBorder="1" applyAlignment="1" applyProtection="1">
      <alignment shrinkToFit="1"/>
    </xf>
    <xf numFmtId="49" fontId="21" fillId="7" borderId="9" xfId="0" applyNumberFormat="1" applyFont="1" applyFill="1" applyBorder="1" applyAlignment="1">
      <alignment shrinkToFit="1"/>
    </xf>
    <xf numFmtId="49" fontId="22" fillId="7" borderId="10" xfId="1" applyNumberFormat="1" applyFont="1" applyFill="1" applyBorder="1" applyAlignment="1" applyProtection="1">
      <alignment shrinkToFit="1"/>
    </xf>
    <xf numFmtId="49" fontId="21" fillId="7" borderId="11" xfId="0" applyNumberFormat="1" applyFont="1" applyFill="1" applyBorder="1" applyAlignment="1">
      <alignment shrinkToFit="1"/>
    </xf>
    <xf numFmtId="49" fontId="22" fillId="7" borderId="12" xfId="1" applyNumberFormat="1" applyFont="1" applyFill="1" applyBorder="1" applyAlignment="1" applyProtection="1">
      <alignment shrinkToFit="1"/>
    </xf>
    <xf numFmtId="49" fontId="22" fillId="7" borderId="13" xfId="1" applyNumberFormat="1" applyFont="1" applyFill="1" applyBorder="1" applyAlignment="1" applyProtection="1">
      <alignment shrinkToFit="1"/>
    </xf>
    <xf numFmtId="49" fontId="21" fillId="7" borderId="14" xfId="0" applyNumberFormat="1" applyFont="1" applyFill="1" applyBorder="1" applyAlignment="1">
      <alignment shrinkToFit="1"/>
    </xf>
    <xf numFmtId="49" fontId="22" fillId="7" borderId="15" xfId="1" applyNumberFormat="1" applyFont="1" applyFill="1" applyBorder="1" applyAlignment="1" applyProtection="1">
      <alignment shrinkToFit="1"/>
    </xf>
    <xf numFmtId="49" fontId="21" fillId="7" borderId="16" xfId="0" applyNumberFormat="1" applyFont="1" applyFill="1" applyBorder="1" applyAlignment="1">
      <alignment shrinkToFit="1"/>
    </xf>
    <xf numFmtId="49" fontId="21" fillId="7" borderId="17" xfId="0" applyNumberFormat="1" applyFont="1" applyFill="1" applyBorder="1" applyAlignment="1">
      <alignment shrinkToFit="1"/>
    </xf>
    <xf numFmtId="0" fontId="21" fillId="0" borderId="18" xfId="0" applyFont="1" applyBorder="1" applyAlignment="1">
      <alignment shrinkToFit="1"/>
    </xf>
    <xf numFmtId="0" fontId="21" fillId="0" borderId="19" xfId="0" applyFont="1" applyBorder="1" applyAlignment="1">
      <alignment shrinkToFit="1"/>
    </xf>
    <xf numFmtId="0" fontId="21" fillId="0" borderId="17" xfId="0" applyFont="1" applyBorder="1" applyAlignment="1">
      <alignment shrinkToFit="1"/>
    </xf>
    <xf numFmtId="49" fontId="21" fillId="7" borderId="20" xfId="0" applyNumberFormat="1" applyFont="1" applyFill="1" applyBorder="1" applyAlignment="1">
      <alignment shrinkToFit="1"/>
    </xf>
    <xf numFmtId="49" fontId="22" fillId="7" borderId="21" xfId="1" applyNumberFormat="1" applyFont="1" applyFill="1" applyBorder="1" applyAlignment="1" applyProtection="1">
      <alignment shrinkToFit="1"/>
    </xf>
    <xf numFmtId="49" fontId="22" fillId="7" borderId="22" xfId="1" applyNumberFormat="1" applyFont="1" applyFill="1" applyBorder="1" applyAlignment="1" applyProtection="1">
      <alignment shrinkToFit="1"/>
    </xf>
    <xf numFmtId="0" fontId="21" fillId="0" borderId="23" xfId="0" applyFont="1" applyBorder="1" applyAlignment="1">
      <alignment shrinkToFit="1"/>
    </xf>
    <xf numFmtId="0" fontId="21" fillId="0" borderId="21" xfId="0" applyFont="1" applyBorder="1" applyAlignment="1">
      <alignment shrinkToFit="1"/>
    </xf>
    <xf numFmtId="0" fontId="21" fillId="0" borderId="22" xfId="0" applyFont="1" applyBorder="1" applyAlignment="1">
      <alignment shrinkToFit="1"/>
    </xf>
    <xf numFmtId="49" fontId="21" fillId="7" borderId="23" xfId="0" applyNumberFormat="1" applyFont="1" applyFill="1" applyBorder="1" applyAlignment="1">
      <alignment shrinkToFit="1"/>
    </xf>
    <xf numFmtId="49" fontId="21" fillId="7" borderId="22" xfId="0" applyNumberFormat="1" applyFont="1" applyFill="1" applyBorder="1" applyAlignment="1">
      <alignment shrinkToFit="1"/>
    </xf>
    <xf numFmtId="49" fontId="21" fillId="0" borderId="23" xfId="0" applyNumberFormat="1" applyFont="1" applyBorder="1" applyAlignment="1">
      <alignment shrinkToFit="1"/>
    </xf>
    <xf numFmtId="49" fontId="21" fillId="0" borderId="21" xfId="0" applyNumberFormat="1" applyFont="1" applyBorder="1" applyAlignment="1">
      <alignment shrinkToFit="1"/>
    </xf>
    <xf numFmtId="49" fontId="21" fillId="0" borderId="22" xfId="0" applyNumberFormat="1" applyFont="1" applyBorder="1" applyAlignment="1">
      <alignment shrinkToFit="1"/>
    </xf>
    <xf numFmtId="49" fontId="21" fillId="0" borderId="24" xfId="0" applyNumberFormat="1" applyFont="1" applyBorder="1" applyAlignment="1">
      <alignment shrinkToFit="1"/>
    </xf>
    <xf numFmtId="49" fontId="21" fillId="0" borderId="0" xfId="0" applyNumberFormat="1" applyFont="1" applyAlignment="1">
      <alignment shrinkToFit="1"/>
    </xf>
    <xf numFmtId="49" fontId="21" fillId="7" borderId="24" xfId="0" applyNumberFormat="1" applyFont="1" applyFill="1" applyBorder="1" applyAlignment="1">
      <alignment shrinkToFit="1"/>
    </xf>
    <xf numFmtId="0" fontId="21" fillId="0" borderId="24" xfId="0" applyFont="1" applyBorder="1" applyAlignment="1">
      <alignment shrinkToFit="1"/>
    </xf>
    <xf numFmtId="0" fontId="21" fillId="0" borderId="0" xfId="0" applyFont="1" applyAlignment="1">
      <alignment shrinkToFit="1"/>
    </xf>
    <xf numFmtId="0" fontId="21" fillId="7" borderId="22" xfId="0" applyFont="1" applyFill="1" applyBorder="1" applyAlignment="1">
      <alignment shrinkToFit="1"/>
    </xf>
    <xf numFmtId="49" fontId="21" fillId="7" borderId="25" xfId="0" applyNumberFormat="1" applyFont="1" applyFill="1" applyBorder="1" applyAlignment="1">
      <alignment shrinkToFit="1"/>
    </xf>
    <xf numFmtId="49" fontId="22" fillId="7" borderId="26" xfId="1" applyNumberFormat="1" applyFont="1" applyFill="1" applyBorder="1" applyAlignment="1" applyProtection="1">
      <alignment shrinkToFit="1"/>
    </xf>
    <xf numFmtId="49" fontId="21" fillId="7" borderId="27" xfId="0" applyNumberFormat="1" applyFont="1" applyFill="1" applyBorder="1" applyAlignment="1">
      <alignment shrinkToFit="1"/>
    </xf>
    <xf numFmtId="49" fontId="21" fillId="0" borderId="28" xfId="0" applyNumberFormat="1" applyFont="1" applyBorder="1" applyAlignment="1">
      <alignment shrinkToFit="1"/>
    </xf>
    <xf numFmtId="49" fontId="21" fillId="0" borderId="26" xfId="0" applyNumberFormat="1" applyFont="1" applyBorder="1" applyAlignment="1">
      <alignment shrinkToFit="1"/>
    </xf>
    <xf numFmtId="49" fontId="21" fillId="0" borderId="27" xfId="0" applyNumberFormat="1" applyFont="1" applyBorder="1" applyAlignment="1">
      <alignment shrinkToFit="1"/>
    </xf>
    <xf numFmtId="0" fontId="21" fillId="0" borderId="28" xfId="0" applyFont="1" applyBorder="1" applyAlignment="1">
      <alignment shrinkToFit="1"/>
    </xf>
    <xf numFmtId="0" fontId="21" fillId="0" borderId="29" xfId="0" applyFont="1" applyBorder="1" applyAlignment="1">
      <alignment shrinkToFit="1"/>
    </xf>
    <xf numFmtId="49" fontId="21" fillId="0" borderId="30" xfId="0" applyNumberFormat="1" applyFont="1" applyBorder="1" applyAlignment="1">
      <alignment shrinkToFit="1"/>
    </xf>
    <xf numFmtId="49" fontId="21" fillId="0" borderId="31" xfId="0" applyNumberFormat="1" applyFont="1" applyBorder="1" applyAlignment="1">
      <alignment shrinkToFit="1"/>
    </xf>
    <xf numFmtId="49" fontId="21" fillId="0" borderId="32" xfId="0" applyNumberFormat="1" applyFont="1" applyBorder="1" applyAlignment="1">
      <alignment shrinkToFit="1"/>
    </xf>
    <xf numFmtId="49" fontId="21" fillId="0" borderId="33" xfId="0" applyNumberFormat="1" applyFont="1" applyBorder="1" applyAlignment="1">
      <alignment shrinkToFit="1"/>
    </xf>
    <xf numFmtId="0" fontId="22" fillId="7" borderId="33" xfId="1" applyFont="1" applyFill="1" applyBorder="1" applyAlignment="1" applyProtection="1">
      <alignment shrinkToFit="1"/>
    </xf>
    <xf numFmtId="0" fontId="22" fillId="7" borderId="31" xfId="1" applyFont="1" applyFill="1" applyBorder="1" applyAlignment="1" applyProtection="1">
      <alignment shrinkToFit="1"/>
    </xf>
    <xf numFmtId="49" fontId="21" fillId="7" borderId="34" xfId="0" applyNumberFormat="1" applyFont="1" applyFill="1" applyBorder="1" applyAlignment="1">
      <alignment shrinkToFit="1"/>
    </xf>
    <xf numFmtId="177" fontId="6" fillId="0" borderId="0" xfId="0" quotePrefix="1" applyNumberFormat="1" applyFont="1" applyAlignment="1">
      <alignment horizontal="left"/>
    </xf>
    <xf numFmtId="0" fontId="4" fillId="0" borderId="39" xfId="0" applyFont="1" applyBorder="1" applyAlignment="1">
      <alignment horizontal="center" vertical="center"/>
    </xf>
    <xf numFmtId="179" fontId="4" fillId="0" borderId="39" xfId="0" applyNumberFormat="1" applyFont="1" applyBorder="1" applyAlignment="1">
      <alignment horizontal="center" vertical="center"/>
    </xf>
    <xf numFmtId="0" fontId="6" fillId="0" borderId="0" xfId="0" applyFont="1" applyAlignment="1">
      <alignment vertical="center"/>
    </xf>
    <xf numFmtId="0" fontId="6" fillId="0" borderId="39" xfId="0" applyFont="1" applyBorder="1" applyAlignment="1">
      <alignment vertical="center"/>
    </xf>
    <xf numFmtId="0" fontId="6" fillId="0" borderId="0" xfId="0" applyFont="1" applyAlignment="1">
      <alignment vertical="center" wrapText="1"/>
    </xf>
    <xf numFmtId="179" fontId="6" fillId="0" borderId="39" xfId="0" applyNumberFormat="1" applyFont="1" applyBorder="1" applyAlignment="1">
      <alignment vertical="center" wrapText="1"/>
    </xf>
    <xf numFmtId="179" fontId="6" fillId="0" borderId="0" xfId="0" applyNumberFormat="1" applyFont="1" applyAlignment="1">
      <alignment vertical="center"/>
    </xf>
    <xf numFmtId="0" fontId="6" fillId="0" borderId="0" xfId="0" applyFont="1" applyAlignment="1">
      <alignment horizontal="left" vertical="center" wrapText="1"/>
    </xf>
    <xf numFmtId="0" fontId="6" fillId="0" borderId="39" xfId="0" applyFont="1" applyBorder="1" applyAlignment="1">
      <alignment horizontal="left" vertical="center" wrapText="1"/>
    </xf>
    <xf numFmtId="0" fontId="6" fillId="0" borderId="39" xfId="0" applyFont="1" applyBorder="1" applyAlignment="1">
      <alignment vertical="center" wrapText="1"/>
    </xf>
    <xf numFmtId="179" fontId="6" fillId="0" borderId="39" xfId="0" applyNumberFormat="1" applyFont="1" applyBorder="1" applyAlignment="1">
      <alignment vertical="center"/>
    </xf>
    <xf numFmtId="0" fontId="47" fillId="8" borderId="39" xfId="0" applyFont="1" applyFill="1" applyBorder="1" applyAlignment="1">
      <alignment horizontal="justify" vertical="center" wrapText="1"/>
    </xf>
    <xf numFmtId="0" fontId="4" fillId="0" borderId="39" xfId="0" applyFont="1" applyBorder="1" applyAlignment="1">
      <alignment horizontal="center" vertical="center" wrapText="1"/>
    </xf>
    <xf numFmtId="0" fontId="6" fillId="0" borderId="39" xfId="0" quotePrefix="1" applyFont="1" applyBorder="1" applyAlignment="1">
      <alignment horizontal="left" vertical="center" wrapText="1"/>
    </xf>
    <xf numFmtId="49" fontId="48" fillId="0" borderId="0" xfId="0" applyNumberFormat="1" applyFont="1"/>
    <xf numFmtId="176" fontId="6" fillId="0" borderId="0" xfId="0" applyNumberFormat="1" applyFont="1" applyAlignment="1">
      <alignment horizontal="right"/>
    </xf>
    <xf numFmtId="176" fontId="8" fillId="0" borderId="0" xfId="0" applyNumberFormat="1" applyFont="1" applyAlignment="1">
      <alignment horizontal="right"/>
    </xf>
    <xf numFmtId="176" fontId="6" fillId="0" borderId="0" xfId="0" applyNumberFormat="1" applyFont="1" applyAlignment="1">
      <alignment horizontal="right" wrapText="1"/>
    </xf>
    <xf numFmtId="49" fontId="6" fillId="0" borderId="0" xfId="0" applyNumberFormat="1" applyFont="1" applyAlignment="1">
      <alignment horizontal="right"/>
    </xf>
    <xf numFmtId="176" fontId="4" fillId="0" borderId="0" xfId="0" applyNumberFormat="1" applyFont="1"/>
    <xf numFmtId="49" fontId="23" fillId="0" borderId="0" xfId="0" applyNumberFormat="1" applyFont="1"/>
    <xf numFmtId="49" fontId="8" fillId="0" borderId="0" xfId="0" quotePrefix="1" applyNumberFormat="1" applyFont="1"/>
    <xf numFmtId="49" fontId="24" fillId="0" borderId="0" xfId="1" applyNumberFormat="1" applyFont="1" applyAlignment="1" applyProtection="1"/>
    <xf numFmtId="49" fontId="8" fillId="0" borderId="0" xfId="0" applyNumberFormat="1" applyFont="1" applyAlignment="1">
      <alignment horizontal="right"/>
    </xf>
    <xf numFmtId="49" fontId="22" fillId="7" borderId="35" xfId="1" applyNumberFormat="1" applyFont="1" applyFill="1" applyBorder="1" applyAlignment="1" applyProtection="1">
      <alignment shrinkToFit="1"/>
    </xf>
    <xf numFmtId="49" fontId="22" fillId="7" borderId="27" xfId="1" applyNumberFormat="1" applyFont="1" applyFill="1" applyBorder="1" applyAlignment="1" applyProtection="1">
      <alignment shrinkToFit="1"/>
    </xf>
    <xf numFmtId="49" fontId="21" fillId="7" borderId="36" xfId="0" applyNumberFormat="1" applyFont="1" applyFill="1" applyBorder="1" applyAlignment="1">
      <alignment shrinkToFit="1"/>
    </xf>
    <xf numFmtId="49" fontId="22" fillId="7" borderId="19" xfId="1" applyNumberFormat="1" applyFont="1" applyFill="1" applyBorder="1" applyAlignment="1" applyProtection="1">
      <alignment shrinkToFit="1"/>
    </xf>
    <xf numFmtId="49" fontId="21" fillId="7" borderId="37" xfId="0" applyNumberFormat="1" applyFont="1" applyFill="1" applyBorder="1" applyAlignment="1">
      <alignment shrinkToFit="1"/>
    </xf>
    <xf numFmtId="49" fontId="25" fillId="0" borderId="0" xfId="0" applyNumberFormat="1" applyFont="1"/>
    <xf numFmtId="178" fontId="4" fillId="0" borderId="0" xfId="0" applyNumberFormat="1" applyFont="1" applyAlignment="1">
      <alignment horizontal="center"/>
    </xf>
    <xf numFmtId="178" fontId="6" fillId="3" borderId="0" xfId="0" applyNumberFormat="1" applyFont="1" applyFill="1" applyAlignment="1">
      <alignment horizontal="center"/>
    </xf>
    <xf numFmtId="178" fontId="6" fillId="0" borderId="0" xfId="0" applyNumberFormat="1" applyFont="1" applyAlignment="1">
      <alignment horizontal="center"/>
    </xf>
    <xf numFmtId="178" fontId="8" fillId="0" borderId="0" xfId="0" applyNumberFormat="1" applyFont="1" applyAlignment="1">
      <alignment horizontal="center"/>
    </xf>
    <xf numFmtId="178" fontId="6" fillId="0" borderId="0" xfId="0" applyNumberFormat="1" applyFont="1"/>
    <xf numFmtId="176" fontId="6" fillId="0" borderId="0" xfId="0" quotePrefix="1" applyNumberFormat="1" applyFont="1"/>
    <xf numFmtId="0" fontId="21" fillId="7" borderId="38" xfId="0" applyFont="1" applyFill="1" applyBorder="1"/>
    <xf numFmtId="49" fontId="20" fillId="0" borderId="0" xfId="0" applyNumberFormat="1" applyFont="1" applyAlignment="1">
      <alignment vertical="center"/>
    </xf>
    <xf numFmtId="49" fontId="11" fillId="0" borderId="1" xfId="1" applyNumberFormat="1" applyFont="1" applyBorder="1" applyAlignment="1" applyProtection="1">
      <alignment vertical="center"/>
    </xf>
    <xf numFmtId="49" fontId="6" fillId="0" borderId="1" xfId="0" applyNumberFormat="1" applyFont="1" applyBorder="1" applyAlignment="1">
      <alignment vertical="center"/>
    </xf>
    <xf numFmtId="49" fontId="9" fillId="0" borderId="1" xfId="0" applyNumberFormat="1" applyFont="1" applyBorder="1" applyAlignment="1">
      <alignment vertical="center"/>
    </xf>
    <xf numFmtId="49" fontId="11" fillId="0" borderId="1" xfId="1" applyNumberFormat="1" applyFont="1" applyBorder="1" applyAlignment="1" applyProtection="1">
      <alignment vertical="center" wrapText="1"/>
    </xf>
    <xf numFmtId="49" fontId="28" fillId="0" borderId="0" xfId="0" applyNumberFormat="1" applyFont="1"/>
  </cellXfs>
  <cellStyles count="2">
    <cellStyle name="ハイパーリンク" xfId="1" builtinId="8"/>
    <cellStyle name="標準" xfId="0" builtinId="0"/>
  </cellStyles>
  <dxfs count="27">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178" formatCode="0_);[Red]\(0\)"/>
      <alignment horizontal="right" vertical="bottom" textRotation="0" wrapText="0" indent="0" justifyLastLine="0" shrinkToFit="0" readingOrder="0"/>
    </dxf>
    <dxf>
      <font>
        <b val="0"/>
        <i val="0"/>
        <strike/>
        <condense val="0"/>
        <extend val="0"/>
        <outline val="0"/>
        <shadow val="0"/>
        <u val="none"/>
        <vertAlign val="baseline"/>
        <sz val="11"/>
        <color auto="1"/>
        <name val="Consolas"/>
        <family val="3"/>
        <scheme val="none"/>
      </font>
      <numFmt numFmtId="178" formatCode="0_);[Red]\(0\)"/>
      <alignment horizontal="right" vertical="bottom" textRotation="0" wrapText="0" indent="0" justifyLastLine="0" shrinkToFit="0" readingOrder="0"/>
    </dxf>
    <dxf>
      <font>
        <b val="0"/>
        <i val="0"/>
        <strike/>
        <condense val="0"/>
        <extend val="0"/>
        <outline val="0"/>
        <shadow val="0"/>
        <u val="none"/>
        <vertAlign val="baseline"/>
        <sz val="11"/>
        <color auto="1"/>
        <name val="Consolas"/>
        <family val="3"/>
        <scheme val="none"/>
      </font>
      <numFmt numFmtId="177" formatCode="yyyy/mm/dd\ ddd"/>
      <alignment horizontal="left" vertical="bottom" textRotation="0" wrapText="0" indent="0" justifyLastLine="0" shrinkToFit="0" readingOrder="0"/>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177" formatCode="yyyy/mm/dd\ ddd"/>
      <alignment horizontal="left" vertical="bottom" textRotation="0" wrapText="0" indent="0" justifyLastLine="0" shrinkToFit="0" readingOrder="0"/>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30" formatCode="@"/>
    </dxf>
    <dxf>
      <font>
        <b val="0"/>
        <i val="0"/>
        <strike val="0"/>
        <condense val="0"/>
        <extend val="0"/>
        <outline val="0"/>
        <shadow val="0"/>
        <u val="none"/>
        <vertAlign val="baseline"/>
        <sz val="11"/>
        <color auto="1"/>
        <name val="Consolas"/>
        <family val="3"/>
        <scheme val="none"/>
      </font>
      <numFmt numFmtId="0" formatCode="General"/>
    </dxf>
    <dxf>
      <font>
        <b val="0"/>
        <i val="0"/>
        <strike/>
        <condense val="0"/>
        <extend val="0"/>
        <outline val="0"/>
        <shadow val="0"/>
        <u val="none"/>
        <vertAlign val="baseline"/>
        <sz val="11"/>
        <color auto="1"/>
        <name val="Consolas"/>
        <family val="3"/>
        <scheme val="none"/>
      </font>
      <numFmt numFmtId="0" formatCode="General"/>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30" formatCode="@"/>
    </dxf>
    <dxf>
      <font>
        <b/>
        <i val="0"/>
        <strike/>
        <condense val="0"/>
        <extend val="0"/>
        <outline val="0"/>
        <shadow val="0"/>
        <u val="none"/>
        <vertAlign val="baseline"/>
        <sz val="11"/>
        <color indexed="33"/>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178" formatCode="0_);[Red]\(0\)"/>
      <alignment horizontal="center" vertical="bottom" textRotation="0" wrapText="0" indent="0" justifyLastLine="0" shrinkToFit="0" readingOrder="0"/>
    </dxf>
    <dxf>
      <font>
        <b val="0"/>
        <i val="0"/>
        <strike/>
        <condense val="0"/>
        <extend val="0"/>
        <outline val="0"/>
        <shadow val="0"/>
        <u val="none"/>
        <vertAlign val="baseline"/>
        <sz val="11"/>
        <color auto="1"/>
        <name val="Consolas"/>
        <family val="3"/>
        <scheme val="none"/>
      </font>
      <numFmt numFmtId="178" formatCode="0_);[Red]\(0\)"/>
      <alignment horizontal="center" vertical="bottom" textRotation="0" wrapText="0" indent="0" justifyLastLine="0" shrinkToFit="0" readingOrder="0"/>
    </dxf>
    <dxf>
      <font>
        <b val="0"/>
        <i val="0"/>
        <strike/>
        <condense val="0"/>
        <extend val="0"/>
        <outline val="0"/>
        <shadow val="0"/>
        <u val="none"/>
        <vertAlign val="baseline"/>
        <sz val="11"/>
        <color auto="1"/>
        <name val="Consolas"/>
        <family val="3"/>
        <scheme val="none"/>
      </font>
      <numFmt numFmtId="30" formatCode="@"/>
    </dxf>
    <dxf>
      <font>
        <b val="0"/>
        <i val="0"/>
        <strike/>
        <condense val="0"/>
        <extend val="0"/>
        <outline val="0"/>
        <shadow val="0"/>
        <u val="none"/>
        <vertAlign val="baseline"/>
        <sz val="11"/>
        <color auto="1"/>
        <name val="Consolas"/>
        <family val="3"/>
        <scheme val="none"/>
      </font>
      <numFmt numFmtId="176" formatCode="0_ "/>
    </dxf>
    <dxf>
      <font>
        <b val="0"/>
        <i val="0"/>
        <strike/>
        <condense val="0"/>
        <extend val="0"/>
        <outline val="0"/>
        <shadow val="0"/>
        <u val="none"/>
        <vertAlign val="baseline"/>
        <sz val="11"/>
        <color auto="1"/>
        <name val="Consolas"/>
        <family val="3"/>
        <scheme val="none"/>
      </font>
      <numFmt numFmtId="176" formatCode="0_ "/>
      <alignment horizontal="right" vertical="bottom" textRotation="0" wrapText="0" indent="0" justifyLastLine="0" shrinkToFit="0" readingOrder="0"/>
    </dxf>
    <dxf>
      <font>
        <outline val="0"/>
        <shadow val="0"/>
        <vertAlign val="baseline"/>
        <name val="Consolas"/>
        <family val="3"/>
        <scheme val="none"/>
      </font>
    </dxf>
    <dxf>
      <font>
        <b/>
        <i val="0"/>
        <strike val="0"/>
        <condense val="0"/>
        <extend val="0"/>
        <outline val="0"/>
        <shadow val="0"/>
        <u val="none"/>
        <vertAlign val="baseline"/>
        <sz val="11"/>
        <color auto="1"/>
        <name val="Consolas"/>
        <family val="3"/>
        <scheme val="none"/>
      </font>
      <numFmt numFmtId="178" formatCode="0_);[Red]\(0\)"/>
      <alignment horizontal="left"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LS520Dc55\admin\Documents\web\hinden\library\reference.xlsx" TargetMode="External"/><Relationship Id="rId1" Type="http://schemas.openxmlformats.org/officeDocument/2006/relationships/externalLinkPath" Target="referen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orn"/>
      <sheetName val="return or link"/>
      <sheetName val="reference"/>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6835A8-6E82-40E4-95FB-1DFA88FA12BC}" name="_Book" displayName="_Book" ref="A1:Y3484" totalsRowShown="0" headerRowDxfId="26" dataDxfId="25">
  <autoFilter ref="A1:Y3484" xr:uid="{4D8748FD-5095-4D66-A644-9BF987C0D18D}"/>
  <tableColumns count="25">
    <tableColumn id="1" xr3:uid="{00000000-0010-0000-0100-000001000000}" name="ISBN" dataDxfId="24"/>
    <tableColumn id="2" xr3:uid="{00000000-0010-0000-0100-000002000000}" name="category" dataDxfId="23"/>
    <tableColumn id="3" xr3:uid="{00000000-0010-0000-0100-000003000000}" name="format" dataDxfId="22"/>
    <tableColumn id="4" xr3:uid="{00000000-0010-0000-0100-000004000000}" name="組名" dataDxfId="21"/>
    <tableColumn id="5" xr3:uid="{00000000-0010-0000-0100-000005000000}" name="枚組" dataDxfId="20"/>
    <tableColumn id="6" xr3:uid="{00000000-0010-0000-0100-000006000000}" name="track" dataDxfId="19"/>
    <tableColumn id="7" xr3:uid="{00000000-0010-0000-0100-000007000000}" name="分類" dataDxfId="18"/>
    <tableColumn id="8" xr3:uid="{00000000-0010-0000-0100-000008000000}" name="細目" dataDxfId="17"/>
    <tableColumn id="9" xr3:uid="{00000000-0010-0000-0100-000009000000}" name="作" dataDxfId="16"/>
    <tableColumn id="10" xr3:uid="{00000000-0010-0000-0100-00000A000000}" name=":" dataDxfId="15"/>
    <tableColumn id="11" xr3:uid="{00000000-0010-0000-0100-00000B000000}" name="訳編" dataDxfId="14"/>
    <tableColumn id="12" xr3:uid="{00000000-0010-0000-0100-00000C000000}" name="::" dataDxfId="13"/>
    <tableColumn id="13" xr3:uid="{00000000-0010-0000-0100-00000D000000}" name="生没年" dataDxfId="12"/>
    <tableColumn id="14" xr3:uid="{00000000-0010-0000-0100-00000E000000}" name="生没年2" dataDxfId="11"/>
    <tableColumn id="15" xr3:uid="{00000000-0010-0000-0100-00000F000000}" name="Title" dataDxfId="10"/>
    <tableColumn id="16" xr3:uid="{00000000-0010-0000-0100-000010000000}" name="time" dataDxfId="9"/>
    <tableColumn id="17" xr3:uid="{00000000-0010-0000-0100-000011000000}" name="counter" dataDxfId="8"/>
    <tableColumn id="18" xr3:uid="{00000000-0010-0000-0100-000012000000}" name="producted date" dataDxfId="7"/>
    <tableColumn id="19" xr3:uid="{00000000-0010-0000-0100-000013000000}" name="series" dataDxfId="6"/>
    <tableColumn id="20" xr3:uid="{00000000-0010-0000-0100-000014000000}" name="Label" dataDxfId="5"/>
    <tableColumn id="21" xr3:uid="{00000000-0010-0000-0100-000015000000}" name="購入Date" dataDxfId="4"/>
    <tableColumn id="22" xr3:uid="{00000000-0010-0000-0100-000016000000}" name="定価" dataDxfId="3"/>
    <tableColumn id="23" xr3:uid="{00000000-0010-0000-0100-000017000000}" name="購入値段" dataDxfId="2"/>
    <tableColumn id="24" xr3:uid="{00000000-0010-0000-0100-000018000000}" name="購入場所" dataDxfId="1"/>
    <tableColumn id="25" xr3:uid="{00000000-0010-0000-0100-000019000000}" name="備考" dataDxfId="0"/>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Documents%20and%20Settings/ma_ho_ma_ho_family/Local%20Settings/Temporary%20Internet%20Files/Content.MSO/MSE/live/yattsuke.htm" TargetMode="External"/><Relationship Id="rId18" Type="http://schemas.openxmlformats.org/officeDocument/2006/relationships/hyperlink" Target="../../../../../../../../Documents%20and%20Settings/ma_ho_ma_ho_family/Local%20Settings/Temporary%20Internet%20Files/Content.MSO/MSE/live/chanson/index.htm" TargetMode="External"/><Relationship Id="rId26" Type="http://schemas.openxmlformats.org/officeDocument/2006/relationships/hyperlink" Target="http://www2u.biglobe.ne.jp/~hinden/live/yattsuke.htm" TargetMode="External"/><Relationship Id="rId39" Type="http://schemas.openxmlformats.org/officeDocument/2006/relationships/hyperlink" Target="http://www2u.biglobe.ne.jp/~hinden/live/synapse.htm" TargetMode="External"/><Relationship Id="rId21" Type="http://schemas.openxmlformats.org/officeDocument/2006/relationships/hyperlink" Target="../../../../../../../../Documents%20and%20Settings/ma_ho_ma_ho_family/Local%20Settings/Temporary%20Internet%20Files/Content.MSO/MSE/live/chanson/index.htm" TargetMode="External"/><Relationship Id="rId34" Type="http://schemas.openxmlformats.org/officeDocument/2006/relationships/hyperlink" Target="../../../../../../../../Documents%20and%20Settings/ma_ho_ma_ho_family/Local%20Settings/Temporary%20Internet%20Files/Content.MSO/MSE/live/yattsuke.htm" TargetMode="External"/><Relationship Id="rId42" Type="http://schemas.openxmlformats.org/officeDocument/2006/relationships/hyperlink" Target="http://www2u.biglobe.ne.jp/~hinden/zubizuva/" TargetMode="External"/><Relationship Id="rId47" Type="http://schemas.openxmlformats.org/officeDocument/2006/relationships/hyperlink" Target="http://www2u.biglobe.ne.jp/~hinden/live/yattsuke.htm" TargetMode="External"/><Relationship Id="rId50" Type="http://schemas.openxmlformats.org/officeDocument/2006/relationships/hyperlink" Target="../../../../../../../../Documents%20and%20Settings/ma_ho_ma_ho_family/Local%20Settings/Temporary%20Internet%20Files/Content.MSO/MSE/live/synapse.htm" TargetMode="External"/><Relationship Id="rId55" Type="http://schemas.openxmlformats.org/officeDocument/2006/relationships/hyperlink" Target="http://www2u.biglobe.ne.jp/~hinden/live/yattsuke.htm" TargetMode="External"/><Relationship Id="rId7" Type="http://schemas.openxmlformats.org/officeDocument/2006/relationships/hyperlink" Target="http://www2u.biglobe.ne.jp/~hinden/zubizuva/" TargetMode="External"/><Relationship Id="rId2" Type="http://schemas.openxmlformats.org/officeDocument/2006/relationships/hyperlink" Target="http://www.tibetan-museum.org/" TargetMode="External"/><Relationship Id="rId16" Type="http://schemas.openxmlformats.org/officeDocument/2006/relationships/hyperlink" Target="../../../../../../../../Documents%20and%20Settings/ma_ho_ma_ho_family/Local%20Settings/Temporary%20Internet%20Files/Content.MSO/MSE/hinden.htm" TargetMode="External"/><Relationship Id="rId29" Type="http://schemas.openxmlformats.org/officeDocument/2006/relationships/hyperlink" Target="../../../../../../../../Documents%20and%20Settings/ma_ho_ma_ho_family/Local%20Settings/Temporary%20Internet%20Files/Content.MSO/MSE/live/yuukai/index.htm" TargetMode="External"/><Relationship Id="rId11" Type="http://schemas.openxmlformats.org/officeDocument/2006/relationships/hyperlink" Target="http://www2u.biglobe.ne.jp/~hinden/live/yattsuke.htm" TargetMode="External"/><Relationship Id="rId24" Type="http://schemas.openxmlformats.org/officeDocument/2006/relationships/hyperlink" Target="../../../../../../../../Documents%20and%20Settings/ma_ho_ma_ho_family/Local%20Settings/Temporary%20Internet%20Files/Content.MSO/MSE/zubizuva/index.htm" TargetMode="External"/><Relationship Id="rId32" Type="http://schemas.openxmlformats.org/officeDocument/2006/relationships/hyperlink" Target="../../../../../../../../Documents%20and%20Settings/ma_ho_ma_ho_family/Local%20Settings/Temporary%20Internet%20Files/Content.MSO/MSE/live/chanson/index.htm" TargetMode="External"/><Relationship Id="rId37" Type="http://schemas.openxmlformats.org/officeDocument/2006/relationships/hyperlink" Target="../../../../../../../../Documents%20and%20Settings/ma_ho_ma_ho_family/Local%20Settings/Temporary%20Internet%20Files/Content.MSO/MSE/live/yattsuke.htm" TargetMode="External"/><Relationship Id="rId40" Type="http://schemas.openxmlformats.org/officeDocument/2006/relationships/hyperlink" Target="http://www2u.biglobe.ne.jp/~hinden/live/yattsuke.htm" TargetMode="External"/><Relationship Id="rId45" Type="http://schemas.openxmlformats.org/officeDocument/2006/relationships/hyperlink" Target="http://www2u.biglobe.ne.jp/~hinden/live/yattsuke.htm" TargetMode="External"/><Relationship Id="rId53" Type="http://schemas.openxmlformats.org/officeDocument/2006/relationships/hyperlink" Target="http://www2u.biglobe.ne.jp/~hinden/zubizuva/" TargetMode="External"/><Relationship Id="rId58" Type="http://schemas.openxmlformats.org/officeDocument/2006/relationships/table" Target="../tables/table1.xml"/><Relationship Id="rId5" Type="http://schemas.openxmlformats.org/officeDocument/2006/relationships/hyperlink" Target="http://www2u.biglobe.ne.jp/~hinden/live/yattsuke.htm" TargetMode="External"/><Relationship Id="rId19" Type="http://schemas.openxmlformats.org/officeDocument/2006/relationships/hyperlink" Target="../../../../../../../../Documents%20and%20Settings/ma_ho_ma_ho_family/Local%20Settings/Temporary%20Internet%20Files/Content.MSO/MSE/live/chanson/index.htm" TargetMode="External"/><Relationship Id="rId4" Type="http://schemas.openxmlformats.org/officeDocument/2006/relationships/hyperlink" Target="../../../../../../../../Documents%20and%20Settings/ma_ho_ma_ho_family/Local%20Settings/Temporary%20Internet%20Files/Content.MSO/MSE/hinden.htm" TargetMode="External"/><Relationship Id="rId9" Type="http://schemas.openxmlformats.org/officeDocument/2006/relationships/hyperlink" Target="../../../../../../../../Documents%20and%20Settings/ma_ho_ma_ho_family/Local%20Settings/Temporary%20Internet%20Files/Content.MSO/MSE/live/yuukai/index.htm" TargetMode="External"/><Relationship Id="rId14" Type="http://schemas.openxmlformats.org/officeDocument/2006/relationships/hyperlink" Target="../../../../../../../../Documents%20and%20Settings/ma_ho_ma_ho_family/Local%20Settings/Temporary%20Internet%20Files/Content.MSO/MSE/live/yattsuke.htm" TargetMode="External"/><Relationship Id="rId22" Type="http://schemas.openxmlformats.org/officeDocument/2006/relationships/hyperlink" Target="../../../../../../../../Documents%20and%20Settings/ma_ho_ma_ho_family/Local%20Settings/Temporary%20Internet%20Files/Content.MSO/MSE/live/chanson/index.htm" TargetMode="External"/><Relationship Id="rId27" Type="http://schemas.openxmlformats.org/officeDocument/2006/relationships/hyperlink" Target="http://www2u.biglobe.ne.jp/~hinden/live/yattsuke.htm" TargetMode="External"/><Relationship Id="rId30" Type="http://schemas.openxmlformats.org/officeDocument/2006/relationships/hyperlink" Target="../../../../../../../../Documents%20and%20Settings/ma_ho_ma_ho_family/Local%20Settings/Temporary%20Internet%20Files/Content.MSO/MSE/live/chanson/index.htm" TargetMode="External"/><Relationship Id="rId35" Type="http://schemas.openxmlformats.org/officeDocument/2006/relationships/hyperlink" Target="http://www2u.biglobe.ne.jp/~hinden/live/yattsuke.htm" TargetMode="External"/><Relationship Id="rId43" Type="http://schemas.openxmlformats.org/officeDocument/2006/relationships/hyperlink" Target="../../../../../../../../Documents%20and%20Settings/ma_ho_ma_ho_family/Local%20Settings/Temporary%20Internet%20Files/Content.MSO/MSE/live/yattsuke.htm" TargetMode="External"/><Relationship Id="rId48" Type="http://schemas.openxmlformats.org/officeDocument/2006/relationships/hyperlink" Target="../../../../../../../../Documents%20and%20Settings/ma_ho_ma_ho_family/Local%20Settings/Temporary%20Internet%20Files/Content.MSO/MSE/zubizuva/index.htm" TargetMode="External"/><Relationship Id="rId56" Type="http://schemas.openxmlformats.org/officeDocument/2006/relationships/hyperlink" Target="http://www.bamkero.com/" TargetMode="External"/><Relationship Id="rId8" Type="http://schemas.openxmlformats.org/officeDocument/2006/relationships/hyperlink" Target="../../../../../../../../Documents%20and%20Settings/ma_ho_ma_ho_family/Local%20Settings/Temporary%20Internet%20Files/Content.MSO/MSE/live/yuukai/index.htm" TargetMode="External"/><Relationship Id="rId51" Type="http://schemas.openxmlformats.org/officeDocument/2006/relationships/hyperlink" Target="http://www.daljin.com/" TargetMode="External"/><Relationship Id="rId3" Type="http://schemas.openxmlformats.org/officeDocument/2006/relationships/hyperlink" Target="http://www2u.biglobe.ne.jp/~hinden/live/yattsuke.htm" TargetMode="External"/><Relationship Id="rId12" Type="http://schemas.openxmlformats.org/officeDocument/2006/relationships/hyperlink" Target="../../../../../../../../Documents%20and%20Settings/ma_ho_ma_ho_family/Local%20Settings/Temporary%20Internet%20Files/Content.MSO/MSE/hinden.htm" TargetMode="External"/><Relationship Id="rId17" Type="http://schemas.openxmlformats.org/officeDocument/2006/relationships/hyperlink" Target="../../../../../../../../Documents%20and%20Settings/ma_ho_ma_ho_family/Local%20Settings/Temporary%20Internet%20Files/Content.MSO/MSE/zubizuva/index.htm" TargetMode="External"/><Relationship Id="rId25" Type="http://schemas.openxmlformats.org/officeDocument/2006/relationships/hyperlink" Target="../../../../../../../../Documents%20and%20Settings/ma_ho_ma_ho_family/Local%20Settings/Temporary%20Internet%20Files/Content.MSO/MSE/live/yattsuke.htm" TargetMode="External"/><Relationship Id="rId33" Type="http://schemas.openxmlformats.org/officeDocument/2006/relationships/hyperlink" Target="http://www2u.biglobe.ne.jp/~hinden/live/yattsuke.htm" TargetMode="External"/><Relationship Id="rId38" Type="http://schemas.openxmlformats.org/officeDocument/2006/relationships/hyperlink" Target="http://www2u.biglobe.ne.jp/~hinden/live/synapse.htm" TargetMode="External"/><Relationship Id="rId46" Type="http://schemas.openxmlformats.org/officeDocument/2006/relationships/hyperlink" Target="../../../../../../../../Documents%20and%20Settings/ma_ho_ma_ho_family/Local%20Settings/Temporary%20Internet%20Files/Content.MSO/MSE/live/yattsuke.htm" TargetMode="External"/><Relationship Id="rId20" Type="http://schemas.openxmlformats.org/officeDocument/2006/relationships/hyperlink" Target="../../../../../../../../Documents%20and%20Settings/ma_ho_ma_ho_family/Local%20Settings/Temporary%20Internet%20Files/Content.MSO/MSE/live/chanson/index.htm" TargetMode="External"/><Relationship Id="rId41" Type="http://schemas.openxmlformats.org/officeDocument/2006/relationships/hyperlink" Target="../../../../../../../../Documents%20and%20Settings/ma_ho_ma_ho_family/Local%20Settings/Temporary%20Internet%20Files/Content.MSO/MSE/live/yattsuke.htm" TargetMode="External"/><Relationship Id="rId54" Type="http://schemas.openxmlformats.org/officeDocument/2006/relationships/hyperlink" Target="http://www2u.biglobe.ne.jp/~hinden/live/synapse.htm" TargetMode="External"/><Relationship Id="rId1" Type="http://schemas.openxmlformats.org/officeDocument/2006/relationships/hyperlink" Target="http://www.artboo.org/" TargetMode="External"/><Relationship Id="rId6" Type="http://schemas.openxmlformats.org/officeDocument/2006/relationships/hyperlink" Target="../../../../../../../../Documents%20and%20Settings/ma_ho_ma_ho_family/Local%20Settings/Temporary%20Internet%20Files/Content.MSO/MSE/live/yattsuke.htm" TargetMode="External"/><Relationship Id="rId15" Type="http://schemas.openxmlformats.org/officeDocument/2006/relationships/hyperlink" Target="http://www2u.biglobe.ne.jp/~hinden/live/yattsuke.htm" TargetMode="External"/><Relationship Id="rId23" Type="http://schemas.openxmlformats.org/officeDocument/2006/relationships/hyperlink" Target="http://www2u.biglobe.ne.jp/~hinden/live/yattsuke.htm" TargetMode="External"/><Relationship Id="rId28" Type="http://schemas.openxmlformats.org/officeDocument/2006/relationships/hyperlink" Target="../../../../../../../../Documents%20and%20Settings/ma_ho_ma_ho_family/Local%20Settings/Temporary%20Internet%20Files/Content.MSO/MSE/live/yuukai/index.htm" TargetMode="External"/><Relationship Id="rId36" Type="http://schemas.openxmlformats.org/officeDocument/2006/relationships/hyperlink" Target="http://www2u.biglobe.ne.jp/~hinden/live/yattsuke.htm" TargetMode="External"/><Relationship Id="rId49" Type="http://schemas.openxmlformats.org/officeDocument/2006/relationships/hyperlink" Target="../../../../../../../../Documents%20and%20Settings/ma_ho_ma_ho_family/Local%20Settings/Temporary%20Internet%20Files/Content.MSO/MSE/live/chanson/index.htm" TargetMode="External"/><Relationship Id="rId57" Type="http://schemas.openxmlformats.org/officeDocument/2006/relationships/printerSettings" Target="../printerSettings/printerSettings2.bin"/><Relationship Id="rId10" Type="http://schemas.openxmlformats.org/officeDocument/2006/relationships/hyperlink" Target="../../../../../../../../Documents%20and%20Settings/ma_ho_ma_ho_family/Local%20Settings/Temporary%20Internet%20Files/Content.MSO/MSE/live/synapse.htm" TargetMode="External"/><Relationship Id="rId31" Type="http://schemas.openxmlformats.org/officeDocument/2006/relationships/hyperlink" Target="../../../../../../../../Documents%20and%20Settings/ma_ho_ma_ho_family/Local%20Settings/Temporary%20Internet%20Files/Content.MSO/MSE/live/chanson/index.htm" TargetMode="External"/><Relationship Id="rId44" Type="http://schemas.openxmlformats.org/officeDocument/2006/relationships/hyperlink" Target="../../../../../../../../Documents%20and%20Settings/ma_ho_ma_ho_family/Local%20Settings/Temporary%20Internet%20Files/Content.MSO/MSE/live/yattsuke.htm" TargetMode="External"/><Relationship Id="rId52" Type="http://schemas.openxmlformats.org/officeDocument/2006/relationships/hyperlink" Target="../../../../../../../../Documents%20and%20Settings/ma_ho_ma_ho_family/Local%20Settings/Temporary%20Internet%20Files/Content.MSO/MSE/live/yattsuke.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book.xlsx" TargetMode="External"/><Relationship Id="rId13" Type="http://schemas.openxmlformats.org/officeDocument/2006/relationships/hyperlink" Target="..\ethnic\shirami_tsubushi.htm" TargetMode="External"/><Relationship Id="rId3" Type="http://schemas.openxmlformats.org/officeDocument/2006/relationships/hyperlink" Target="..\live\index.htm" TargetMode="External"/><Relationship Id="rId7" Type="http://schemas.openxmlformats.org/officeDocument/2006/relationships/hyperlink" Target="..\zubizuva\index.htm" TargetMode="External"/><Relationship Id="rId12" Type="http://schemas.openxmlformats.org/officeDocument/2006/relationships/hyperlink" Target="reference.xlsx" TargetMode="External"/><Relationship Id="rId2" Type="http://schemas.openxmlformats.org/officeDocument/2006/relationships/hyperlink" Target="..\index.htm" TargetMode="External"/><Relationship Id="rId16" Type="http://schemas.openxmlformats.org/officeDocument/2006/relationships/printerSettings" Target="../printerSettings/printerSettings4.bin"/><Relationship Id="rId1" Type="http://schemas.openxmlformats.org/officeDocument/2006/relationships/hyperlink" Target="index.htm" TargetMode="External"/><Relationship Id="rId6" Type="http://schemas.openxmlformats.org/officeDocument/2006/relationships/hyperlink" Target="..\index.htm" TargetMode="External"/><Relationship Id="rId11" Type="http://schemas.openxmlformats.org/officeDocument/2006/relationships/hyperlink" Target="..\ethnic\shirami_tsubushi.htm" TargetMode="External"/><Relationship Id="rId5" Type="http://schemas.openxmlformats.org/officeDocument/2006/relationships/hyperlink" Target="..\live\index.htm" TargetMode="External"/><Relationship Id="rId15" Type="http://schemas.openxmlformats.org/officeDocument/2006/relationships/hyperlink" Target="..\ethnic\index.htm" TargetMode="External"/><Relationship Id="rId10" Type="http://schemas.openxmlformats.org/officeDocument/2006/relationships/hyperlink" Target="library.xlsx" TargetMode="External"/><Relationship Id="rId4" Type="http://schemas.openxmlformats.org/officeDocument/2006/relationships/hyperlink" Target="..\zubizuva\index.htm" TargetMode="External"/><Relationship Id="rId9" Type="http://schemas.openxmlformats.org/officeDocument/2006/relationships/hyperlink" Target="cassette.xlsx" TargetMode="External"/><Relationship Id="rId14" Type="http://schemas.openxmlformats.org/officeDocument/2006/relationships/hyperlink" Target="..\ethnic\index.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9A77-B6F6-4A18-95B0-E09A97964E76}">
  <sheetPr codeName="Sheet2"/>
  <dimension ref="A1:J20"/>
  <sheetViews>
    <sheetView tabSelected="1" topLeftCell="A2" zoomScale="98" zoomScaleNormal="98" workbookViewId="0">
      <selection activeCell="B11" sqref="B11"/>
    </sheetView>
  </sheetViews>
  <sheetFormatPr defaultRowHeight="21" customHeight="1" x14ac:dyDescent="0.25"/>
  <cols>
    <col min="1" max="1" width="7.5" style="14" customWidth="1"/>
    <col min="2" max="2" width="6.125" style="14" bestFit="1" customWidth="1"/>
    <col min="3" max="3" width="10.375" style="14" bestFit="1" customWidth="1"/>
    <col min="4" max="4" width="7.5" style="14" bestFit="1" customWidth="1"/>
    <col min="5" max="5" width="6.125" style="14" bestFit="1" customWidth="1"/>
    <col min="6" max="6" width="10.375" style="14" customWidth="1"/>
    <col min="7" max="7" width="7.5" style="14" bestFit="1" customWidth="1"/>
    <col min="8" max="8" width="6.125" style="14" bestFit="1" customWidth="1"/>
    <col min="9" max="9" width="10.375" style="14" customWidth="1"/>
    <col min="10" max="10" width="4.125" style="14" customWidth="1"/>
    <col min="11" max="16384" width="9" style="14"/>
  </cols>
  <sheetData>
    <row r="1" spans="1:10" s="37" customFormat="1" ht="21" customHeight="1" thickBot="1" x14ac:dyDescent="0.3">
      <c r="A1" s="37" t="s">
        <v>697</v>
      </c>
    </row>
    <row r="2" spans="1:10" ht="21" customHeight="1" thickTop="1" x14ac:dyDescent="0.4">
      <c r="A2" s="127" t="s">
        <v>697</v>
      </c>
      <c r="B2" s="38" t="s">
        <v>3258</v>
      </c>
      <c r="C2" s="39" t="s">
        <v>61</v>
      </c>
      <c r="D2" s="40" t="s">
        <v>3259</v>
      </c>
      <c r="E2" s="38" t="s">
        <v>3258</v>
      </c>
      <c r="F2" s="39" t="s">
        <v>61</v>
      </c>
      <c r="G2" s="40" t="s">
        <v>3260</v>
      </c>
      <c r="H2" s="38" t="s">
        <v>3258</v>
      </c>
      <c r="I2" s="41" t="s">
        <v>698</v>
      </c>
      <c r="J2" s="42"/>
    </row>
    <row r="3" spans="1:10" ht="21" customHeight="1" thickBot="1" x14ac:dyDescent="0.45">
      <c r="A3" s="43" t="s">
        <v>697</v>
      </c>
      <c r="B3" s="44" t="s">
        <v>3258</v>
      </c>
      <c r="C3" s="45" t="s">
        <v>43</v>
      </c>
      <c r="D3" s="46" t="s">
        <v>3259</v>
      </c>
      <c r="E3" s="44" t="s">
        <v>3258</v>
      </c>
      <c r="F3" s="45" t="s">
        <v>43</v>
      </c>
      <c r="G3" s="46" t="s">
        <v>3260</v>
      </c>
      <c r="H3" s="44" t="s">
        <v>3258</v>
      </c>
      <c r="I3" s="47" t="s">
        <v>43</v>
      </c>
      <c r="J3" s="42"/>
    </row>
    <row r="4" spans="1:10" ht="21" customHeight="1" x14ac:dyDescent="0.4">
      <c r="A4" s="48" t="s">
        <v>25</v>
      </c>
      <c r="B4" s="49" t="s">
        <v>3261</v>
      </c>
      <c r="C4" s="50" t="s">
        <v>61</v>
      </c>
      <c r="D4" s="51" t="s">
        <v>3259</v>
      </c>
      <c r="E4" s="49" t="s">
        <v>3261</v>
      </c>
      <c r="F4" s="50" t="s">
        <v>61</v>
      </c>
      <c r="G4" s="51" t="s">
        <v>3260</v>
      </c>
      <c r="H4" s="49" t="s">
        <v>3261</v>
      </c>
      <c r="I4" s="52" t="s">
        <v>61</v>
      </c>
      <c r="J4" s="42"/>
    </row>
    <row r="5" spans="1:10" ht="21" customHeight="1" thickBot="1" x14ac:dyDescent="0.45">
      <c r="A5" s="43" t="s">
        <v>25</v>
      </c>
      <c r="B5" s="44" t="s">
        <v>3261</v>
      </c>
      <c r="C5" s="45" t="s">
        <v>43</v>
      </c>
      <c r="D5" s="46" t="s">
        <v>3259</v>
      </c>
      <c r="E5" s="44" t="s">
        <v>3261</v>
      </c>
      <c r="F5" s="45" t="s">
        <v>43</v>
      </c>
      <c r="G5" s="46" t="s">
        <v>3260</v>
      </c>
      <c r="H5" s="44" t="s">
        <v>3261</v>
      </c>
      <c r="I5" s="47" t="s">
        <v>43</v>
      </c>
      <c r="J5" s="42"/>
    </row>
    <row r="6" spans="1:10" ht="21" customHeight="1" x14ac:dyDescent="0.4">
      <c r="A6" s="48" t="s">
        <v>25</v>
      </c>
      <c r="B6" s="49" t="s">
        <v>3262</v>
      </c>
      <c r="C6" s="50" t="s">
        <v>61</v>
      </c>
      <c r="D6" s="51" t="s">
        <v>3263</v>
      </c>
      <c r="E6" s="49" t="s">
        <v>3262</v>
      </c>
      <c r="F6" s="50" t="s">
        <v>61</v>
      </c>
      <c r="G6" s="51" t="s">
        <v>3260</v>
      </c>
      <c r="H6" s="49" t="s">
        <v>3262</v>
      </c>
      <c r="I6" s="52" t="s">
        <v>61</v>
      </c>
      <c r="J6" s="42"/>
    </row>
    <row r="7" spans="1:10" ht="21" customHeight="1" thickBot="1" x14ac:dyDescent="0.45">
      <c r="A7" s="43" t="s">
        <v>25</v>
      </c>
      <c r="B7" s="44" t="s">
        <v>3262</v>
      </c>
      <c r="C7" s="45" t="s">
        <v>43</v>
      </c>
      <c r="D7" s="46" t="s">
        <v>3263</v>
      </c>
      <c r="E7" s="44" t="s">
        <v>3262</v>
      </c>
      <c r="F7" s="45" t="s">
        <v>43</v>
      </c>
      <c r="G7" s="46" t="s">
        <v>3260</v>
      </c>
      <c r="H7" s="44" t="s">
        <v>3262</v>
      </c>
      <c r="I7" s="47" t="s">
        <v>43</v>
      </c>
      <c r="J7" s="42"/>
    </row>
    <row r="8" spans="1:10" ht="21" customHeight="1" x14ac:dyDescent="0.4">
      <c r="A8" s="53" t="s">
        <v>3264</v>
      </c>
      <c r="B8" s="118" t="s">
        <v>3265</v>
      </c>
      <c r="C8" s="54"/>
      <c r="D8" s="55"/>
      <c r="E8" s="56"/>
      <c r="F8" s="57"/>
      <c r="G8" s="51" t="s">
        <v>3260</v>
      </c>
      <c r="H8" s="49" t="s">
        <v>3266</v>
      </c>
      <c r="I8" s="52" t="s">
        <v>61</v>
      </c>
      <c r="J8" s="42"/>
    </row>
    <row r="9" spans="1:10" ht="21" customHeight="1" thickBot="1" x14ac:dyDescent="0.45">
      <c r="A9" s="75" t="s">
        <v>3267</v>
      </c>
      <c r="B9" s="76" t="s">
        <v>3268</v>
      </c>
      <c r="C9" s="116"/>
      <c r="D9" s="61"/>
      <c r="E9" s="62"/>
      <c r="F9" s="63"/>
      <c r="G9" s="46" t="s">
        <v>3260</v>
      </c>
      <c r="H9" s="44" t="s">
        <v>3266</v>
      </c>
      <c r="I9" s="47" t="s">
        <v>43</v>
      </c>
      <c r="J9" s="42"/>
    </row>
    <row r="10" spans="1:10" ht="21" customHeight="1" x14ac:dyDescent="0.4">
      <c r="A10" s="117" t="s">
        <v>3267</v>
      </c>
      <c r="B10" s="115" t="s">
        <v>3269</v>
      </c>
      <c r="C10" s="119" t="s">
        <v>3270</v>
      </c>
      <c r="D10" s="61"/>
      <c r="E10" s="62"/>
      <c r="F10" s="63"/>
      <c r="G10" s="61"/>
      <c r="H10" s="62"/>
      <c r="I10" s="69"/>
      <c r="J10" s="42"/>
    </row>
    <row r="11" spans="1:10" ht="21" customHeight="1" x14ac:dyDescent="0.4">
      <c r="A11" s="58" t="s">
        <v>25</v>
      </c>
      <c r="B11" s="59" t="s">
        <v>3271</v>
      </c>
      <c r="C11" s="60"/>
      <c r="D11" s="61"/>
      <c r="E11" s="62"/>
      <c r="F11" s="63"/>
      <c r="G11" s="61"/>
      <c r="H11" s="62"/>
      <c r="I11" s="69"/>
      <c r="J11" s="42"/>
    </row>
    <row r="12" spans="1:10" ht="21" customHeight="1" x14ac:dyDescent="0.4">
      <c r="A12" s="58" t="s">
        <v>3272</v>
      </c>
      <c r="B12" s="59" t="s">
        <v>3273</v>
      </c>
      <c r="C12" s="65"/>
      <c r="D12" s="66"/>
      <c r="E12" s="67"/>
      <c r="F12" s="68"/>
      <c r="G12" s="61"/>
      <c r="H12" s="62"/>
      <c r="I12" s="69"/>
      <c r="J12" s="70"/>
    </row>
    <row r="13" spans="1:10" ht="21" customHeight="1" x14ac:dyDescent="0.4">
      <c r="A13" s="58" t="s">
        <v>3274</v>
      </c>
      <c r="B13" s="59" t="s">
        <v>3275</v>
      </c>
      <c r="C13" s="65"/>
      <c r="D13" s="66"/>
      <c r="E13" s="67"/>
      <c r="F13" s="68"/>
      <c r="G13" s="61"/>
      <c r="H13" s="62"/>
      <c r="I13" s="69"/>
      <c r="J13" s="70"/>
    </row>
    <row r="14" spans="1:10" ht="21" customHeight="1" x14ac:dyDescent="0.4">
      <c r="A14" s="58" t="s">
        <v>697</v>
      </c>
      <c r="B14" s="59" t="s">
        <v>699</v>
      </c>
      <c r="C14" s="65"/>
      <c r="D14" s="64" t="s">
        <v>3259</v>
      </c>
      <c r="E14" s="59" t="s">
        <v>699</v>
      </c>
      <c r="F14" s="65"/>
      <c r="G14" s="64" t="s">
        <v>3260</v>
      </c>
      <c r="H14" s="59" t="s">
        <v>699</v>
      </c>
      <c r="I14" s="71"/>
      <c r="J14" s="70"/>
    </row>
    <row r="15" spans="1:10" ht="21" customHeight="1" x14ac:dyDescent="0.4">
      <c r="A15" s="58" t="s">
        <v>697</v>
      </c>
      <c r="B15" s="59" t="s">
        <v>3276</v>
      </c>
      <c r="C15" s="65" t="s">
        <v>3270</v>
      </c>
      <c r="D15" s="61"/>
      <c r="E15" s="67"/>
      <c r="F15" s="68"/>
      <c r="G15" s="61"/>
      <c r="H15" s="62"/>
      <c r="I15" s="72"/>
      <c r="J15" s="73"/>
    </row>
    <row r="16" spans="1:10" ht="21" customHeight="1" x14ac:dyDescent="0.25">
      <c r="A16" s="58" t="s">
        <v>697</v>
      </c>
      <c r="B16" s="59" t="s">
        <v>700</v>
      </c>
      <c r="C16" s="65"/>
      <c r="D16" s="66"/>
      <c r="E16" s="67"/>
      <c r="F16" s="68"/>
      <c r="G16" s="61"/>
      <c r="H16" s="62"/>
      <c r="I16" s="72"/>
      <c r="J16" s="73"/>
    </row>
    <row r="17" spans="1:10" ht="21" customHeight="1" x14ac:dyDescent="0.25">
      <c r="A17" s="58" t="s">
        <v>697</v>
      </c>
      <c r="B17" s="59" t="s">
        <v>701</v>
      </c>
      <c r="C17" s="74"/>
      <c r="D17" s="66"/>
      <c r="E17" s="67"/>
      <c r="F17" s="68"/>
      <c r="G17" s="61"/>
      <c r="H17" s="37"/>
      <c r="I17" s="72"/>
      <c r="J17" s="73"/>
    </row>
    <row r="18" spans="1:10" ht="21" customHeight="1" thickBot="1" x14ac:dyDescent="0.45">
      <c r="A18" s="75" t="s">
        <v>3277</v>
      </c>
      <c r="B18" s="76" t="s">
        <v>3278</v>
      </c>
      <c r="C18" s="77"/>
      <c r="D18" s="78"/>
      <c r="E18" s="79"/>
      <c r="F18" s="80"/>
      <c r="G18" s="81"/>
      <c r="H18" s="79"/>
      <c r="I18" s="82"/>
      <c r="J18" s="73"/>
    </row>
    <row r="19" spans="1:10" ht="21" customHeight="1" thickTop="1" thickBot="1" x14ac:dyDescent="0.3">
      <c r="A19" s="83"/>
      <c r="B19" s="84"/>
      <c r="C19" s="85"/>
      <c r="D19" s="86"/>
      <c r="E19" s="84"/>
      <c r="F19" s="85"/>
      <c r="G19" s="87" t="s">
        <v>702</v>
      </c>
      <c r="H19" s="88" t="s">
        <v>703</v>
      </c>
      <c r="I19" s="89"/>
    </row>
    <row r="20" spans="1:10" ht="21" customHeight="1" thickTop="1" x14ac:dyDescent="0.25"/>
  </sheetData>
  <phoneticPr fontId="1"/>
  <hyperlinks>
    <hyperlink ref="B4" location="文学_japan" display="文学" xr:uid="{460DFBFA-6F5E-413F-93C7-90E3DD00A954}"/>
    <hyperlink ref="B5:C5" location="文学・foreign" display="文学・foreign" xr:uid="{83EEE821-1434-43D8-BE91-3B95B7135377}"/>
    <hyperlink ref="B6:C6" location="BOOK!詩・japan" display="BOOK!詩・japan" xr:uid="{BC35C02C-C68E-4CD8-BF6B-383F6BF9DC3E}"/>
    <hyperlink ref="B7:C7" location="BOOK!詩・foreign" display="BOOK!詩・foreign" xr:uid="{36734A8E-82CE-4AE1-9BAC-892676118D5D}"/>
    <hyperlink ref="B2:C2" location="文庫・散文・japan" display="文庫・散文・japan" xr:uid="{217445C3-32B9-4F14-ABC6-E3930C033BFA}"/>
    <hyperlink ref="B3:C3" location="文庫・散文・foreign" display="文庫・散文・foreign" xr:uid="{E92F9E54-992E-4713-9E85-0B7FFE604475}"/>
    <hyperlink ref="B14" location="BOOK!comic" display="BOOK!comic" xr:uid="{F2CDE27E-2D6A-48FF-A480-BAA06AD1D185}"/>
    <hyperlink ref="B18" location="BOOK!楽譜" display="BOOK!楽譜" xr:uid="{F8DB5846-E677-46EE-B58F-B0D5A694D73C}"/>
    <hyperlink ref="E4:F4" location="BOOK!新書・文学・japan" display="BOOK!新書・文学・japan" xr:uid="{0A13022D-73CF-4888-83A8-0EE60F8C0323}"/>
    <hyperlink ref="C3" location="散文_foreign" display="foreign" xr:uid="{990C1C2F-820E-4B48-937A-83AB063F32A6}"/>
    <hyperlink ref="B3" location="散文_foreign" display="散文" xr:uid="{051B27A6-534E-48FA-ACA3-45528F75F60F}"/>
    <hyperlink ref="B2" location="散文_japan" display="散文" xr:uid="{8352E56E-ECEF-423A-80E5-9BC6E4C480CE}"/>
    <hyperlink ref="C2" location="散文_japan" display="japan" xr:uid="{65AC763C-B8BA-4DA1-ACA8-C67D5C1AA388}"/>
    <hyperlink ref="B6" location="詩_japan" display="詩" xr:uid="{8D1BA627-EEDC-4E35-919C-BDFF655E92A8}"/>
    <hyperlink ref="E5:F5" location="BOOK!新書・文学・foreign" display="BOOK!新書・文学・foreign" xr:uid="{EFD00F5F-0DE7-41D8-BE0F-8148D32B39E4}"/>
    <hyperlink ref="E6:F6" location="BOOK!新書・詩・japan" display="BOOK!新書・詩・japan" xr:uid="{6B492A60-A105-4159-B46A-B9ABC8765F57}"/>
    <hyperlink ref="E7:F7" location="BOOK!新書・詩・foreign" display="BOOK!新書・詩・foreign" xr:uid="{52C63F20-D8C3-4B32-879E-A6CCC088C1B2}"/>
    <hyperlink ref="E2:F2" location="BOOK!新書・散文・japan" display="BOOK!新書・散文・japan" xr:uid="{77AFEB56-C958-41E0-BEF8-670F4D037C76}"/>
    <hyperlink ref="E3:F3" location="BOOK!新書・散文・foreign" display="BOOK!新書・散文・foreign" xr:uid="{7370DBAD-D816-4827-A31E-409756AD4522}"/>
    <hyperlink ref="E14" location="comic_新書" display="comic" xr:uid="{E82968E1-D180-4A95-AB33-881A2EA32A60}"/>
    <hyperlink ref="H4:I4" location="BOOK!文庫・文学・japan" display="BOOK!文庫・文学・japan" xr:uid="{D85E13E9-D448-419A-AAA9-AA96DE5C8465}"/>
    <hyperlink ref="H5:I5" location="BOOK!文庫・文学・foreign" display="BOOK!文庫・文学・foreign" xr:uid="{7248F75F-7994-4E4E-AB16-1D1B131224D1}"/>
    <hyperlink ref="H6:I6" location="BOOK!文庫・詩・japan" display="BOOK!文庫・詩・japan" xr:uid="{5E8C2519-4CB9-402B-94EB-48B1C16A3427}"/>
    <hyperlink ref="H7:I7" location="BOOK!文庫・詩・foreign" display="BOOK!文庫・詩・foreign" xr:uid="{9DFA6567-017B-499F-B169-6F3CB4B5BBAF}"/>
    <hyperlink ref="H2:I2" location="BOOK!文庫・散文・japan" display="BOOK!文庫・散文・japan" xr:uid="{8DDA366A-7BCB-48C7-8241-05A1556F591B}"/>
    <hyperlink ref="H3:I3" location="BOOK!文庫・散文・foreign" display="BOOK!文庫・散文・foreign" xr:uid="{B741637F-3B59-48AE-867C-3ADDC2FEFDAE}"/>
    <hyperlink ref="H14" location="comic_文庫" display="comic" xr:uid="{F20CC545-1462-4D6F-9A2C-291765FD144C}"/>
    <hyperlink ref="H8:I8" location="BOOK!文庫・童話・japan" display="BOOK!文庫・童話・japan" xr:uid="{54CFB3B5-D967-4F67-8D04-F5ED90621020}"/>
    <hyperlink ref="H9:I9" location="BOOK!文庫・童話・foreign" display="BOOK!文庫・童話・foreign" xr:uid="{80C30326-73C7-4A1C-BCA4-D7F7C14DD0DC}"/>
    <hyperlink ref="H8" location="童話_japan" display="童話" xr:uid="{1A505D19-1B61-404F-AB08-598D23C7E402}"/>
    <hyperlink ref="B12" location="BOOK!雑誌" display="BOOK!雑誌" xr:uid="{4CC1B208-25BE-4ABF-A77F-3B2C287AA0CB}"/>
    <hyperlink ref="B13" location="BOOK!辞典" display="BOOK!辞典" xr:uid="{A06A7A03-CC64-4A5A-AC33-16F7B72E0BC8}"/>
    <hyperlink ref="B4:C4" location="BOOK!文学・japan" display="BOOK!文学・japan" xr:uid="{68347ECB-384E-44EF-98B0-D2281817A587}"/>
    <hyperlink ref="B5" location="文学_foreign" display="文学" xr:uid="{2E981E0D-3830-4627-A979-1E72C91E17C1}"/>
    <hyperlink ref="C5" location="文学_foreign" display="foreign" xr:uid="{A3F199D8-18F8-447F-9E14-1A3703CA1B22}"/>
    <hyperlink ref="B16" location="cook" display="cook" xr:uid="{DBFD515B-48AF-4D01-A733-38CE2866C22A}"/>
    <hyperlink ref="B17" location="computer" display="computer" xr:uid="{16E47149-043A-4331-B844-B906C19C2E44}"/>
    <hyperlink ref="B8" location="絵本" display="絵本" xr:uid="{68A2EFFF-207E-4A29-9076-4614B39B257D}"/>
    <hyperlink ref="B15" location="私家版" display="私家版" xr:uid="{38CECA96-DC18-4121-A223-7701A758D0E7}"/>
    <hyperlink ref="G19" location="Top" display="Top" xr:uid="{85DB76BA-5505-416F-85EA-050FE66702E9}"/>
    <hyperlink ref="H19" location="Bottom" display="Bottom" xr:uid="{5C6CF4E7-3D85-4C9F-8B1F-6B5CF832CC4E}"/>
    <hyperlink ref="B10" location="画集_身内" display="身内" xr:uid="{E50D9C92-B294-4002-B938-4CD83E2EF486}"/>
    <hyperlink ref="B11" location="図鑑" display="図鑑" xr:uid="{7EF57A42-7F5B-45D0-850E-26BC9663A2CA}"/>
    <hyperlink ref="C4" location="文学_japan" display="japan" xr:uid="{0B373C61-182B-4776-9368-F339DE678931}"/>
    <hyperlink ref="B9" location="画集" display="画集" xr:uid="{5B03918D-CD77-487B-B0BE-973A839852D0}"/>
    <hyperlink ref="C6" location="詩_japan" display="japan" xr:uid="{A3E4C61A-5F2F-46B6-9B4E-02A3AC122810}"/>
    <hyperlink ref="B7" location="詩_foreign" display="詩" xr:uid="{8494A1B3-C3F9-4F84-80DC-EBD6DB18C51E}"/>
    <hyperlink ref="C7" location="詩_foreign" display="foreign" xr:uid="{B1B3D0E8-0A4B-4269-B145-3ECE5FBDE075}"/>
    <hyperlink ref="E6" location="詩_japan_新書" display="詩" xr:uid="{44C8BAE1-1856-4593-8E47-4A6BF6DCF8A7}"/>
    <hyperlink ref="F6" location="詩_japan_新書" display="japan" xr:uid="{C43E802A-E3C9-469C-A0DB-BFC442248AFC}"/>
    <hyperlink ref="E7" location="詩_foreign_新書" display="詩" xr:uid="{DB334CBC-51C6-4909-9DF3-5C52EDF82700}"/>
    <hyperlink ref="F7" location="詩_foreign_新書" display="foreign" xr:uid="{93F7C00F-C365-4053-930E-FCA0A9821CAB}"/>
    <hyperlink ref="I8" location="童話_japan" display="japan" xr:uid="{32F68BB5-F505-4E07-A283-FA021AB1B1CF}"/>
    <hyperlink ref="H9" location="童話_foregn" display="童話" xr:uid="{07EC297D-4196-44C6-9CA1-FCB02A558C91}"/>
    <hyperlink ref="I9" location="童話_foregn" display="foreign" xr:uid="{86707AA2-7F8C-45E1-8736-4CC53746DF0F}"/>
    <hyperlink ref="H2" location="散文_japan_文庫" display="散文" xr:uid="{EC13B2E4-8CC0-4087-A018-2BC208DF89CE}"/>
    <hyperlink ref="I2" location="散文_japan_文庫" display="japan" xr:uid="{6438AEB0-9903-49E5-94DE-48AE048B924B}"/>
    <hyperlink ref="E2" location="散文_japan_新書" display="散文" xr:uid="{22623F8C-B910-48EB-8980-9A8CC1EBB7FF}"/>
    <hyperlink ref="F2" location="散文_japan_新書" display="japan" xr:uid="{277C22CF-EE0B-489A-B30D-95A6C46F6934}"/>
    <hyperlink ref="E3" location="散文_foreign_新書" display="散文" xr:uid="{030DDFD2-3C3C-425D-B625-4FEE98ABF815}"/>
    <hyperlink ref="F3" location="散文_foreign_新書" display="foreign" xr:uid="{CAD9DE84-C693-470D-8B46-8BF0F4240AF4}"/>
    <hyperlink ref="E4" location="文学_japan_新書" display="文学" xr:uid="{B1142BF6-DBC8-49F3-8482-25B3E5CAD54A}"/>
    <hyperlink ref="F4" location="文学_japan_新書" display="japan" xr:uid="{C5328EF7-3F56-4E7C-8C2B-A1771290C19F}"/>
    <hyperlink ref="E5" location="文学_foreign_新書" display="文学" xr:uid="{E38A20B4-7C56-469A-AF82-16D83703CE15}"/>
    <hyperlink ref="F5" location="文学_foreign_新書" display="foreign" xr:uid="{0B42CC16-8D38-4C22-9482-EE7E40CC97C9}"/>
    <hyperlink ref="H6" location="詩_japan_文庫" display="詩" xr:uid="{7CC35680-9992-48F5-9F52-CBC4E890356F}"/>
    <hyperlink ref="I6" location="詩_japan_新書" display="japan" xr:uid="{1335A86C-CEB3-4290-855C-BCAD0F09B92A}"/>
    <hyperlink ref="H7" location="詩_foreign_文庫" display="詩" xr:uid="{DAA48A03-D078-43BC-A70E-D1A3C1E68809}"/>
    <hyperlink ref="I7" location="詩_foreign_文庫" display="foreign" xr:uid="{24B6607D-D2DA-402C-8645-89CC87097EF0}"/>
    <hyperlink ref="H4" location="文学_japan_文庫" display="文学" xr:uid="{D1076D1E-8D4E-4608-AAC9-CA4A1D1A9883}"/>
    <hyperlink ref="I4" location="文学_japan_文庫" display="japan" xr:uid="{9E003550-F3E1-40AD-BDF5-7311C3993DEF}"/>
    <hyperlink ref="H5" location="文学_foreign_文庫" display="文学" xr:uid="{20B9B30F-D8A6-4D9F-802A-F759A2EB4681}"/>
    <hyperlink ref="I5" location="文学_foreign_文庫" display="foreign" xr:uid="{C47B5C05-84F9-47EA-B846-23CF8593995D}"/>
    <hyperlink ref="H3" location="散文_foreign_文庫" display="散文" xr:uid="{7865F5D8-64DD-4156-A023-886FB83200A2}"/>
    <hyperlink ref="I3" location="散文_foreign_文庫" display="foreign" xr:uid="{68BEEBE2-1501-4360-8B0B-E16D017877D8}"/>
  </hyperlinks>
  <pageMargins left="0.78700000000000003" right="0.78700000000000003" top="0.98399999999999999" bottom="0.98399999999999999" header="0.51200000000000001" footer="0.51200000000000001"/>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26B4A-015B-40F3-A5EA-813EC427D182}">
  <sheetPr codeName="Sheet4"/>
  <dimension ref="A1:Y3484"/>
  <sheetViews>
    <sheetView topLeftCell="C1" zoomScaleNormal="100" workbookViewId="0">
      <pane ySplit="1" topLeftCell="A2" activePane="bottomLeft" state="frozen"/>
      <selection sqref="A1:IV65536"/>
      <selection pane="bottomLeft" activeCell="O5" sqref="O5"/>
    </sheetView>
  </sheetViews>
  <sheetFormatPr defaultRowHeight="22.5" x14ac:dyDescent="0.25"/>
  <cols>
    <col min="1" max="1" width="20.5" style="106" bestFit="1" customWidth="1" phonetic="1"/>
    <col min="2" max="2" width="6.75" style="5" customWidth="1" phonetic="1"/>
    <col min="3" max="3" width="8.75" style="13" customWidth="1" phonetic="1"/>
    <col min="4" max="5" width="6.75" style="123" customWidth="1" phonetic="1"/>
    <col min="6" max="6" width="7.75" style="13" hidden="1" customWidth="1" phonetic="1"/>
    <col min="7" max="8" width="6.75" style="13" customWidth="1" phonetic="1"/>
    <col min="9" max="9" width="20.625" style="13" customWidth="1" phonetic="1"/>
    <col min="10" max="10" width="4.625" style="13" customWidth="1" phonetic="1"/>
    <col min="11" max="11" width="6.75" style="13" customWidth="1" phonetic="1"/>
    <col min="12" max="12" width="4.75" style="13" customWidth="1" phonetic="1"/>
    <col min="13" max="14" width="9.75" style="13" customWidth="1" phonetic="1"/>
    <col min="15" max="15" width="25.625" style="13" customWidth="1" phonetic="1"/>
    <col min="16" max="16" width="6.75" style="13" hidden="1" customWidth="1" phonetic="1"/>
    <col min="17" max="17" width="9.75" style="13" hidden="1" customWidth="1" phonetic="1"/>
    <col min="18" max="18" width="17.75" style="16" bestFit="1" customWidth="1" phonetic="1"/>
    <col min="19" max="19" width="16.125" style="13" bestFit="1" customWidth="1" phonetic="1"/>
    <col min="20" max="20" width="9" style="13" phonetic="1"/>
    <col min="21" max="21" width="17.75" style="16" bestFit="1" customWidth="1" phonetic="1"/>
    <col min="22" max="22" width="9.25" style="17" bestFit="1" customWidth="1" phonetic="1"/>
    <col min="23" max="23" width="10.75" style="17" customWidth="1" phonetic="1"/>
    <col min="24" max="25" width="11.25" style="13" bestFit="1" customWidth="1" phonetic="1"/>
    <col min="26" max="16384" width="9" style="13" phonetic="1"/>
  </cols>
  <sheetData>
    <row r="1" spans="1:25" s="2" customFormat="1" ht="22.5" customHeight="1" ph="1" x14ac:dyDescent="0.35">
      <c r="A1" s="110" t="s" ph="1">
        <v>238</v>
      </c>
      <c r="B1" s="1" t="s" ph="1">
        <v>239</v>
      </c>
      <c r="C1" s="2" t="s" ph="1">
        <v>389</v>
      </c>
      <c r="D1" s="121" t="s" ph="1">
        <v>3586</v>
      </c>
      <c r="E1" s="121" t="s" ph="1">
        <v>3587</v>
      </c>
      <c r="F1" s="2" t="s" ph="1">
        <v>324</v>
      </c>
      <c r="G1" s="2" t="s" ph="1">
        <v>3588</v>
      </c>
      <c r="H1" s="2" t="s" ph="1">
        <v>3589</v>
      </c>
      <c r="I1" s="2" t="s" ph="1">
        <v>3590</v>
      </c>
      <c r="J1" s="2" t="s" ph="1">
        <v>399</v>
      </c>
      <c r="K1" s="2" t="s" ph="1">
        <v>3591</v>
      </c>
      <c r="L1" s="2" t="s" ph="1">
        <v>351</v>
      </c>
      <c r="M1" s="2" t="s" ph="1">
        <v>3592</v>
      </c>
      <c r="N1" s="2" t="s" ph="1">
        <v>3593</v>
      </c>
      <c r="O1" s="2" t="s" ph="1">
        <v>66</v>
      </c>
      <c r="P1" s="2" t="s" ph="1">
        <v>323</v>
      </c>
      <c r="Q1" s="2" t="s" ph="1">
        <v>325</v>
      </c>
      <c r="R1" s="3" t="s" ph="1">
        <v>506</v>
      </c>
      <c r="S1" s="2" t="s" ph="1">
        <v>65</v>
      </c>
      <c r="T1" s="2" t="s" ph="1">
        <v>313</v>
      </c>
      <c r="U1" s="3" t="s" ph="1">
        <v>3594</v>
      </c>
      <c r="V1" s="4" t="s" ph="1">
        <v>3595</v>
      </c>
      <c r="W1" s="4" t="s" ph="1">
        <v>3596</v>
      </c>
      <c r="X1" s="4" t="s" ph="1">
        <v>3597</v>
      </c>
      <c r="Y1" s="2" t="s" ph="1">
        <v>3598</v>
      </c>
    </row>
    <row r="2" spans="1:25" s="7" customFormat="1" ht="22.5" customHeight="1" ph="1" x14ac:dyDescent="0.25">
      <c r="A2" s="106" ph="1"/>
      <c r="B2" s="5" ph="1"/>
      <c r="C2" s="6" t="s" ph="1">
        <v>25</v>
      </c>
      <c r="D2" s="122" ph="1"/>
      <c r="E2" s="122" ph="1"/>
      <c r="G2" s="8" t="s" ph="1">
        <v>69</v>
      </c>
      <c r="H2" s="9" ph="1"/>
      <c r="M2" s="7" t="str" ph="1">
        <f>IFERROR(INDEX([1]!_born[生没年],
MATCH(I2,[1]!_born[作],0)),"")</f>
        <v/>
      </c>
      <c r="N2" s="7" t="str" ph="1">
        <f>IFERROR(INDEX([1]!_born[生没年],
MATCH(K2,[1]!_born[作],0)),"")</f>
        <v/>
      </c>
      <c r="R2" s="10" ph="1"/>
      <c r="U2" s="10" ph="1"/>
      <c r="V2" s="11" ph="1"/>
      <c r="W2" s="11" ph="1"/>
    </row>
    <row r="3" spans="1:25" s="7" customFormat="1" ht="22.5" customHeight="1" ph="1" x14ac:dyDescent="0.35">
      <c r="A3" s="106" ph="1"/>
      <c r="B3" s="5" ph="1"/>
      <c r="C3" s="9" t="s" ph="1">
        <v>25</v>
      </c>
      <c r="D3" s="122" ph="1"/>
      <c r="E3" s="122" ph="1"/>
      <c r="G3" s="8" t="s" ph="1">
        <v>3599</v>
      </c>
      <c r="H3" s="9" t="s" ph="1">
        <v>61</v>
      </c>
      <c r="I3" s="12" t="s" ph="1">
        <v>3600</v>
      </c>
      <c r="J3" s="12" ph="1"/>
      <c r="M3" s="7" t="str" ph="1">
        <f>IFERROR(INDEX([1]!_born[生没年],
MATCH(I3,[1]!_born[作],0)),"")</f>
        <v/>
      </c>
      <c r="N3" s="7" t="str" ph="1">
        <f>IFERROR(INDEX([1]!_born[生没年],
MATCH(K3,[1]!_born[作],0)),"")</f>
        <v/>
      </c>
      <c r="R3" s="10" ph="1"/>
      <c r="U3" s="10" ph="1"/>
      <c r="V3" s="11" ph="1"/>
      <c r="W3" s="11" ph="1"/>
    </row>
    <row r="4" spans="1:25" s="7" customFormat="1" ht="22.5" customHeight="1" ph="1" x14ac:dyDescent="0.35">
      <c r="A4" s="106" ph="1"/>
      <c r="B4" s="5" ph="1"/>
      <c r="C4" s="9" t="s" ph="1">
        <v>25</v>
      </c>
      <c r="D4" s="122" ph="1"/>
      <c r="E4" s="122" ph="1"/>
      <c r="G4" s="8" t="s" ph="1">
        <v>3599</v>
      </c>
      <c r="H4" s="9" t="s" ph="1">
        <v>43</v>
      </c>
      <c r="I4" s="12" ph="1"/>
      <c r="J4" s="12" ph="1"/>
      <c r="M4" s="7" t="str" ph="1">
        <f>IFERROR(INDEX([1]!_born[生没年],
MATCH(I4,[1]!_born[作],0)),"")</f>
        <v/>
      </c>
      <c r="N4" s="7" t="str" ph="1">
        <f>IFERROR(INDEX([1]!_born[生没年],
MATCH(K4,[1]!_born[作],0)),"")</f>
        <v/>
      </c>
      <c r="R4" s="10" ph="1"/>
      <c r="U4" s="10" ph="1"/>
      <c r="V4" s="11" ph="1"/>
      <c r="W4" s="11" ph="1"/>
    </row>
    <row r="5" spans="1:25" ht="22.5" customHeight="1" ph="1" x14ac:dyDescent="0.35">
      <c r="C5" s="13" t="s" ph="1">
        <v>25</v>
      </c>
      <c r="E5" s="123" ph="1">
        <v>12</v>
      </c>
      <c r="G5" s="13" t="s" ph="1">
        <v>130</v>
      </c>
      <c r="H5" s="13" t="s" ph="1">
        <v>43</v>
      </c>
      <c r="I5" s="13" t="s" ph="1">
        <v>3601</v>
      </c>
      <c r="K5" s="13" t="s" ph="1">
        <v>3602</v>
      </c>
      <c r="L5" s="13" t="s" ph="1">
        <v>3603</v>
      </c>
      <c r="M5" s="14" t="str" ph="1">
        <f>IFERROR(INDEX([1]!_born[生没年],
MATCH(I5,[1]!_born[作],0)),"")</f>
        <v/>
      </c>
      <c r="N5" s="14" t="str" ph="1">
        <f>IFERROR(INDEX([1]!_born[生没年],
MATCH(K5,[1]!_born[作],0)),"")</f>
        <v/>
      </c>
      <c r="O5" s="15" t="s" ph="1">
        <v>3604</v>
      </c>
      <c r="T5" s="13" t="s" ph="1">
        <v>3605</v>
      </c>
      <c r="U5" s="16" ph="1">
        <v>36616</v>
      </c>
      <c r="V5" s="17" ph="1">
        <f>2800*12</f>
        <v>33600</v>
      </c>
      <c r="W5" s="17" ph="1">
        <v>10000</v>
      </c>
    </row>
    <row r="6" spans="1:25" ht="22.5" customHeight="1" ph="1" x14ac:dyDescent="0.35">
      <c r="C6" s="13" t="s" ph="1">
        <v>25</v>
      </c>
      <c r="E6" s="123" ph="1">
        <v>20</v>
      </c>
      <c r="G6" s="13" t="s" ph="1">
        <v>130</v>
      </c>
      <c r="H6" s="13" t="s" ph="1">
        <v>43</v>
      </c>
      <c r="M6" s="14" t="str" ph="1">
        <f>IFERROR(INDEX([1]!_born[生没年],
MATCH(I6,[1]!_born[作],0)),"")</f>
        <v/>
      </c>
      <c r="N6" s="14" t="str" ph="1">
        <f>IFERROR(INDEX([1]!_born[生没年],
MATCH(K6,[1]!_born[作],0)),"")</f>
        <v/>
      </c>
      <c r="O6" s="15" t="s" ph="1">
        <v>3606</v>
      </c>
      <c r="T6" s="13" t="s" ph="1">
        <v>3607</v>
      </c>
      <c r="U6" s="16" ph="1">
        <v>35560</v>
      </c>
      <c r="V6" s="17" ph="1">
        <f>1800*20</f>
        <v>36000</v>
      </c>
      <c r="W6" s="17" ph="1">
        <v>15000</v>
      </c>
      <c r="X6" s="5" t="s" ph="1">
        <v>3608</v>
      </c>
      <c r="Y6" s="5" ph="1"/>
    </row>
    <row r="7" spans="1:25" ht="22.5" customHeight="1" ph="1" x14ac:dyDescent="0.35">
      <c r="C7" s="13" t="s" ph="1">
        <v>640</v>
      </c>
      <c r="E7" s="123" ph="1">
        <v>15</v>
      </c>
      <c r="G7" s="13" t="s" ph="1">
        <v>130</v>
      </c>
      <c r="H7" s="13" t="s" ph="1">
        <v>43</v>
      </c>
      <c r="M7" s="14" t="str" ph="1">
        <f>IFERROR(INDEX([1]!_born[生没年],
MATCH(I7,[1]!_born[作],0)),"")</f>
        <v/>
      </c>
      <c r="N7" s="14" t="str" ph="1">
        <f>IFERROR(INDEX([1]!_born[生没年],
MATCH(K7,[1]!_born[作],0)),"")</f>
        <v/>
      </c>
      <c r="O7" s="15" t="s" ph="1">
        <v>3609</v>
      </c>
      <c r="R7" s="16" t="s" ph="1">
        <v>507</v>
      </c>
      <c r="S7" s="13" t="s" ph="1">
        <v>3610</v>
      </c>
      <c r="T7" s="13" t="s" ph="1">
        <v>3611</v>
      </c>
      <c r="V7" s="17" ph="1">
        <f>390*15</f>
        <v>5850</v>
      </c>
    </row>
    <row r="8" spans="1:25" ht="22.5" customHeight="1" ph="1" x14ac:dyDescent="0.35">
      <c r="C8" s="13" t="s" ph="1">
        <v>131</v>
      </c>
      <c r="G8" s="13" t="s" ph="1">
        <v>130</v>
      </c>
      <c r="H8" s="13" t="s" ph="1">
        <v>61</v>
      </c>
      <c r="I8" s="13" t="s" ph="1">
        <v>3612</v>
      </c>
      <c r="M8" s="14" t="str" ph="1">
        <f>IFERROR(INDEX([1]!_born[生没年],
MATCH(I8,[1]!_born[作],0)),"")</f>
        <v/>
      </c>
      <c r="N8" s="14" t="str" ph="1">
        <f>IFERROR(INDEX([1]!_born[生没年],
MATCH(K8,[1]!_born[作],0)),"")</f>
        <v/>
      </c>
      <c r="O8" s="15" t="s" ph="1">
        <v>3613</v>
      </c>
      <c r="R8" s="16" t="s" ph="1">
        <v>51</v>
      </c>
      <c r="T8" s="13" t="s" ph="1">
        <v>3614</v>
      </c>
      <c r="V8" s="17" ph="1">
        <f>2850*1.03</f>
        <v>2935.5</v>
      </c>
    </row>
    <row r="9" spans="1:25" ht="22.5" customHeight="1" ph="1" x14ac:dyDescent="0.35">
      <c r="C9" s="13" t="s" ph="1">
        <v>25</v>
      </c>
      <c r="G9" s="13" t="s" ph="1">
        <v>130</v>
      </c>
      <c r="H9" s="13" t="s" ph="1">
        <v>43</v>
      </c>
      <c r="I9" s="13" t="s" ph="1">
        <v>3615</v>
      </c>
      <c r="J9" s="13" t="s" ph="1">
        <v>3616</v>
      </c>
      <c r="K9" s="13" t="s" ph="1">
        <v>3617</v>
      </c>
      <c r="L9" s="13" t="s" ph="1">
        <v>3618</v>
      </c>
      <c r="M9" s="14" t="str" ph="1">
        <f>IFERROR(INDEX([1]!_born[生没年],
MATCH(I9,[1]!_born[作],0)),"")</f>
        <v/>
      </c>
      <c r="N9" s="14" t="str" ph="1">
        <f>IFERROR(INDEX([1]!_born[生没年],
MATCH(K9,[1]!_born[作],0)),"")</f>
        <v/>
      </c>
      <c r="O9" s="13" t="s" ph="1">
        <v>3619</v>
      </c>
      <c r="R9" s="16" t="s" ph="1">
        <v>3620</v>
      </c>
      <c r="T9" s="13" t="s" ph="1">
        <v>3621</v>
      </c>
      <c r="U9" s="16" ph="1">
        <v>36807</v>
      </c>
      <c r="V9" s="17" ph="1">
        <v>3900</v>
      </c>
      <c r="W9" s="17" ph="1">
        <v>0</v>
      </c>
      <c r="X9" s="13" t="s" ph="1">
        <v>3622</v>
      </c>
      <c r="Y9" s="13" t="s" ph="1">
        <v>3623</v>
      </c>
    </row>
    <row r="10" spans="1:25" ht="22.5" customHeight="1" ph="1" x14ac:dyDescent="0.35">
      <c r="A10" s="106" t="s" ph="1">
        <v>216</v>
      </c>
      <c r="C10" s="13" t="s" ph="1">
        <v>25</v>
      </c>
      <c r="G10" s="13" t="s" ph="1">
        <v>3624</v>
      </c>
      <c r="H10" s="13" t="s" ph="1">
        <v>43</v>
      </c>
      <c r="I10" s="13" t="s" ph="1">
        <v>3625</v>
      </c>
      <c r="J10" s="13" t="s" ph="1">
        <v>3626</v>
      </c>
      <c r="K10" s="13" t="s" ph="1">
        <v>3627</v>
      </c>
      <c r="L10" s="13" t="s" ph="1">
        <v>3628</v>
      </c>
      <c r="M10" s="14" t="str" ph="1">
        <f>IFERROR(INDEX([1]!_born[生没年],
MATCH(I10,[1]!_born[作],0)),"")</f>
        <v/>
      </c>
      <c r="N10" s="14" t="str" ph="1">
        <f>IFERROR(INDEX([1]!_born[生没年],
MATCH(K10,[1]!_born[作],0)),"")</f>
        <v/>
      </c>
      <c r="O10" s="13" t="s" ph="1">
        <v>3629</v>
      </c>
      <c r="R10" s="16" t="s" ph="1">
        <v>508</v>
      </c>
      <c r="S10" s="13" t="s" ph="1">
        <v>3630</v>
      </c>
      <c r="T10" s="13" t="s" ph="1">
        <v>3631</v>
      </c>
      <c r="U10" s="16" ph="1">
        <v>38268</v>
      </c>
      <c r="V10" s="17" ph="1">
        <f>3300*1.05</f>
        <v>3465</v>
      </c>
      <c r="W10" s="17" ph="1">
        <v>2100</v>
      </c>
      <c r="X10" s="13" t="s" ph="1">
        <v>3632</v>
      </c>
      <c r="Y10" s="13" t="s" ph="1">
        <v>3633</v>
      </c>
    </row>
    <row r="11" spans="1:25" ht="22.5" customHeight="1" ph="1" x14ac:dyDescent="0.35">
      <c r="C11" s="13" t="s" ph="1">
        <v>25</v>
      </c>
      <c r="G11" s="13" t="s" ph="1">
        <v>130</v>
      </c>
      <c r="H11" s="13" t="s" ph="1">
        <v>61</v>
      </c>
      <c r="M11" s="14" t="str" ph="1">
        <f>IFERROR(INDEX([1]!_born[生没年],
MATCH(I11,[1]!_born[作],0)),"")</f>
        <v/>
      </c>
      <c r="N11" s="14" t="str" ph="1">
        <f>IFERROR(INDEX([1]!_born[生没年],
MATCH(K11,[1]!_born[作],0)),"")</f>
        <v/>
      </c>
      <c r="O11" s="15" t="s" ph="1">
        <v>3634</v>
      </c>
      <c r="T11" s="13" t="s" ph="1">
        <v>3607</v>
      </c>
      <c r="W11" s="17"/>
      <c r="X11" s="5" ph="1"/>
      <c r="Y11" s="5" t="s" ph="1">
        <v>3635</v>
      </c>
    </row>
    <row r="12" spans="1:25" ht="22.5" customHeight="1" ph="1" x14ac:dyDescent="0.35">
      <c r="C12" s="13" t="s" ph="1">
        <v>25</v>
      </c>
      <c r="G12" s="13" t="s" ph="1">
        <v>130</v>
      </c>
      <c r="H12" s="13" t="s" ph="1">
        <v>43</v>
      </c>
      <c r="M12" s="14" t="str" ph="1">
        <f>IFERROR(INDEX([1]!_born[生没年],
MATCH(I12,[1]!_born[作],0)),"")</f>
        <v/>
      </c>
      <c r="N12" s="14" t="str" ph="1">
        <f>IFERROR(INDEX([1]!_born[生没年],
MATCH(K12,[1]!_born[作],0)),"")</f>
        <v/>
      </c>
      <c r="O12" s="15" t="s" ph="1">
        <v>3636</v>
      </c>
      <c r="W12" s="17"/>
      <c r="X12" s="5" t="s" ph="1">
        <v>3637</v>
      </c>
      <c r="Y12" s="5" t="s" ph="1">
        <v>3635</v>
      </c>
    </row>
    <row r="13" spans="1:25" ht="22.5" customHeight="1" ph="1" x14ac:dyDescent="0.35">
      <c r="C13" s="13" t="s" ph="1">
        <v>25</v>
      </c>
      <c r="G13" s="13" t="s" ph="1">
        <v>130</v>
      </c>
      <c r="H13" s="13" t="s" ph="1">
        <v>43</v>
      </c>
      <c r="M13" s="14" t="str" ph="1">
        <f>IFERROR(INDEX([1]!_born[生没年],
MATCH(I13,[1]!_born[作],0)),"")</f>
        <v/>
      </c>
      <c r="N13" s="14" t="str" ph="1">
        <f>IFERROR(INDEX([1]!_born[生没年],
MATCH(K13,[1]!_born[作],0)),"")</f>
        <v/>
      </c>
      <c r="O13" s="15" t="s" ph="1">
        <v>3638</v>
      </c>
      <c r="R13" s="16" t="s" ph="1">
        <v>137</v>
      </c>
      <c r="T13" s="13" t="s" ph="1">
        <v>3639</v>
      </c>
      <c r="V13" s="17" ph="1">
        <v>2884</v>
      </c>
      <c r="W13" s="17" ph="1">
        <v>0</v>
      </c>
      <c r="X13" s="5" t="s" ph="1">
        <v>3607</v>
      </c>
      <c r="Y13" s="5" t="s" ph="1">
        <v>3640</v>
      </c>
    </row>
    <row r="14" spans="1:25" ht="22.5" customHeight="1" ph="1" x14ac:dyDescent="0.35">
      <c r="C14" s="13" t="s" ph="1">
        <v>25</v>
      </c>
      <c r="G14" s="13" t="s" ph="1">
        <v>130</v>
      </c>
      <c r="H14" s="13" t="s" ph="1">
        <v>43</v>
      </c>
      <c r="I14" s="13" t="s" ph="1">
        <v>3641</v>
      </c>
      <c r="M14" s="14" t="str" ph="1">
        <f>IFERROR(INDEX([1]!_born[生没年],
MATCH(I14,[1]!_born[作],0)),"")</f>
        <v/>
      </c>
      <c r="N14" s="14" t="str" ph="1">
        <f>IFERROR(INDEX([1]!_born[生没年],
MATCH(K14,[1]!_born[作],0)),"")</f>
        <v/>
      </c>
      <c r="O14" s="15" t="s" ph="1">
        <v>3642</v>
      </c>
      <c r="R14" s="16" t="s" ph="1">
        <v>154</v>
      </c>
      <c r="T14" s="13" t="s" ph="1">
        <v>3643</v>
      </c>
      <c r="V14" s="17" ph="1">
        <f>2500*1.05</f>
        <v>2625</v>
      </c>
      <c r="W14" s="17" ph="1">
        <v>0</v>
      </c>
      <c r="X14" s="5" t="s" ph="1">
        <v>3607</v>
      </c>
      <c r="Y14" s="5" t="s" ph="1">
        <v>3640</v>
      </c>
    </row>
    <row r="15" spans="1:25" ht="22.5" customHeight="1" ph="1" x14ac:dyDescent="0.35">
      <c r="A15" s="106" t="s" ph="1">
        <v>55</v>
      </c>
      <c r="B15" s="5" t="s" ph="1">
        <v>56</v>
      </c>
      <c r="C15" s="13" t="s" ph="1">
        <v>25</v>
      </c>
      <c r="G15" s="13" t="s" ph="1">
        <v>130</v>
      </c>
      <c r="H15" s="13" t="s" ph="1">
        <v>43</v>
      </c>
      <c r="I15" s="13" t="s" ph="1">
        <v>3644</v>
      </c>
      <c r="J15" s="13" t="s" ph="1">
        <v>3645</v>
      </c>
      <c r="M15" s="14" t="str" ph="1">
        <f>IFERROR(INDEX([1]!_born[生没年],
MATCH(I15,[1]!_born[作],0)),"")</f>
        <v/>
      </c>
      <c r="N15" s="14" t="str" ph="1">
        <f>IFERROR(INDEX([1]!_born[生没年],
MATCH(K15,[1]!_born[作],0)),"")</f>
        <v/>
      </c>
      <c r="O15" s="13" t="s" ph="1">
        <v>3646</v>
      </c>
      <c r="R15" s="16" t="s" ph="1">
        <v>57</v>
      </c>
      <c r="T15" s="13" t="s" ph="1">
        <v>3644</v>
      </c>
      <c r="U15" s="16" ph="1">
        <v>39338</v>
      </c>
      <c r="V15" s="17" ph="1">
        <f>1600*1.05</f>
        <v>1680</v>
      </c>
      <c r="W15" s="17" ph="1">
        <f>1098+340</f>
        <v>1438</v>
      </c>
      <c r="X15" s="13" t="s" ph="1">
        <v>3647</v>
      </c>
    </row>
    <row r="16" spans="1:25" ht="22.5" customHeight="1" ph="1" x14ac:dyDescent="0.35">
      <c r="C16" s="13" t="s" ph="1">
        <v>3648</v>
      </c>
      <c r="G16" s="13" t="s" ph="1">
        <v>130</v>
      </c>
      <c r="H16" s="13" t="s" ph="1">
        <v>61</v>
      </c>
      <c r="I16" s="13" t="s" ph="1">
        <v>3649</v>
      </c>
      <c r="J16" s="13" t="s" ph="1">
        <v>3650</v>
      </c>
      <c r="M16" s="14" t="str" ph="1">
        <f>IFERROR(INDEX([1]!_born[生没年],
MATCH(I16,[1]!_born[作],0)),"")</f>
        <v/>
      </c>
      <c r="N16" s="14" t="str" ph="1">
        <f>IFERROR(INDEX([1]!_born[生没年],
MATCH(K16,[1]!_born[作],0)),"")</f>
        <v/>
      </c>
      <c r="O16" s="15" t="s" ph="1">
        <v>3651</v>
      </c>
      <c r="R16" s="16" ph="1">
        <v>14060</v>
      </c>
      <c r="S16" s="13" t="s" ph="1">
        <v>3652</v>
      </c>
      <c r="T16" s="13" t="s" ph="1">
        <v>3653</v>
      </c>
      <c r="U16" s="16" ph="1">
        <v>41594</v>
      </c>
      <c r="V16" s="17" t="s" ph="1">
        <v>3654</v>
      </c>
      <c r="W16" s="17" ph="1">
        <v>800</v>
      </c>
      <c r="X16" s="5" t="s" ph="1">
        <v>3655</v>
      </c>
      <c r="Y16" s="5" t="s" ph="1">
        <v>3656</v>
      </c>
    </row>
    <row r="17" spans="1:25" ht="22.5" customHeight="1" ph="1" x14ac:dyDescent="0.35">
      <c r="A17" s="106" t="s" ph="1">
        <v>2762</v>
      </c>
      <c r="C17" s="13" t="s" ph="1">
        <v>3648</v>
      </c>
      <c r="G17" s="13" t="s" ph="1">
        <v>2763</v>
      </c>
      <c r="H17" s="13" t="s" ph="1">
        <v>43</v>
      </c>
      <c r="I17" s="13" t="s" ph="1">
        <v>3657</v>
      </c>
      <c r="J17" s="13" t="s" ph="1">
        <v>3658</v>
      </c>
      <c r="M17" s="14" t="str" ph="1">
        <f>IFERROR(INDEX([1]!_born[生没年],
MATCH(I17,[1]!_born[作],0)),"")</f>
        <v/>
      </c>
      <c r="N17" s="14" t="str" ph="1">
        <f>IFERROR(INDEX([1]!_born[生没年],
MATCH(K17,[1]!_born[作],0)),"")</f>
        <v/>
      </c>
      <c r="O17" s="15" t="s" ph="1">
        <v>3659</v>
      </c>
      <c r="R17" s="16" ph="1">
        <v>29570</v>
      </c>
      <c r="S17" s="13" t="s" ph="1">
        <v>3660</v>
      </c>
      <c r="T17" s="13" t="s" ph="1">
        <v>3661</v>
      </c>
      <c r="U17" s="16" ph="1">
        <v>41594</v>
      </c>
      <c r="V17" s="17" ph="1">
        <v>1500</v>
      </c>
      <c r="W17" s="17" ph="1">
        <v>600</v>
      </c>
      <c r="X17" s="5" t="s" ph="1">
        <v>3655</v>
      </c>
      <c r="Y17" s="5" t="s" ph="1">
        <v>3662</v>
      </c>
    </row>
    <row r="18" spans="1:25" ht="22.5" customHeight="1" ph="1" x14ac:dyDescent="0.35">
      <c r="A18" s="106" t="s" ph="1">
        <v>2546</v>
      </c>
      <c r="B18" s="5" t="s" ph="1">
        <v>2545</v>
      </c>
      <c r="C18" s="13" t="s" ph="1">
        <v>25</v>
      </c>
      <c r="G18" s="13" t="s" ph="1">
        <v>46</v>
      </c>
      <c r="H18" s="13" t="s" ph="1">
        <v>61</v>
      </c>
      <c r="I18" s="13" t="s" ph="1">
        <v>3663</v>
      </c>
      <c r="J18" s="13" t="s" ph="1">
        <v>3664</v>
      </c>
      <c r="K18" s="13" t="s" ph="1">
        <v>3665</v>
      </c>
      <c r="L18" s="13" t="s" ph="1">
        <v>3666</v>
      </c>
      <c r="M18" s="14" t="str" ph="1">
        <f>IFERROR(INDEX([1]!_born[生没年],
MATCH(I18,[1]!_born[作],0)),"")</f>
        <v/>
      </c>
      <c r="N18" s="14" t="str" ph="1">
        <f>IFERROR(INDEX([1]!_born[生没年],
MATCH(K18,[1]!_born[作],0)),"")</f>
        <v/>
      </c>
      <c r="O18" s="13" t="s" ph="1">
        <v>3667</v>
      </c>
      <c r="R18" s="16" ph="1">
        <v>40463</v>
      </c>
      <c r="S18" s="13" t="s" ph="1">
        <v>3668</v>
      </c>
      <c r="T18" s="13" t="s" ph="1">
        <v>3669</v>
      </c>
      <c r="U18" s="16" ph="1">
        <v>40612</v>
      </c>
      <c r="V18" s="17" ph="1">
        <f>1500*1.05</f>
        <v>1575</v>
      </c>
      <c r="W18" s="17" ph="1">
        <f>1500*1.05</f>
        <v>1575</v>
      </c>
      <c r="X18" s="13" t="s" ph="1">
        <v>2629</v>
      </c>
    </row>
    <row r="19" spans="1:25" ht="22.5" customHeight="1" ph="1" x14ac:dyDescent="0.35">
      <c r="A19" s="106" t="s" ph="1">
        <v>2547</v>
      </c>
      <c r="B19" s="5" t="s" ph="1">
        <v>2518</v>
      </c>
      <c r="C19" s="13" t="s" ph="1">
        <v>25</v>
      </c>
      <c r="G19" s="13" t="s" ph="1">
        <v>46</v>
      </c>
      <c r="H19" s="13" t="s" ph="1">
        <v>61</v>
      </c>
      <c r="I19" s="13" t="s" ph="1">
        <v>3670</v>
      </c>
      <c r="J19" s="13" t="s" ph="1">
        <v>3671</v>
      </c>
      <c r="K19" s="13" t="s" ph="1">
        <v>3672</v>
      </c>
      <c r="L19" s="13" t="s" ph="1">
        <v>3673</v>
      </c>
      <c r="M19" s="14" t="str" ph="1">
        <f>IFERROR(INDEX([1]!_born[生没年],
MATCH(I19,[1]!_born[作],0)),"")</f>
        <v/>
      </c>
      <c r="N19" s="14" t="str" ph="1">
        <f>IFERROR(INDEX([1]!_born[生没年],
MATCH(K19,[1]!_born[作],0)),"")</f>
        <v/>
      </c>
      <c r="O19" s="13" t="s" ph="1">
        <v>3674</v>
      </c>
      <c r="R19" s="16" ph="1">
        <v>40463</v>
      </c>
      <c r="S19" s="13" t="s" ph="1">
        <v>3668</v>
      </c>
      <c r="T19" s="13" t="s" ph="1">
        <v>3669</v>
      </c>
      <c r="U19" s="16" ph="1">
        <v>40612</v>
      </c>
      <c r="V19" s="17" ph="1">
        <f>1500*1.05</f>
        <v>1575</v>
      </c>
      <c r="W19" s="17" ph="1">
        <f>1500*1.05</f>
        <v>1575</v>
      </c>
      <c r="X19" s="13" t="s" ph="1">
        <v>2629</v>
      </c>
    </row>
    <row r="20" spans="1:25" ht="22.5" customHeight="1" ph="1" x14ac:dyDescent="0.35">
      <c r="C20" s="13" t="s" ph="1">
        <v>391</v>
      </c>
      <c r="G20" s="13" t="s" ph="1">
        <v>130</v>
      </c>
      <c r="H20" s="13" t="s" ph="1">
        <v>61</v>
      </c>
      <c r="I20" s="13" t="s" ph="1">
        <v>3675</v>
      </c>
      <c r="M20" s="14" t="str" ph="1">
        <f>IFERROR(INDEX([1]!_born[生没年],
MATCH(I20,[1]!_born[作],0)),"")</f>
        <v/>
      </c>
      <c r="N20" s="14" t="str" ph="1">
        <f>IFERROR(INDEX([1]!_born[生没年],
MATCH(K20,[1]!_born[作],0)),"")</f>
        <v/>
      </c>
      <c r="O20" s="13" t="s" ph="1">
        <v>3676</v>
      </c>
      <c r="T20" s="13" t="s" ph="1">
        <v>3675</v>
      </c>
      <c r="W20" s="17" ph="1">
        <v>0</v>
      </c>
    </row>
    <row r="21" spans="1:25" ht="22.5" customHeight="1" ph="1" x14ac:dyDescent="0.35">
      <c r="C21" s="13" t="s" ph="1">
        <v>25</v>
      </c>
      <c r="G21" s="13" t="s" ph="1">
        <v>469</v>
      </c>
      <c r="H21" s="13" t="s" ph="1">
        <v>61</v>
      </c>
      <c r="I21" s="14" t="s" ph="1">
        <v>3677</v>
      </c>
      <c r="J21" s="13" t="s" ph="1">
        <v>3671</v>
      </c>
      <c r="M21" s="14" t="str" ph="1">
        <f>IFERROR(INDEX([1]!_born[生没年],
MATCH(I21,[1]!_born[作],0)),"")</f>
        <v/>
      </c>
      <c r="N21" s="14" t="str" ph="1">
        <f>IFERROR(INDEX([1]!_born[生没年],
MATCH(K21,[1]!_born[作],0)),"")</f>
        <v/>
      </c>
      <c r="O21" s="15" t="s" ph="1">
        <v>3678</v>
      </c>
      <c r="R21" s="16" t="s" ph="1">
        <v>3240</v>
      </c>
      <c r="S21" s="13" t="s" ph="1">
        <v>3679</v>
      </c>
      <c r="T21" s="13" t="s" ph="1">
        <v>3680</v>
      </c>
      <c r="U21" s="16" ph="1">
        <v>44393</v>
      </c>
      <c r="V21" s="17" t="s" ph="1">
        <v>1225</v>
      </c>
      <c r="W21" s="17" ph="1">
        <v>0</v>
      </c>
      <c r="X21" s="13" t="s" ph="1">
        <v>3681</v>
      </c>
      <c r="Y21" s="13" t="s" ph="1">
        <v>3682</v>
      </c>
    </row>
    <row r="22" spans="1:25" ht="22.5" customHeight="1" ph="1" x14ac:dyDescent="0.35">
      <c r="A22" s="106" t="s" ph="1">
        <v>3241</v>
      </c>
      <c r="C22" s="13" t="s" ph="1">
        <v>25</v>
      </c>
      <c r="G22" s="13" t="s" ph="1">
        <v>469</v>
      </c>
      <c r="H22" s="13" t="s" ph="1">
        <v>43</v>
      </c>
      <c r="I22" s="14" t="s" ph="1">
        <v>3683</v>
      </c>
      <c r="J22" s="14" ph="1"/>
      <c r="K22" s="14" ph="1"/>
      <c r="L22" s="14" ph="1"/>
      <c r="M22" s="14" t="str" ph="1">
        <f>IFERROR(INDEX([1]!_born[生没年],
MATCH(I22,[1]!_born[作],0)),"")</f>
        <v/>
      </c>
      <c r="N22" s="14" t="str" ph="1">
        <f>IFERROR(INDEX([1]!_born[生没年],
MATCH(K22,[1]!_born[作],0)),"")</f>
        <v/>
      </c>
      <c r="O22" s="15" t="s" ph="1">
        <v>3684</v>
      </c>
      <c r="R22" s="16" t="s" ph="1">
        <v>3242</v>
      </c>
      <c r="S22" s="13" t="s" ph="1">
        <v>3685</v>
      </c>
      <c r="T22" s="14" t="s" ph="1">
        <v>3683</v>
      </c>
      <c r="U22" s="16" ph="1">
        <v>44393</v>
      </c>
      <c r="V22" s="17" ph="1">
        <v>570</v>
      </c>
      <c r="W22" s="17" ph="1">
        <v>570</v>
      </c>
      <c r="X22" s="13" t="s" ph="1">
        <v>3681</v>
      </c>
    </row>
    <row r="23" spans="1:25" ht="22.5" customHeight="1" ph="1" x14ac:dyDescent="0.35">
      <c r="A23" s="106" t="s" ph="1">
        <v>3250</v>
      </c>
      <c r="C23" s="13" t="s" ph="1">
        <v>25</v>
      </c>
      <c r="G23" s="13" t="s" ph="1">
        <v>469</v>
      </c>
      <c r="H23" s="13" t="s" ph="1">
        <v>1324</v>
      </c>
      <c r="I23" s="14" t="s" ph="1">
        <v>3683</v>
      </c>
      <c r="J23" s="14" ph="1"/>
      <c r="K23" s="14" ph="1"/>
      <c r="L23" s="14" ph="1"/>
      <c r="M23" s="14" t="str" ph="1">
        <f>IFERROR(INDEX([1]!_born[生没年],
MATCH(I23,[1]!_born[作],0)),"")</f>
        <v/>
      </c>
      <c r="N23" s="14" t="str" ph="1">
        <f>IFERROR(INDEX([1]!_born[生没年],
MATCH(K23,[1]!_born[作],0)),"")</f>
        <v/>
      </c>
      <c r="O23" s="13" t="s" ph="1">
        <v>3686</v>
      </c>
      <c r="R23" s="16" t="s" ph="1">
        <v>3251</v>
      </c>
      <c r="S23" s="13" t="s" ph="1">
        <v>3687</v>
      </c>
      <c r="T23" s="14" t="s" ph="1">
        <v>3683</v>
      </c>
      <c r="U23" s="16" ph="1">
        <v>45263</v>
      </c>
      <c r="V23" s="17" ph="1">
        <v>570</v>
      </c>
      <c r="W23" s="17" ph="1">
        <v>570</v>
      </c>
      <c r="X23" s="13" t="s" ph="1">
        <v>3681</v>
      </c>
    </row>
    <row r="24" spans="1:25" ht="22.5" customHeight="1" ph="1" x14ac:dyDescent="0.35">
      <c r="A24" s="106" t="s" ph="1">
        <v>3248</v>
      </c>
      <c r="C24" s="13" t="s" ph="1">
        <v>25</v>
      </c>
      <c r="G24" s="13" t="s" ph="1">
        <v>469</v>
      </c>
      <c r="H24" s="13" t="s" ph="1">
        <v>43</v>
      </c>
      <c r="I24" s="14" t="s" ph="1">
        <v>3683</v>
      </c>
      <c r="J24" s="14" ph="1"/>
      <c r="K24" s="14" ph="1"/>
      <c r="L24" s="14" ph="1"/>
      <c r="M24" s="14" t="str" ph="1">
        <f>IFERROR(INDEX([1]!_born[生没年],
MATCH(I24,[1]!_born[作],0)),"")</f>
        <v/>
      </c>
      <c r="N24" s="14" t="str" ph="1">
        <f>IFERROR(INDEX([1]!_born[生没年],
MATCH(K24,[1]!_born[作],0)),"")</f>
        <v/>
      </c>
      <c r="O24" s="13" t="s" ph="1">
        <v>3688</v>
      </c>
      <c r="R24" s="16" t="s" ph="1">
        <v>3249</v>
      </c>
      <c r="S24" s="13" t="s" ph="1">
        <v>3689</v>
      </c>
      <c r="T24" s="14" t="s" ph="1">
        <v>3683</v>
      </c>
      <c r="U24" s="16" ph="1">
        <v>45263</v>
      </c>
      <c r="V24" s="17" ph="1">
        <v>570</v>
      </c>
      <c r="W24" s="17" ph="1">
        <v>570</v>
      </c>
      <c r="X24" s="13" t="s" ph="1">
        <v>3681</v>
      </c>
    </row>
    <row r="25" spans="1:25" ht="22.5" customHeight="1" ph="1" x14ac:dyDescent="0.35">
      <c r="C25" s="13" t="s" ph="1">
        <v>391</v>
      </c>
      <c r="G25" s="13" t="s" ph="1">
        <v>469</v>
      </c>
      <c r="H25" s="13" t="s" ph="1">
        <v>61</v>
      </c>
      <c r="I25" s="14" t="s" ph="1">
        <v>3690</v>
      </c>
      <c r="J25" s="14" ph="1"/>
      <c r="K25" s="14" ph="1"/>
      <c r="L25" s="14" ph="1"/>
      <c r="M25" s="14" t="str" ph="1">
        <f>IFERROR(INDEX([1]!_born[生没年],
MATCH(I25,[1]!_born[作],0)),"")</f>
        <v/>
      </c>
      <c r="N25" s="14" t="str" ph="1">
        <f>IFERROR(INDEX([1]!_born[生没年],
MATCH(K25,[1]!_born[作],0)),"")</f>
        <v/>
      </c>
      <c r="O25" s="13" t="s" ph="1">
        <v>3691</v>
      </c>
      <c r="R25" s="16" t="s" ph="1">
        <v>3193</v>
      </c>
      <c r="S25" s="13" t="s" ph="1">
        <v>3256</v>
      </c>
      <c r="T25" s="14" t="s" ph="1">
        <v>3683</v>
      </c>
      <c r="U25" s="16" t="s" ph="1">
        <v>3257</v>
      </c>
      <c r="V25" s="17" ph="1">
        <v>0</v>
      </c>
      <c r="W25" s="17" ph="1">
        <v>0</v>
      </c>
      <c r="X25" s="13" t="s" ph="1">
        <v>3692</v>
      </c>
    </row>
    <row r="26" spans="1:25" ht="22.5" customHeight="1" ph="1" x14ac:dyDescent="0.35">
      <c r="A26" s="106" t="s" ph="1">
        <v>3243</v>
      </c>
      <c r="C26" s="13" t="s" ph="1">
        <v>25</v>
      </c>
      <c r="G26" s="13" t="s" ph="1">
        <v>469</v>
      </c>
      <c r="H26" s="13" t="s" ph="1">
        <v>43</v>
      </c>
      <c r="I26" s="14" t="s" ph="1">
        <v>3683</v>
      </c>
      <c r="J26" s="14" ph="1"/>
      <c r="K26" s="14" ph="1"/>
      <c r="L26" s="14" ph="1"/>
      <c r="M26" s="14" t="str" ph="1">
        <f>IFERROR(INDEX([1]!_born[生没年],
MATCH(I26,[1]!_born[作],0)),"")</f>
        <v/>
      </c>
      <c r="N26" s="14" t="str" ph="1">
        <f>IFERROR(INDEX([1]!_born[生没年],
MATCH(K26,[1]!_born[作],0)),"")</f>
        <v/>
      </c>
      <c r="O26" s="15" t="s" ph="1">
        <v>3693</v>
      </c>
      <c r="R26" s="16" ph="1">
        <v>41913</v>
      </c>
      <c r="T26" s="14" t="s" ph="1">
        <v>3683</v>
      </c>
      <c r="U26" s="16" ph="1">
        <v>45043</v>
      </c>
      <c r="V26" s="17" ph="1">
        <v>295</v>
      </c>
      <c r="W26" s="17" ph="1">
        <v>295</v>
      </c>
      <c r="X26" s="13" t="s" ph="1">
        <v>3681</v>
      </c>
    </row>
    <row r="27" spans="1:25" ht="22.5" customHeight="1" ph="1" x14ac:dyDescent="0.35">
      <c r="C27" s="13" t="s" ph="1">
        <v>391</v>
      </c>
      <c r="G27" s="13" t="s" ph="1">
        <v>469</v>
      </c>
      <c r="H27" s="13" t="s" ph="1">
        <v>43</v>
      </c>
      <c r="I27" s="14" t="s" ph="1">
        <v>3694</v>
      </c>
      <c r="J27" s="14" ph="1"/>
      <c r="K27" s="14" ph="1"/>
      <c r="L27" s="14" ph="1"/>
      <c r="M27" s="14" t="str" ph="1">
        <f>IFERROR(INDEX([1]!_born[生没年],
MATCH(I27,[1]!_born[作],0)),"")</f>
        <v/>
      </c>
      <c r="N27" s="14" t="str" ph="1">
        <f>IFERROR(INDEX([1]!_born[生没年],
MATCH(K27,[1]!_born[作],0)),"")</f>
        <v/>
      </c>
      <c r="O27" s="13" t="s" ph="1">
        <v>3695</v>
      </c>
      <c r="R27" s="16" t="s" ph="1">
        <v>3252</v>
      </c>
      <c r="T27" s="14" t="s" ph="1">
        <v>3694</v>
      </c>
      <c r="U27" s="16" ph="1">
        <v>45263</v>
      </c>
      <c r="V27" s="17" ph="1">
        <v>0</v>
      </c>
      <c r="W27" s="17" ph="1">
        <v>0</v>
      </c>
      <c r="X27" s="13" t="s" ph="1">
        <v>3681</v>
      </c>
    </row>
    <row r="28" spans="1:25" ht="22.5" customHeight="1" ph="1" x14ac:dyDescent="0.35">
      <c r="C28" s="13" t="s" ph="1">
        <v>391</v>
      </c>
      <c r="G28" s="13" t="s" ph="1">
        <v>130</v>
      </c>
      <c r="H28" s="13" t="s" ph="1">
        <v>43</v>
      </c>
      <c r="I28" s="13" t="s" ph="1">
        <v>3696</v>
      </c>
      <c r="J28" s="13" t="s" ph="1">
        <v>3697</v>
      </c>
      <c r="M28" s="14" t="str" ph="1">
        <f>IFERROR(INDEX([1]!_born[生没年],
MATCH(I28,[1]!_born[作],0)),"")</f>
        <v/>
      </c>
      <c r="N28" s="14" t="str" ph="1">
        <f>IFERROR(INDEX([1]!_born[生没年],
MATCH(K28,[1]!_born[作],0)),"")</f>
        <v/>
      </c>
      <c r="O28" s="13" t="s" ph="1">
        <v>3698</v>
      </c>
      <c r="T28" s="13" t="s" ph="1">
        <v>3698</v>
      </c>
      <c r="U28" s="16" ph="1">
        <v>45263</v>
      </c>
      <c r="V28" s="17" ph="1">
        <v>0</v>
      </c>
      <c r="W28" s="17" ph="1">
        <v>0</v>
      </c>
      <c r="X28" s="13" t="s" ph="1">
        <v>3698</v>
      </c>
    </row>
    <row r="29" spans="1:25" ht="22.5" customHeight="1" ph="1" x14ac:dyDescent="0.35">
      <c r="C29" s="13" t="s" ph="1">
        <v>391</v>
      </c>
      <c r="G29" s="13" t="s" ph="1">
        <v>130</v>
      </c>
      <c r="H29" s="13" t="s" ph="1">
        <v>43</v>
      </c>
      <c r="I29" s="13" t="s" ph="1">
        <v>3699</v>
      </c>
      <c r="J29" s="13" t="s" ph="1">
        <v>3700</v>
      </c>
      <c r="M29" s="14" t="str" ph="1">
        <f>IFERROR(INDEX([1]!_born[生没年],
MATCH(I29,[1]!_born[作],0)),"")</f>
        <v/>
      </c>
      <c r="N29" s="14" t="str" ph="1">
        <f>IFERROR(INDEX([1]!_born[生没年],
MATCH(K29,[1]!_born[作],0)),"")</f>
        <v/>
      </c>
      <c r="O29" s="13" t="s" ph="1">
        <v>3699</v>
      </c>
      <c r="T29" s="13" t="s" ph="1">
        <v>3699</v>
      </c>
      <c r="U29" s="16" ph="1">
        <v>45263</v>
      </c>
      <c r="V29" s="17" ph="1">
        <v>0</v>
      </c>
      <c r="W29" s="17" ph="1">
        <v>0</v>
      </c>
      <c r="X29" s="13" t="s" ph="1">
        <v>3699</v>
      </c>
    </row>
    <row r="30" spans="1:25" ht="22.5" customHeight="1" ph="1" x14ac:dyDescent="0.35">
      <c r="A30" s="106" t="s" ph="1">
        <v>3246</v>
      </c>
      <c r="B30" s="5" t="s" ph="1">
        <v>83</v>
      </c>
      <c r="C30" s="13" t="s" ph="1">
        <v>25</v>
      </c>
      <c r="G30" s="13" t="s" ph="1">
        <v>130</v>
      </c>
      <c r="H30" s="13" t="s" ph="1">
        <v>43</v>
      </c>
      <c r="I30" s="13" t="s" ph="1">
        <v>3701</v>
      </c>
      <c r="J30" s="13" t="s" ph="1">
        <v>3616</v>
      </c>
      <c r="M30" s="14" t="str" ph="1">
        <f>IFERROR(INDEX([1]!_born[生没年],
MATCH(I30,[1]!_born[作],0)),"")</f>
        <v/>
      </c>
      <c r="N30" s="14" t="str" ph="1">
        <f>IFERROR(INDEX([1]!_born[生没年],
MATCH(K30,[1]!_born[作],0)),"")</f>
        <v/>
      </c>
      <c r="O30" s="13" t="s" ph="1">
        <v>3702</v>
      </c>
      <c r="R30" s="16" ph="1">
        <v>43702</v>
      </c>
      <c r="S30" s="13" t="s" ph="1">
        <v>3247</v>
      </c>
      <c r="T30" s="13" t="s" ph="1">
        <v>3703</v>
      </c>
      <c r="U30" s="16" ph="1">
        <v>45249</v>
      </c>
      <c r="V30" s="17" ph="1">
        <f>952*1.1</f>
        <v>1047.2</v>
      </c>
      <c r="W30" s="17" ph="1">
        <f>952*1.1</f>
        <v>1047.2</v>
      </c>
      <c r="X30" s="13" t="s" ph="1">
        <v>3701</v>
      </c>
    </row>
    <row r="31" spans="1:25" ht="22.5" customHeight="1" ph="1" x14ac:dyDescent="0.35">
      <c r="C31" s="13" t="s" ph="1">
        <v>391</v>
      </c>
      <c r="G31" s="13" t="s" ph="1">
        <v>130</v>
      </c>
      <c r="H31" s="13" t="s" ph="1">
        <v>43</v>
      </c>
      <c r="I31" s="13" t="s" ph="1">
        <v>3701</v>
      </c>
      <c r="J31" s="13" t="s" ph="1">
        <v>3616</v>
      </c>
      <c r="M31" s="14" t="str" ph="1">
        <f>IFERROR(INDEX([1]!_born[生没年],
MATCH(I31,[1]!_born[作],0)),"")</f>
        <v/>
      </c>
      <c r="N31" s="14" t="str" ph="1">
        <f>IFERROR(INDEX([1]!_born[生没年],
MATCH(K31,[1]!_born[作],0)),"")</f>
        <v/>
      </c>
      <c r="O31" s="13" t="s" ph="1">
        <v>3704</v>
      </c>
      <c r="R31" s="16" ph="1">
        <v>45192</v>
      </c>
      <c r="T31" s="13" t="s" ph="1">
        <v>3701</v>
      </c>
      <c r="U31" s="16" ph="1">
        <v>45249</v>
      </c>
      <c r="V31" s="17" ph="1">
        <v>1000</v>
      </c>
      <c r="W31" s="17" ph="1">
        <v>1000</v>
      </c>
      <c r="X31" s="13" t="s" ph="1">
        <v>3701</v>
      </c>
    </row>
    <row r="32" spans="1:25" ht="22.5" customHeight="1" ph="1" x14ac:dyDescent="0.35">
      <c r="C32" s="13" t="s" ph="1">
        <v>391</v>
      </c>
      <c r="G32" s="13" t="s" ph="1">
        <v>130</v>
      </c>
      <c r="H32" s="13" t="s" ph="1">
        <v>43</v>
      </c>
      <c r="I32" s="13" t="s" ph="1">
        <v>3701</v>
      </c>
      <c r="J32" s="13" t="s" ph="1">
        <v>3616</v>
      </c>
      <c r="M32" s="14" t="str" ph="1">
        <f>IFERROR(INDEX([1]!_born[生没年],
MATCH(I32,[1]!_born[作],0)),"")</f>
        <v/>
      </c>
      <c r="N32" s="14" t="str" ph="1">
        <f>IFERROR(INDEX([1]!_born[生没年],
MATCH(K32,[1]!_born[作],0)),"")</f>
        <v/>
      </c>
      <c r="O32" s="13" t="s" ph="1">
        <v>3705</v>
      </c>
      <c r="T32" s="13" t="s" ph="1">
        <v>3701</v>
      </c>
      <c r="U32" s="16" ph="1">
        <v>45249</v>
      </c>
      <c r="V32" s="17" ph="1">
        <v>1000</v>
      </c>
      <c r="W32" s="17" ph="1">
        <v>1000</v>
      </c>
      <c r="X32" s="13" t="s" ph="1">
        <v>3701</v>
      </c>
    </row>
    <row r="33" spans="1:25" ht="22.5" customHeight="1" ph="1" x14ac:dyDescent="0.35">
      <c r="C33" s="13" t="s" ph="1">
        <v>391</v>
      </c>
      <c r="G33" s="13" t="s" ph="1">
        <v>130</v>
      </c>
      <c r="H33" s="13" t="s" ph="1">
        <v>43</v>
      </c>
      <c r="I33" s="13" t="s" ph="1">
        <v>3706</v>
      </c>
      <c r="M33" s="14" t="str" ph="1">
        <f>IFERROR(INDEX([1]!_born[生没年],
MATCH(I33,[1]!_born[作],0)),"")</f>
        <v/>
      </c>
      <c r="N33" s="14" t="str" ph="1">
        <f>IFERROR(INDEX([1]!_born[生没年],
MATCH(K33,[1]!_born[作],0)),"")</f>
        <v/>
      </c>
      <c r="O33" s="13" t="s" ph="1">
        <v>3707</v>
      </c>
      <c r="T33" s="13" t="s" ph="1">
        <v>3708</v>
      </c>
      <c r="U33" s="16" ph="1">
        <v>45249</v>
      </c>
      <c r="V33" s="17" ph="1">
        <v>0</v>
      </c>
      <c r="W33" s="17" ph="1">
        <v>0</v>
      </c>
      <c r="X33" s="13" t="s" ph="1">
        <v>3708</v>
      </c>
    </row>
    <row r="34" spans="1:25" ht="22.5" customHeight="1" ph="1" x14ac:dyDescent="0.35">
      <c r="C34" s="13" t="s" ph="1">
        <v>391</v>
      </c>
      <c r="G34" s="13" t="s" ph="1">
        <v>130</v>
      </c>
      <c r="H34" s="13" t="s" ph="1">
        <v>43</v>
      </c>
      <c r="I34" s="13" t="s" ph="1">
        <v>3701</v>
      </c>
      <c r="M34" s="14" t="str" ph="1">
        <f>IFERROR(INDEX([1]!_born[生没年],
MATCH(I34,[1]!_born[作],0)),"")</f>
        <v/>
      </c>
      <c r="N34" s="14" t="str" ph="1">
        <f>IFERROR(INDEX([1]!_born[生没年],
MATCH(K34,[1]!_born[作],0)),"")</f>
        <v/>
      </c>
      <c r="O34" s="13" t="s" ph="1">
        <v>3701</v>
      </c>
      <c r="T34" s="13" t="s" ph="1">
        <v>3701</v>
      </c>
      <c r="U34" s="16" ph="1">
        <v>45249</v>
      </c>
      <c r="V34" s="17" ph="1">
        <v>0</v>
      </c>
      <c r="W34" s="17" ph="1">
        <v>0</v>
      </c>
      <c r="X34" s="13" t="s" ph="1">
        <v>3701</v>
      </c>
    </row>
    <row r="35" spans="1:25" ht="22.5" customHeight="1" ph="1" x14ac:dyDescent="0.35">
      <c r="C35" s="13" t="s" ph="1">
        <v>391</v>
      </c>
      <c r="G35" s="13" t="s" ph="1">
        <v>130</v>
      </c>
      <c r="H35" s="13" t="s" ph="1">
        <v>43</v>
      </c>
      <c r="I35" s="13" t="s" ph="1">
        <v>3701</v>
      </c>
      <c r="M35" s="14" t="str" ph="1">
        <f>IFERROR(INDEX([1]!_born[生没年],
MATCH(I35,[1]!_born[作],0)),"")</f>
        <v/>
      </c>
      <c r="N35" s="14" t="str" ph="1">
        <f>IFERROR(INDEX([1]!_born[生没年],
MATCH(K35,[1]!_born[作],0)),"")</f>
        <v/>
      </c>
      <c r="O35" s="13" t="s" ph="1">
        <v>3709</v>
      </c>
      <c r="R35" s="16" ph="1">
        <v>43179</v>
      </c>
      <c r="T35" s="13" t="s" ph="1">
        <v>3701</v>
      </c>
      <c r="U35" s="16" ph="1">
        <v>45249</v>
      </c>
      <c r="V35" s="17" ph="1">
        <v>20</v>
      </c>
      <c r="W35" s="17" ph="1">
        <v>20</v>
      </c>
      <c r="X35" s="13" t="s" ph="1">
        <v>3701</v>
      </c>
    </row>
    <row r="36" spans="1:25" ht="22.5" customHeight="1" ph="1" x14ac:dyDescent="0.35">
      <c r="C36" s="13" t="s" ph="1">
        <v>391</v>
      </c>
      <c r="G36" s="13" t="s" ph="1">
        <v>130</v>
      </c>
      <c r="H36" s="13" t="s" ph="1">
        <v>43</v>
      </c>
      <c r="I36" s="13" t="s" ph="1">
        <v>3701</v>
      </c>
      <c r="M36" s="14" t="str" ph="1">
        <f>IFERROR(INDEX([1]!_born[生没年],
MATCH(I36,[1]!_born[作],0)),"")</f>
        <v/>
      </c>
      <c r="N36" s="14" t="str" ph="1">
        <f>IFERROR(INDEX([1]!_born[生没年],
MATCH(K36,[1]!_born[作],0)),"")</f>
        <v/>
      </c>
      <c r="O36" s="13" t="s" ph="1">
        <v>3710</v>
      </c>
      <c r="R36" s="16" ph="1">
        <v>41830</v>
      </c>
      <c r="T36" s="13" t="s" ph="1">
        <v>3701</v>
      </c>
      <c r="U36" s="16" ph="1">
        <v>45249</v>
      </c>
      <c r="V36" s="17" ph="1">
        <v>20</v>
      </c>
      <c r="W36" s="17" ph="1">
        <v>20</v>
      </c>
      <c r="X36" s="13" t="s" ph="1">
        <v>3701</v>
      </c>
    </row>
    <row r="37" spans="1:25" ht="22.5" customHeight="1" ph="1" x14ac:dyDescent="0.35">
      <c r="C37" s="13" t="s" ph="1">
        <v>25</v>
      </c>
      <c r="G37" s="13" t="s" ph="1">
        <v>469</v>
      </c>
      <c r="H37" s="13" t="s" ph="1">
        <v>61</v>
      </c>
      <c r="I37" s="13" t="s" ph="1">
        <v>3711</v>
      </c>
      <c r="M37" s="14" t="str" ph="1">
        <f>IFERROR(INDEX([1]!_born[生没年],
MATCH(I37,[1]!_born[作],0)),"")</f>
        <v/>
      </c>
      <c r="N37" s="14" t="str" ph="1">
        <f>IFERROR(INDEX([1]!_born[生没年],
MATCH(K37,[1]!_born[作],0)),"")</f>
        <v/>
      </c>
      <c r="O37" s="15" t="s" ph="1">
        <v>3712</v>
      </c>
    </row>
    <row r="38" spans="1:25" ht="22.5" customHeight="1" ph="1" x14ac:dyDescent="0.35">
      <c r="C38" s="13" t="s" ph="1">
        <v>25</v>
      </c>
      <c r="G38" s="13" t="s" ph="1">
        <v>46</v>
      </c>
      <c r="H38" s="13" t="s" ph="1">
        <v>61</v>
      </c>
      <c r="I38" s="13" t="s" ph="1">
        <v>3711</v>
      </c>
      <c r="M38" s="14" t="str" ph="1">
        <f>IFERROR(INDEX([1]!_born[生没年],
MATCH(I38,[1]!_born[作],0)),"")</f>
        <v/>
      </c>
      <c r="N38" s="14" t="str" ph="1">
        <f>IFERROR(INDEX([1]!_born[生没年],
MATCH(K38,[1]!_born[作],0)),"")</f>
        <v/>
      </c>
      <c r="O38" s="13" t="s" ph="1">
        <v>3713</v>
      </c>
      <c r="T38" s="13" t="s" ph="1">
        <v>3714</v>
      </c>
      <c r="V38" s="17" ph="1">
        <v>430</v>
      </c>
      <c r="W38" s="17" ph="1">
        <v>800</v>
      </c>
    </row>
    <row r="39" spans="1:25" ht="22.5" customHeight="1" ph="1" x14ac:dyDescent="0.35">
      <c r="B39" s="126" ph="1"/>
      <c r="C39" s="13" t="s" ph="1">
        <v>25</v>
      </c>
      <c r="G39" s="13" t="s" ph="1">
        <v>46</v>
      </c>
      <c r="H39" s="13" t="s" ph="1">
        <v>61</v>
      </c>
      <c r="I39" s="13" t="s" ph="1">
        <v>3715</v>
      </c>
      <c r="M39" s="14" t="str" ph="1">
        <f>IFERROR(INDEX([1]!_born[生没年],
MATCH(I39,[1]!_born[作],0)),"")</f>
        <v/>
      </c>
      <c r="N39" s="14" t="str" ph="1">
        <f>IFERROR(INDEX([1]!_born[生没年],
MATCH(K39,[1]!_born[作],0)),"")</f>
        <v/>
      </c>
      <c r="O39" s="13" t="s" ph="1">
        <v>3716</v>
      </c>
      <c r="R39" s="16" t="s" ph="1">
        <v>645</v>
      </c>
      <c r="T39" s="13" t="s" ph="1">
        <v>3717</v>
      </c>
      <c r="U39" s="16" ph="1">
        <v>38093</v>
      </c>
      <c r="V39" s="17" ph="1">
        <v>850</v>
      </c>
      <c r="W39" s="17" ph="1">
        <f>980*1.05</f>
        <v>1029</v>
      </c>
      <c r="X39" s="13" t="s" ph="1">
        <v>3718</v>
      </c>
      <c r="Y39" s="13" t="s" ph="1">
        <v>3719</v>
      </c>
    </row>
    <row r="40" spans="1:25" s="19" customFormat="1" ht="22.5" customHeight="1" ph="1" x14ac:dyDescent="0.35">
      <c r="A40" s="107" ph="1"/>
      <c r="B40" s="18" ph="1"/>
      <c r="C40" s="19" t="s" ph="1">
        <v>25</v>
      </c>
      <c r="D40" s="124" ph="1"/>
      <c r="E40" s="124" ph="1"/>
      <c r="G40" s="19" t="s" ph="1">
        <v>46</v>
      </c>
      <c r="H40" s="19" t="s" ph="1">
        <v>61</v>
      </c>
      <c r="I40" s="19" t="s" ph="1">
        <v>3720</v>
      </c>
      <c r="J40" s="19" t="s" ph="1">
        <v>3721</v>
      </c>
      <c r="M40" s="14" t="str" ph="1">
        <f>IFERROR(INDEX([1]!_born[生没年],
MATCH(I40,[1]!_born[作],0)),"")</f>
        <v/>
      </c>
      <c r="N40" s="27" t="str" ph="1">
        <f>IFERROR(INDEX([1]!_born[生没年],
MATCH(K40,[1]!_born[作],0)),"")</f>
        <v/>
      </c>
      <c r="O40" s="19" t="s" ph="1">
        <v>3722</v>
      </c>
      <c r="R40" s="20" t="s" ph="1">
        <v>646</v>
      </c>
      <c r="T40" s="19" t="s" ph="1">
        <v>3723</v>
      </c>
      <c r="U40" s="20" ph="1">
        <v>38093</v>
      </c>
      <c r="V40" s="21" ph="1">
        <v>960</v>
      </c>
      <c r="W40" s="21" ph="1">
        <f>790*1.05</f>
        <v>829.5</v>
      </c>
      <c r="X40" s="19" t="s" ph="1">
        <v>3724</v>
      </c>
      <c r="Y40" s="19" t="s" ph="1">
        <v>3725</v>
      </c>
    </row>
    <row r="41" spans="1:25" ht="22.5" customHeight="1" ph="1" x14ac:dyDescent="0.35">
      <c r="C41" s="13" t="s" ph="1">
        <v>25</v>
      </c>
      <c r="D41" s="123" ph="1">
        <v>1</v>
      </c>
      <c r="E41" s="123" ph="1">
        <v>4</v>
      </c>
      <c r="G41" s="13" t="s" ph="1">
        <v>46</v>
      </c>
      <c r="H41" s="13" t="s" ph="1">
        <v>61</v>
      </c>
      <c r="I41" s="13" t="s" ph="1">
        <v>3726</v>
      </c>
      <c r="M41" s="14" t="str" ph="1">
        <f>IFERROR(INDEX([1]!_born[生没年],
MATCH(I41,[1]!_born[作],0)),"")</f>
        <v/>
      </c>
      <c r="N41" s="14" t="str" ph="1">
        <f>IFERROR(INDEX([1]!_born[生没年],
MATCH(K41,[1]!_born[作],0)),"")</f>
        <v/>
      </c>
      <c r="O41" s="13" t="s" ph="1">
        <v>3727</v>
      </c>
      <c r="R41" s="16" t="s" ph="1">
        <v>441</v>
      </c>
      <c r="T41" s="13" t="s" ph="1">
        <v>3728</v>
      </c>
      <c r="U41" s="16" ph="1">
        <v>38274</v>
      </c>
      <c r="V41" s="17" ph="1">
        <v>1500</v>
      </c>
      <c r="W41" s="17" ph="1">
        <f>2500/4</f>
        <v>625</v>
      </c>
      <c r="X41" s="13" t="s" ph="1">
        <v>643</v>
      </c>
      <c r="Y41" s="13" t="s" ph="1">
        <v>3729</v>
      </c>
    </row>
    <row r="42" spans="1:25" ht="22.5" customHeight="1" ph="1" x14ac:dyDescent="0.35">
      <c r="C42" s="13" t="s" ph="1">
        <v>25</v>
      </c>
      <c r="D42" s="123" ph="1">
        <v>2</v>
      </c>
      <c r="E42" s="123" ph="1">
        <v>4</v>
      </c>
      <c r="G42" s="13" t="s" ph="1">
        <v>46</v>
      </c>
      <c r="H42" s="13" t="s" ph="1">
        <v>61</v>
      </c>
      <c r="I42" s="13" t="s" ph="1">
        <v>3730</v>
      </c>
      <c r="M42" s="14" t="str" ph="1">
        <f>IFERROR(INDEX([1]!_born[生没年],
MATCH(I42,[1]!_born[作],0)),"")</f>
        <v/>
      </c>
      <c r="N42" s="14" t="str" ph="1">
        <f>IFERROR(INDEX([1]!_born[生没年],
MATCH(K42,[1]!_born[作],0)),"")</f>
        <v/>
      </c>
      <c r="O42" s="13" t="s" ph="1">
        <v>3731</v>
      </c>
      <c r="R42" s="16" t="s" ph="1">
        <v>441</v>
      </c>
      <c r="T42" s="13" t="s" ph="1">
        <v>3728</v>
      </c>
      <c r="U42" s="16" ph="1">
        <v>38274</v>
      </c>
      <c r="V42" s="17" ph="1">
        <v>1500</v>
      </c>
      <c r="W42" s="17" ph="1">
        <f>2500/4</f>
        <v>625</v>
      </c>
      <c r="X42" s="13" t="s" ph="1">
        <v>643</v>
      </c>
      <c r="Y42" s="13" t="s" ph="1">
        <v>3729</v>
      </c>
    </row>
    <row r="43" spans="1:25" ht="22.5" customHeight="1" ph="1" x14ac:dyDescent="0.35">
      <c r="C43" s="13" t="s" ph="1">
        <v>25</v>
      </c>
      <c r="D43" s="123" ph="1">
        <v>3</v>
      </c>
      <c r="E43" s="123" ph="1">
        <v>4</v>
      </c>
      <c r="G43" s="13" t="s" ph="1">
        <v>46</v>
      </c>
      <c r="H43" s="13" t="s" ph="1">
        <v>61</v>
      </c>
      <c r="I43" s="13" t="s" ph="1">
        <v>3732</v>
      </c>
      <c r="M43" s="14" t="str" ph="1">
        <f>IFERROR(INDEX([1]!_born[生没年],
MATCH(I43,[1]!_born[作],0)),"")</f>
        <v/>
      </c>
      <c r="N43" s="14" t="str" ph="1">
        <f>IFERROR(INDEX([1]!_born[生没年],
MATCH(K43,[1]!_born[作],0)),"")</f>
        <v/>
      </c>
      <c r="O43" s="13" t="s" ph="1">
        <v>3733</v>
      </c>
      <c r="R43" s="16" t="s" ph="1">
        <v>441</v>
      </c>
      <c r="T43" s="13" t="s" ph="1">
        <v>3728</v>
      </c>
      <c r="U43" s="16" ph="1">
        <v>38274</v>
      </c>
      <c r="V43" s="17" ph="1">
        <v>1500</v>
      </c>
      <c r="W43" s="17" ph="1">
        <f>2500/4</f>
        <v>625</v>
      </c>
      <c r="X43" s="13" t="s" ph="1">
        <v>643</v>
      </c>
      <c r="Y43" s="13" t="s" ph="1">
        <v>3729</v>
      </c>
    </row>
    <row r="44" spans="1:25" ht="22.5" customHeight="1" ph="1" x14ac:dyDescent="0.35">
      <c r="C44" s="13" t="s" ph="1">
        <v>25</v>
      </c>
      <c r="D44" s="123" ph="1">
        <v>4</v>
      </c>
      <c r="E44" s="123" ph="1">
        <v>4</v>
      </c>
      <c r="G44" s="13" t="s" ph="1">
        <v>46</v>
      </c>
      <c r="H44" s="13" t="s" ph="1">
        <v>61</v>
      </c>
      <c r="I44" s="13" t="s" ph="1">
        <v>3734</v>
      </c>
      <c r="M44" s="14" t="str" ph="1">
        <f>IFERROR(INDEX([1]!_born[生没年],
MATCH(I44,[1]!_born[作],0)),"")</f>
        <v/>
      </c>
      <c r="N44" s="14" t="str" ph="1">
        <f>IFERROR(INDEX([1]!_born[生没年],
MATCH(K44,[1]!_born[作],0)),"")</f>
        <v/>
      </c>
      <c r="O44" s="13" t="s" ph="1">
        <v>3735</v>
      </c>
      <c r="R44" s="16" t="s" ph="1">
        <v>441</v>
      </c>
      <c r="T44" s="13" t="s" ph="1">
        <v>3728</v>
      </c>
      <c r="U44" s="16" ph="1">
        <v>38274</v>
      </c>
      <c r="V44" s="17" ph="1">
        <v>1500</v>
      </c>
      <c r="W44" s="17" ph="1">
        <f>2500/4</f>
        <v>625</v>
      </c>
      <c r="X44" s="13" t="s" ph="1">
        <v>643</v>
      </c>
      <c r="Y44" s="13" t="s" ph="1">
        <v>3729</v>
      </c>
    </row>
    <row r="45" spans="1:25" ht="22.5" customHeight="1" ph="1" x14ac:dyDescent="0.35">
      <c r="A45" s="106" t="s" ph="1">
        <v>588</v>
      </c>
      <c r="B45" s="5" t="s" ph="1">
        <v>589</v>
      </c>
      <c r="C45" s="13" t="s" ph="1">
        <v>25</v>
      </c>
      <c r="G45" s="13" t="s" ph="1">
        <v>46</v>
      </c>
      <c r="H45" s="13" t="s" ph="1">
        <v>61</v>
      </c>
      <c r="I45" s="13" t="s" ph="1">
        <v>3736</v>
      </c>
      <c r="K45" s="13" t="s" ph="1">
        <v>3737</v>
      </c>
      <c r="L45" s="13" t="s" ph="1">
        <v>115</v>
      </c>
      <c r="M45" s="14" t="str" ph="1">
        <f>IFERROR(INDEX([1]!_born[生没年],
MATCH(I45,[1]!_born[作],0)),"")</f>
        <v/>
      </c>
      <c r="N45" s="14" t="str" ph="1">
        <f>IFERROR(INDEX([1]!_born[生没年],
MATCH(K45,[1]!_born[作],0)),"")</f>
        <v/>
      </c>
      <c r="O45" s="13" t="s" ph="1">
        <v>3738</v>
      </c>
      <c r="R45" s="16" t="s" ph="1">
        <v>647</v>
      </c>
      <c r="T45" s="13" t="s" ph="1">
        <v>3739</v>
      </c>
      <c r="U45" s="16" ph="1">
        <v>38274</v>
      </c>
      <c r="V45" s="17" ph="1">
        <f>2000*1.03</f>
        <v>2060</v>
      </c>
      <c r="W45" s="17" ph="1">
        <v>1200</v>
      </c>
      <c r="X45" s="13" t="s" ph="1">
        <v>643</v>
      </c>
    </row>
    <row r="46" spans="1:25" ht="22.5" customHeight="1" ph="1" x14ac:dyDescent="0.35">
      <c r="C46" s="13" t="s" ph="1">
        <v>25</v>
      </c>
      <c r="G46" s="13" t="s" ph="1">
        <v>46</v>
      </c>
      <c r="H46" s="13" t="s" ph="1">
        <v>61</v>
      </c>
      <c r="I46" s="13" t="s" ph="1">
        <v>3740</v>
      </c>
      <c r="M46" s="14" t="str" ph="1">
        <f>IFERROR(INDEX([1]!_born[生没年],
MATCH(I46,[1]!_born[作],0)),"")</f>
        <v/>
      </c>
      <c r="N46" s="14" t="str" ph="1">
        <f>IFERROR(INDEX([1]!_born[生没年],
MATCH(K46,[1]!_born[作],0)),"")</f>
        <v/>
      </c>
      <c r="O46" s="13" t="s" ph="1">
        <v>3741</v>
      </c>
      <c r="T46" s="13" t="s" ph="1">
        <v>3742</v>
      </c>
      <c r="U46" s="16" ph="1">
        <v>36471</v>
      </c>
      <c r="V46" s="17" ph="1">
        <f>2000*1.05</f>
        <v>2100</v>
      </c>
      <c r="Y46" s="13" t="s" ph="1">
        <v>3743</v>
      </c>
    </row>
    <row r="47" spans="1:25" ht="22.5" customHeight="1" ph="1" x14ac:dyDescent="0.35">
      <c r="C47" s="13" t="s" ph="1">
        <v>25</v>
      </c>
      <c r="G47" s="13" t="s" ph="1">
        <v>46</v>
      </c>
      <c r="H47" s="13" t="s" ph="1">
        <v>61</v>
      </c>
      <c r="I47" s="13" t="s" ph="1">
        <v>3744</v>
      </c>
      <c r="M47" s="14" t="str" ph="1">
        <f>IFERROR(INDEX([1]!_born[生没年],
MATCH(I47,[1]!_born[作],0)),"")</f>
        <v/>
      </c>
      <c r="N47" s="14" t="str" ph="1">
        <f>IFERROR(INDEX([1]!_born[生没年],
MATCH(K47,[1]!_born[作],0)),"")</f>
        <v/>
      </c>
      <c r="O47" s="13" t="s" ph="1">
        <v>3745</v>
      </c>
      <c r="T47" s="13" t="s" ph="1">
        <v>3746</v>
      </c>
    </row>
    <row r="48" spans="1:25" ht="22.5" customHeight="1" ph="1" x14ac:dyDescent="0.35">
      <c r="C48" s="13" t="s" ph="1">
        <v>25</v>
      </c>
      <c r="G48" s="13" t="s" ph="1">
        <v>46</v>
      </c>
      <c r="H48" s="13" t="s" ph="1">
        <v>61</v>
      </c>
      <c r="I48" s="13" t="s" ph="1">
        <v>3744</v>
      </c>
      <c r="M48" s="14" t="str" ph="1">
        <f>IFERROR(INDEX([1]!_born[生没年],
MATCH(I48,[1]!_born[作],0)),"")</f>
        <v/>
      </c>
      <c r="N48" s="14" t="str" ph="1">
        <f>IFERROR(INDEX([1]!_born[生没年],
MATCH(K48,[1]!_born[作],0)),"")</f>
        <v/>
      </c>
      <c r="O48" s="13" t="s" ph="1">
        <v>3747</v>
      </c>
      <c r="T48" s="13" t="s" ph="1">
        <v>3739</v>
      </c>
    </row>
    <row r="49" spans="1:25" ht="22.5" customHeight="1" ph="1" x14ac:dyDescent="0.35">
      <c r="C49" s="13" t="s" ph="1">
        <v>25</v>
      </c>
      <c r="G49" s="13" t="s" ph="1">
        <v>46</v>
      </c>
      <c r="H49" s="13" t="s" ph="1">
        <v>61</v>
      </c>
      <c r="I49" s="13" t="s" ph="1">
        <v>3748</v>
      </c>
      <c r="M49" s="14" t="str" ph="1">
        <f>IFERROR(INDEX([1]!_born[生没年],
MATCH(I49,[1]!_born[作],0)),"")</f>
        <v/>
      </c>
      <c r="N49" s="14" t="str" ph="1">
        <f>IFERROR(INDEX([1]!_born[生没年],
MATCH(K49,[1]!_born[作],0)),"")</f>
        <v/>
      </c>
      <c r="O49" s="13" t="s" ph="1">
        <v>3749</v>
      </c>
      <c r="T49" s="13" t="s" ph="1">
        <v>3739</v>
      </c>
    </row>
    <row r="50" spans="1:25" ht="22.5" customHeight="1" ph="1" x14ac:dyDescent="0.35">
      <c r="C50" s="13" t="s" ph="1">
        <v>25</v>
      </c>
      <c r="G50" s="13" t="s" ph="1">
        <v>46</v>
      </c>
      <c r="H50" s="13" t="s" ph="1">
        <v>61</v>
      </c>
      <c r="I50" s="13" t="s" ph="1">
        <v>3748</v>
      </c>
      <c r="M50" s="14" t="str" ph="1">
        <f>IFERROR(INDEX([1]!_born[生没年],
MATCH(I50,[1]!_born[作],0)),"")</f>
        <v/>
      </c>
      <c r="N50" s="14" t="str" ph="1">
        <f>IFERROR(INDEX([1]!_born[生没年],
MATCH(K50,[1]!_born[作],0)),"")</f>
        <v/>
      </c>
      <c r="O50" s="13" t="s" ph="1">
        <v>3750</v>
      </c>
      <c r="T50" s="13" t="s" ph="1">
        <v>3739</v>
      </c>
    </row>
    <row r="51" spans="1:25" ht="22.5" customHeight="1" ph="1" x14ac:dyDescent="0.35">
      <c r="C51" s="13" t="s" ph="1">
        <v>25</v>
      </c>
      <c r="G51" s="13" t="s" ph="1">
        <v>46</v>
      </c>
      <c r="H51" s="13" t="s" ph="1">
        <v>61</v>
      </c>
      <c r="I51" s="13" t="s" ph="1">
        <v>3748</v>
      </c>
      <c r="M51" s="14" t="str" ph="1">
        <f>IFERROR(INDEX([1]!_born[生没年],
MATCH(I51,[1]!_born[作],0)),"")</f>
        <v/>
      </c>
      <c r="N51" s="14" t="str" ph="1">
        <f>IFERROR(INDEX([1]!_born[生没年],
MATCH(K51,[1]!_born[作],0)),"")</f>
        <v/>
      </c>
      <c r="O51" s="13" t="s" ph="1">
        <v>3751</v>
      </c>
      <c r="T51" s="13" t="s" ph="1">
        <v>3739</v>
      </c>
    </row>
    <row r="52" spans="1:25" ht="22.5" customHeight="1" ph="1" x14ac:dyDescent="0.35">
      <c r="C52" s="13" t="s" ph="1">
        <v>25</v>
      </c>
      <c r="G52" s="13" t="s" ph="1">
        <v>46</v>
      </c>
      <c r="H52" s="13" t="s" ph="1">
        <v>61</v>
      </c>
      <c r="I52" s="13" t="s" ph="1">
        <v>3748</v>
      </c>
      <c r="J52" s="13" t="s" ph="1">
        <v>3752</v>
      </c>
      <c r="M52" s="14" t="str" ph="1">
        <f>IFERROR(INDEX([1]!_born[生没年],
MATCH(I52,[1]!_born[作],0)),"")</f>
        <v/>
      </c>
      <c r="N52" s="14" t="str" ph="1">
        <f>IFERROR(INDEX([1]!_born[生没年],
MATCH(K52,[1]!_born[作],0)),"")</f>
        <v/>
      </c>
      <c r="O52" s="13" t="s" ph="1">
        <v>3753</v>
      </c>
      <c r="T52" s="13" t="s" ph="1">
        <v>3739</v>
      </c>
    </row>
    <row r="53" spans="1:25" ht="22.5" customHeight="1" ph="1" x14ac:dyDescent="0.35">
      <c r="C53" s="13" t="s" ph="1">
        <v>25</v>
      </c>
      <c r="G53" s="13" t="s" ph="1">
        <v>46</v>
      </c>
      <c r="H53" s="13" t="s" ph="1">
        <v>61</v>
      </c>
      <c r="I53" s="13" t="s" ph="1">
        <v>3754</v>
      </c>
      <c r="M53" s="14" t="str" ph="1">
        <f>IFERROR(INDEX([1]!_born[生没年],
MATCH(I53,[1]!_born[作],0)),"")</f>
        <v/>
      </c>
      <c r="N53" s="14" t="str" ph="1">
        <f>IFERROR(INDEX([1]!_born[生没年],
MATCH(K53,[1]!_born[作],0)),"")</f>
        <v/>
      </c>
      <c r="O53" s="13" t="s" ph="1">
        <v>3755</v>
      </c>
      <c r="T53" s="13" t="s" ph="1">
        <v>3739</v>
      </c>
    </row>
    <row r="54" spans="1:25" ht="22.5" customHeight="1" ph="1" x14ac:dyDescent="0.35">
      <c r="C54" s="13" t="s" ph="1">
        <v>25</v>
      </c>
      <c r="G54" s="13" t="s" ph="1">
        <v>46</v>
      </c>
      <c r="H54" s="13" t="s" ph="1">
        <v>61</v>
      </c>
      <c r="I54" s="13" t="s" ph="1">
        <v>3756</v>
      </c>
      <c r="M54" s="14" t="str" ph="1">
        <f>IFERROR(INDEX([1]!_born[生没年],
MATCH(I54,[1]!_born[作],0)),"")</f>
        <v/>
      </c>
      <c r="N54" s="14" t="str" ph="1">
        <f>IFERROR(INDEX([1]!_born[生没年],
MATCH(K54,[1]!_born[作],0)),"")</f>
        <v/>
      </c>
      <c r="O54" s="13" t="s" ph="1">
        <v>3757</v>
      </c>
      <c r="T54" s="13" t="s" ph="1">
        <v>3758</v>
      </c>
      <c r="V54" s="17" ph="1">
        <v>2600</v>
      </c>
      <c r="W54" s="17" ph="1">
        <v>1100</v>
      </c>
    </row>
    <row r="55" spans="1:25" ht="22.5" customHeight="1" ph="1" x14ac:dyDescent="0.35">
      <c r="C55" s="13" t="s" ph="1">
        <v>25</v>
      </c>
      <c r="G55" s="13" t="s" ph="1">
        <v>46</v>
      </c>
      <c r="H55" s="13" t="s" ph="1">
        <v>61</v>
      </c>
      <c r="I55" s="13" t="s" ph="1">
        <v>3759</v>
      </c>
      <c r="M55" s="14" t="str" ph="1">
        <f>IFERROR(INDEX([1]!_born[生没年],
MATCH(I55,[1]!_born[作],0)),"")</f>
        <v/>
      </c>
      <c r="N55" s="14" t="str" ph="1">
        <f>IFERROR(INDEX([1]!_born[生没年],
MATCH(K55,[1]!_born[作],0)),"")</f>
        <v/>
      </c>
      <c r="O55" s="13" t="s" ph="1">
        <v>3760</v>
      </c>
      <c r="R55" s="16" t="s" ph="1">
        <v>213</v>
      </c>
      <c r="T55" s="13" t="s" ph="1">
        <v>3761</v>
      </c>
      <c r="V55" s="17" ph="1">
        <v>2884</v>
      </c>
      <c r="W55" s="17" ph="1">
        <v>2884</v>
      </c>
    </row>
    <row r="56" spans="1:25" ht="22.5" customHeight="1" ph="1" x14ac:dyDescent="0.35">
      <c r="C56" s="13" t="s" ph="1">
        <v>25</v>
      </c>
      <c r="G56" s="13" t="s" ph="1">
        <v>46</v>
      </c>
      <c r="H56" s="13" t="s" ph="1">
        <v>61</v>
      </c>
      <c r="I56" s="13" t="s" ph="1">
        <v>3762</v>
      </c>
      <c r="M56" s="14" t="str" ph="1">
        <f>IFERROR(INDEX([1]!_born[生没年],
MATCH(I56,[1]!_born[作],0)),"")</f>
        <v/>
      </c>
      <c r="N56" s="14" t="str" ph="1">
        <f>IFERROR(INDEX([1]!_born[生没年],
MATCH(K56,[1]!_born[作],0)),"")</f>
        <v/>
      </c>
      <c r="O56" s="13" t="s" ph="1">
        <v>3763</v>
      </c>
      <c r="R56" s="16" t="s" ph="1">
        <v>214</v>
      </c>
      <c r="T56" s="13" t="s" ph="1">
        <v>3764</v>
      </c>
      <c r="V56" s="17" ph="1">
        <f>2900*1.05</f>
        <v>3045</v>
      </c>
      <c r="W56" s="17" ph="1">
        <f>2900*1.05</f>
        <v>3045</v>
      </c>
    </row>
    <row r="57" spans="1:25" ht="22.5" customHeight="1" ph="1" x14ac:dyDescent="0.35">
      <c r="C57" s="13" t="s" ph="1">
        <v>25</v>
      </c>
      <c r="G57" s="13" t="s" ph="1">
        <v>46</v>
      </c>
      <c r="H57" s="13" t="s" ph="1">
        <v>3765</v>
      </c>
      <c r="I57" s="13" t="s" ph="1">
        <v>470</v>
      </c>
      <c r="K57" s="13" t="s" ph="1">
        <v>3766</v>
      </c>
      <c r="L57" s="13" t="s" ph="1">
        <v>3628</v>
      </c>
      <c r="M57" s="14" t="str" ph="1">
        <f>IFERROR(INDEX([1]!_born[生没年],
MATCH(I57,[1]!_born[作],0)),"")</f>
        <v/>
      </c>
      <c r="N57" s="14" t="str" ph="1">
        <f>IFERROR(INDEX([1]!_born[生没年],
MATCH(K57,[1]!_born[作],0)),"")</f>
        <v/>
      </c>
      <c r="O57" s="13" t="s" ph="1">
        <v>3767</v>
      </c>
      <c r="R57" s="16" t="s" ph="1">
        <v>649</v>
      </c>
      <c r="T57" s="13" t="s" ph="1">
        <v>3768</v>
      </c>
      <c r="U57" s="16" ph="1">
        <v>36876</v>
      </c>
      <c r="V57" s="17" ph="1">
        <v>3811</v>
      </c>
      <c r="W57" s="17" ph="1">
        <v>3811</v>
      </c>
    </row>
    <row r="58" spans="1:25" ht="22.5" customHeight="1" ph="1" x14ac:dyDescent="0.35">
      <c r="C58" s="13" t="s" ph="1">
        <v>25</v>
      </c>
      <c r="G58" s="13" t="s" ph="1">
        <v>46</v>
      </c>
      <c r="H58" s="13" t="s" ph="1">
        <v>43</v>
      </c>
      <c r="I58" s="13" t="s" ph="1">
        <v>3769</v>
      </c>
      <c r="K58" s="13" t="s" ph="1">
        <v>3770</v>
      </c>
      <c r="L58" s="13" t="s" ph="1">
        <v>3628</v>
      </c>
      <c r="M58" s="14" t="str" ph="1">
        <f>IFERROR(INDEX([1]!_born[生没年],
MATCH(I58,[1]!_born[作],0)),"")</f>
        <v/>
      </c>
      <c r="N58" s="14" t="str" ph="1">
        <f>IFERROR(INDEX([1]!_born[生没年],
MATCH(K58,[1]!_born[作],0)),"")</f>
        <v/>
      </c>
      <c r="O58" s="13" t="s" ph="1">
        <v>3771</v>
      </c>
      <c r="T58" s="13" t="s" ph="1">
        <v>3772</v>
      </c>
      <c r="V58" s="17" ph="1">
        <v>2200</v>
      </c>
    </row>
    <row r="59" spans="1:25" ht="22.5" customHeight="1" ph="1" x14ac:dyDescent="0.35">
      <c r="C59" s="13" t="s" ph="1">
        <v>25</v>
      </c>
      <c r="G59" s="13" t="s" ph="1">
        <v>46</v>
      </c>
      <c r="H59" s="13" t="s" ph="1">
        <v>43</v>
      </c>
      <c r="I59" s="13" t="s" ph="1">
        <v>3773</v>
      </c>
      <c r="K59" s="13" t="s" ph="1">
        <v>3774</v>
      </c>
      <c r="L59" s="13" t="s" ph="1">
        <v>3628</v>
      </c>
      <c r="M59" s="14" t="str" ph="1">
        <f>IFERROR(INDEX([1]!_born[生没年],
MATCH(I59,[1]!_born[作],0)),"")</f>
        <v/>
      </c>
      <c r="N59" s="14" t="str" ph="1">
        <f>IFERROR(INDEX([1]!_born[生没年],
MATCH(K59,[1]!_born[作],0)),"")</f>
        <v/>
      </c>
      <c r="O59" s="13" t="s" ph="1">
        <v>3775</v>
      </c>
      <c r="T59" s="13" t="s" ph="1">
        <v>3772</v>
      </c>
    </row>
    <row r="60" spans="1:25" ht="22.5" customHeight="1" ph="1" x14ac:dyDescent="0.35">
      <c r="A60" s="106" t="s" ph="1">
        <v>82</v>
      </c>
      <c r="B60" s="5" t="s" ph="1">
        <v>83</v>
      </c>
      <c r="C60" s="13" t="s" ph="1">
        <v>25</v>
      </c>
      <c r="G60" s="13" t="s" ph="1">
        <v>46</v>
      </c>
      <c r="H60" s="13" t="s" ph="1">
        <v>43</v>
      </c>
      <c r="I60" s="13" t="s" ph="1">
        <v>84</v>
      </c>
      <c r="K60" s="13" t="s" ph="1">
        <v>3776</v>
      </c>
      <c r="L60" s="13" t="s" ph="1">
        <v>3628</v>
      </c>
      <c r="M60" s="14" t="str" ph="1">
        <f>IFERROR(INDEX([1]!_born[生没年],
MATCH(I60,[1]!_born[作],0)),"")</f>
        <v/>
      </c>
      <c r="N60" s="14" t="str" ph="1">
        <f>IFERROR(INDEX([1]!_born[生没年],
MATCH(K60,[1]!_born[作],0)),"")</f>
        <v/>
      </c>
      <c r="O60" s="13" t="s" ph="1">
        <v>3777</v>
      </c>
      <c r="R60" s="16" t="s" ph="1">
        <v>650</v>
      </c>
      <c r="T60" s="13" t="s" ph="1">
        <v>3758</v>
      </c>
      <c r="U60" s="16" t="s" ph="1">
        <v>355</v>
      </c>
      <c r="V60" s="17" ph="1">
        <f>2400*1.05</f>
        <v>2520</v>
      </c>
    </row>
    <row r="61" spans="1:25" ht="22.5" customHeight="1" ph="1" x14ac:dyDescent="0.35">
      <c r="C61" s="13" t="s" ph="1">
        <v>25</v>
      </c>
      <c r="D61" s="123" ph="1">
        <v>1</v>
      </c>
      <c r="E61" s="123" ph="1">
        <v>2</v>
      </c>
      <c r="G61" s="13" t="s" ph="1">
        <v>46</v>
      </c>
      <c r="H61" s="13" t="s" ph="1">
        <v>43</v>
      </c>
      <c r="I61" s="13" t="s" ph="1">
        <v>1</v>
      </c>
      <c r="K61" s="13" t="s" ph="1">
        <v>3778</v>
      </c>
      <c r="L61" s="13" t="s" ph="1">
        <v>3628</v>
      </c>
      <c r="M61" s="14" t="str" ph="1">
        <f>IFERROR(INDEX([1]!_born[生没年],
MATCH(I61,[1]!_born[作],0)),"")</f>
        <v/>
      </c>
      <c r="N61" s="14" t="str" ph="1">
        <f>IFERROR(INDEX([1]!_born[生没年],
MATCH(K61,[1]!_born[作],0)),"")</f>
        <v/>
      </c>
      <c r="O61" s="13" t="s" ph="1">
        <v>3779</v>
      </c>
      <c r="T61" s="13" t="s" ph="1">
        <v>3780</v>
      </c>
    </row>
    <row r="62" spans="1:25" ht="22.5" customHeight="1" ph="1" x14ac:dyDescent="0.35">
      <c r="C62" s="13" t="s" ph="1">
        <v>25</v>
      </c>
      <c r="D62" s="123" ph="1">
        <v>2</v>
      </c>
      <c r="E62" s="123" ph="1">
        <v>2</v>
      </c>
      <c r="G62" s="13" t="s" ph="1">
        <v>46</v>
      </c>
      <c r="H62" s="13" t="s" ph="1">
        <v>43</v>
      </c>
      <c r="I62" s="13" t="s" ph="1">
        <v>1</v>
      </c>
      <c r="K62" s="13" t="s" ph="1">
        <v>3778</v>
      </c>
      <c r="L62" s="13" t="s" ph="1">
        <v>3628</v>
      </c>
      <c r="M62" s="14" t="str" ph="1">
        <f>IFERROR(INDEX([1]!_born[生没年],
MATCH(I62,[1]!_born[作],0)),"")</f>
        <v/>
      </c>
      <c r="N62" s="14" t="str" ph="1">
        <f>IFERROR(INDEX([1]!_born[生没年],
MATCH(K62,[1]!_born[作],0)),"")</f>
        <v/>
      </c>
      <c r="O62" s="13" t="s" ph="1">
        <v>3781</v>
      </c>
      <c r="T62" s="13" t="s" ph="1">
        <v>3780</v>
      </c>
    </row>
    <row r="63" spans="1:25" ht="22.5" customHeight="1" ph="1" x14ac:dyDescent="0.35">
      <c r="C63" s="13" t="s" ph="1">
        <v>25</v>
      </c>
      <c r="G63" s="13" t="s" ph="1">
        <v>3782</v>
      </c>
      <c r="H63" s="13" t="s" ph="1">
        <v>61</v>
      </c>
      <c r="I63" s="13" t="s" ph="1">
        <v>3783</v>
      </c>
      <c r="M63" s="14" t="str" ph="1">
        <f>IFERROR(INDEX([1]!_born[生没年],
MATCH(I63,[1]!_born[作],0)),"")</f>
        <v/>
      </c>
      <c r="N63" s="14" t="str" ph="1">
        <f>IFERROR(INDEX([1]!_born[生没年],
MATCH(K63,[1]!_born[作],0)),"")</f>
        <v/>
      </c>
      <c r="O63" s="13" t="s" ph="1">
        <v>3784</v>
      </c>
      <c r="R63" s="16" t="s" ph="1">
        <v>293</v>
      </c>
      <c r="T63" s="13" t="s" ph="1">
        <v>3785</v>
      </c>
      <c r="U63" s="16" ph="1">
        <v>37564</v>
      </c>
      <c r="V63" s="17" ph="1">
        <v>5800</v>
      </c>
      <c r="X63" s="13" t="s" ph="1">
        <v>3786</v>
      </c>
      <c r="Y63" s="13" t="s" ph="1">
        <v>200</v>
      </c>
    </row>
    <row r="64" spans="1:25" ht="22.5" customHeight="1" ph="1" x14ac:dyDescent="0.35">
      <c r="C64" s="13" t="s" ph="1">
        <v>25</v>
      </c>
      <c r="G64" s="13" t="s" ph="1">
        <v>3782</v>
      </c>
      <c r="H64" s="13" t="s" ph="1">
        <v>61</v>
      </c>
      <c r="I64" s="13" t="s" ph="1">
        <v>3787</v>
      </c>
      <c r="M64" s="14" t="str" ph="1">
        <f>IFERROR(INDEX([1]!_born[生没年],
MATCH(I64,[1]!_born[作],0)),"")</f>
        <v/>
      </c>
      <c r="N64" s="14" t="str" ph="1">
        <f>IFERROR(INDEX([1]!_born[生没年],
MATCH(K64,[1]!_born[作],0)),"")</f>
        <v/>
      </c>
      <c r="O64" s="13" t="s" ph="1">
        <v>3788</v>
      </c>
      <c r="R64" s="16" t="s" ph="1">
        <v>212</v>
      </c>
      <c r="T64" s="13" t="s" ph="1">
        <v>3789</v>
      </c>
      <c r="U64" s="16" ph="1">
        <v>36865</v>
      </c>
      <c r="V64" s="17" ph="1">
        <v>5150</v>
      </c>
      <c r="W64" s="17" ph="1">
        <v>5150</v>
      </c>
    </row>
    <row r="65" spans="1:25" ht="22.5" customHeight="1" ph="1" x14ac:dyDescent="0.35">
      <c r="A65" s="106" t="s" ph="1">
        <v>141</v>
      </c>
      <c r="B65" s="5" t="s" ph="1">
        <v>142</v>
      </c>
      <c r="C65" s="13" t="s" ph="1">
        <v>25</v>
      </c>
      <c r="G65" s="13" t="s" ph="1">
        <v>3782</v>
      </c>
      <c r="H65" s="13" t="s" ph="1">
        <v>61</v>
      </c>
      <c r="I65" s="13" t="s" ph="1">
        <v>3790</v>
      </c>
      <c r="M65" s="14" t="str" ph="1">
        <f>IFERROR(INDEX([1]!_born[生没年],
MATCH(I65,[1]!_born[作],0)),"")</f>
        <v/>
      </c>
      <c r="N65" s="14" t="str" ph="1">
        <f>IFERROR(INDEX([1]!_born[生没年],
MATCH(K65,[1]!_born[作],0)),"")</f>
        <v/>
      </c>
      <c r="O65" s="13" t="s" ph="1">
        <v>3791</v>
      </c>
      <c r="R65" s="16" t="s" ph="1">
        <v>143</v>
      </c>
      <c r="T65" s="13" t="s" ph="1">
        <v>3789</v>
      </c>
      <c r="U65" s="16" ph="1">
        <v>39018</v>
      </c>
      <c r="V65" s="17" ph="1">
        <f>3500*1.05</f>
        <v>3675</v>
      </c>
      <c r="W65" s="17" ph="1">
        <v>1470</v>
      </c>
      <c r="X65" s="13" t="s" ph="1">
        <v>3792</v>
      </c>
    </row>
    <row r="66" spans="1:25" ht="22.5" customHeight="1" ph="1" x14ac:dyDescent="0.35">
      <c r="C66" s="13" t="s" ph="1">
        <v>25</v>
      </c>
      <c r="G66" s="13" t="s" ph="1">
        <v>3793</v>
      </c>
      <c r="H66" s="13" t="s" ph="1">
        <v>61</v>
      </c>
      <c r="I66" s="13" t="s" ph="1">
        <v>3794</v>
      </c>
      <c r="M66" s="14" t="str" ph="1">
        <f>IFERROR(INDEX([1]!_born[生没年],
MATCH(I66,[1]!_born[作],0)),"")</f>
        <v/>
      </c>
      <c r="N66" s="14" t="str" ph="1">
        <f>IFERROR(INDEX([1]!_born[生没年],
MATCH(K66,[1]!_born[作],0)),"")</f>
        <v/>
      </c>
      <c r="O66" s="13" t="s" ph="1">
        <v>3795</v>
      </c>
      <c r="T66" s="13" t="s" ph="1">
        <v>3796</v>
      </c>
    </row>
    <row r="67" spans="1:25" ht="22.5" customHeight="1" ph="1" x14ac:dyDescent="0.35">
      <c r="C67" s="13" t="s" ph="1">
        <v>25</v>
      </c>
      <c r="G67" s="13" t="s" ph="1">
        <v>3793</v>
      </c>
      <c r="H67" s="13" t="s" ph="1">
        <v>61</v>
      </c>
      <c r="I67" s="13" t="s" ph="1">
        <v>3797</v>
      </c>
      <c r="M67" s="14" t="str" ph="1">
        <f>IFERROR(INDEX([1]!_born[生没年],
MATCH(I67,[1]!_born[作],0)),"")</f>
        <v/>
      </c>
      <c r="N67" s="14" t="str" ph="1">
        <f>IFERROR(INDEX([1]!_born[生没年],
MATCH(K67,[1]!_born[作],0)),"")</f>
        <v/>
      </c>
      <c r="O67" s="13" t="s" ph="1">
        <v>3798</v>
      </c>
      <c r="T67" s="13" t="s" ph="1">
        <v>3796</v>
      </c>
    </row>
    <row r="68" spans="1:25" ht="22.5" customHeight="1" ph="1" x14ac:dyDescent="0.35">
      <c r="A68" s="106" t="s" ph="1">
        <v>211</v>
      </c>
      <c r="B68" s="5" t="s" ph="1">
        <v>215</v>
      </c>
      <c r="C68" s="13" t="s" ph="1">
        <v>25</v>
      </c>
      <c r="G68" s="13" t="s" ph="1">
        <v>3793</v>
      </c>
      <c r="H68" s="13" t="s" ph="1">
        <v>43</v>
      </c>
      <c r="I68" s="13" t="s" ph="1">
        <v>3799</v>
      </c>
      <c r="J68" s="13" t="s" ph="1">
        <v>3616</v>
      </c>
      <c r="M68" s="14" t="str" ph="1">
        <f>IFERROR(INDEX([1]!_born[生没年],
MATCH(I68,[1]!_born[作],0)),"")</f>
        <v/>
      </c>
      <c r="N68" s="14" t="str" ph="1">
        <f>IFERROR(INDEX([1]!_born[生没年],
MATCH(K68,[1]!_born[作],0)),"")</f>
        <v/>
      </c>
      <c r="O68" s="13" t="s" ph="1">
        <v>3800</v>
      </c>
      <c r="T68" s="13" t="s" ph="1">
        <v>3801</v>
      </c>
      <c r="U68" s="16" ph="1">
        <v>38578</v>
      </c>
      <c r="V68" s="17" ph="1">
        <f>1500*1.05</f>
        <v>1575</v>
      </c>
      <c r="W68" s="17" ph="1">
        <f>1500*1.05</f>
        <v>1575</v>
      </c>
      <c r="X68" s="13" t="s" ph="1">
        <v>3802</v>
      </c>
    </row>
    <row r="69" spans="1:25" ht="22.5" customHeight="1" ph="1" x14ac:dyDescent="0.35">
      <c r="A69" s="106" t="s" ph="1">
        <v>3019</v>
      </c>
      <c r="B69" s="5" t="s" ph="1">
        <v>571</v>
      </c>
      <c r="C69" s="13" t="s" ph="1">
        <v>25</v>
      </c>
      <c r="G69" s="13" t="s" ph="1">
        <v>3803</v>
      </c>
      <c r="H69" s="13" t="s" ph="1">
        <v>61</v>
      </c>
      <c r="I69" s="13" t="s" ph="1">
        <v>3804</v>
      </c>
      <c r="M69" s="14" t="str" ph="1">
        <f>IFERROR(INDEX([1]!_born[生没年],
MATCH(I69,[1]!_born[作],0)),"")</f>
        <v/>
      </c>
      <c r="N69" s="14" t="str" ph="1">
        <f>IFERROR(INDEX([1]!_born[生没年],
MATCH(K69,[1]!_born[作],0)),"")</f>
        <v/>
      </c>
      <c r="O69" s="13" t="s" ph="1">
        <v>3805</v>
      </c>
      <c r="R69" s="16" ph="1">
        <v>43321</v>
      </c>
      <c r="T69" s="13" t="s" ph="1">
        <v>3806</v>
      </c>
      <c r="U69" s="16" ph="1">
        <v>43663</v>
      </c>
      <c r="V69" s="17" ph="1">
        <f>1200*1.08</f>
        <v>1296</v>
      </c>
      <c r="W69" s="17" ph="1">
        <f>1200*1.08</f>
        <v>1296</v>
      </c>
      <c r="X69" s="13" t="s" ph="1">
        <v>3807</v>
      </c>
    </row>
    <row r="70" spans="1:25" ht="22.5" customHeight="1" ph="1" x14ac:dyDescent="0.35">
      <c r="C70" s="13" t="s" ph="1">
        <v>25</v>
      </c>
      <c r="D70" s="123" ph="1">
        <v>1</v>
      </c>
      <c r="E70" s="123" ph="1">
        <v>2</v>
      </c>
      <c r="G70" s="13" t="s" ph="1">
        <v>3793</v>
      </c>
      <c r="H70" s="13" t="s" ph="1">
        <v>43</v>
      </c>
      <c r="I70" s="13" t="s" ph="1">
        <v>2</v>
      </c>
      <c r="K70" s="13" t="s" ph="1">
        <v>3808</v>
      </c>
      <c r="L70" s="13" t="s" ph="1">
        <v>3628</v>
      </c>
      <c r="M70" s="14" t="str" ph="1">
        <f>IFERROR(INDEX([1]!_born[生没年],
MATCH(I70,[1]!_born[作],0)),"")</f>
        <v/>
      </c>
      <c r="N70" s="14" t="str" ph="1">
        <f>IFERROR(INDEX([1]!_born[生没年],
MATCH(K70,[1]!_born[作],0)),"")</f>
        <v/>
      </c>
      <c r="O70" s="13" t="s" ph="1">
        <v>3809</v>
      </c>
      <c r="T70" s="13" t="s" ph="1">
        <v>3810</v>
      </c>
      <c r="U70" s="16" ph="1">
        <v>36884</v>
      </c>
      <c r="V70" s="17" ph="1">
        <f>1900*1.05*2</f>
        <v>3990</v>
      </c>
      <c r="W70" s="17" ph="1">
        <f>1900*1.05*2</f>
        <v>3990</v>
      </c>
      <c r="X70" s="13" t="s" ph="1">
        <v>3811</v>
      </c>
    </row>
    <row r="71" spans="1:25" ht="22.5" customHeight="1" ph="1" x14ac:dyDescent="0.35">
      <c r="C71" s="13" t="s" ph="1">
        <v>25</v>
      </c>
      <c r="D71" s="123" ph="1">
        <v>2</v>
      </c>
      <c r="E71" s="123" ph="1">
        <v>2</v>
      </c>
      <c r="G71" s="13" t="s" ph="1">
        <v>3793</v>
      </c>
      <c r="H71" s="13" t="s" ph="1">
        <v>43</v>
      </c>
      <c r="I71" s="13" t="s" ph="1">
        <v>2</v>
      </c>
      <c r="K71" s="13" t="s" ph="1">
        <v>3808</v>
      </c>
      <c r="L71" s="13" t="s" ph="1">
        <v>3628</v>
      </c>
      <c r="M71" s="14" t="str" ph="1">
        <f>IFERROR(INDEX([1]!_born[生没年],
MATCH(I71,[1]!_born[作],0)),"")</f>
        <v/>
      </c>
      <c r="N71" s="14" t="str" ph="1">
        <f>IFERROR(INDEX([1]!_born[生没年],
MATCH(K71,[1]!_born[作],0)),"")</f>
        <v/>
      </c>
      <c r="O71" s="13" t="s" ph="1">
        <v>3809</v>
      </c>
      <c r="T71" s="13" t="s" ph="1">
        <v>3810</v>
      </c>
      <c r="U71" s="16" ph="1">
        <v>36884</v>
      </c>
      <c r="V71" s="17" ph="1">
        <f>1900*1.05*2</f>
        <v>3990</v>
      </c>
      <c r="W71" s="17" ph="1">
        <f>1900*1.05*2</f>
        <v>3990</v>
      </c>
      <c r="X71" s="13" t="s" ph="1">
        <v>3811</v>
      </c>
    </row>
    <row r="72" spans="1:25" ht="22.5" customHeight="1" ph="1" x14ac:dyDescent="0.35">
      <c r="C72" s="13" t="s" ph="1">
        <v>25</v>
      </c>
      <c r="G72" s="13" t="s" ph="1">
        <v>3793</v>
      </c>
      <c r="H72" s="13" t="s" ph="1">
        <v>43</v>
      </c>
      <c r="I72" s="13" t="s" ph="1">
        <v>3812</v>
      </c>
      <c r="M72" s="14" t="str" ph="1">
        <f>IFERROR(INDEX([1]!_born[生没年],
MATCH(I72,[1]!_born[作],0)),"")</f>
        <v/>
      </c>
      <c r="N72" s="14" t="str" ph="1">
        <f>IFERROR(INDEX([1]!_born[生没年],
MATCH(K72,[1]!_born[作],0)),"")</f>
        <v/>
      </c>
      <c r="O72" s="13" t="s" ph="1">
        <v>3813</v>
      </c>
      <c r="T72" s="13" t="s" ph="1">
        <v>3814</v>
      </c>
    </row>
    <row r="73" spans="1:25" ht="22.5" customHeight="1" ph="1" x14ac:dyDescent="0.35">
      <c r="A73" s="106" t="s" ph="1">
        <v>3036</v>
      </c>
      <c r="B73" s="5" t="s" ph="1">
        <v>3037</v>
      </c>
      <c r="C73" s="13" t="s" ph="1">
        <v>25</v>
      </c>
      <c r="G73" s="13" t="s" ph="1">
        <v>3793</v>
      </c>
      <c r="H73" s="13" t="s" ph="1">
        <v>43</v>
      </c>
      <c r="I73" s="13" t="s" ph="1">
        <v>3815</v>
      </c>
      <c r="J73" s="13" t="s" ph="1">
        <v>3816</v>
      </c>
      <c r="K73" s="13" t="s" ph="1">
        <v>3817</v>
      </c>
      <c r="L73" s="13" t="s" ph="1">
        <v>3616</v>
      </c>
      <c r="M73" s="14" t="str" ph="1">
        <f>IFERROR(INDEX([1]!_born[生没年],
MATCH(I73,[1]!_born[作],0)),"")</f>
        <v/>
      </c>
      <c r="N73" s="14" t="str" ph="1">
        <f>IFERROR(INDEX([1]!_born[生没年],
MATCH(K73,[1]!_born[作],0)),"")</f>
        <v/>
      </c>
      <c r="O73" s="13" t="s" ph="1">
        <v>3818</v>
      </c>
      <c r="S73" s="13" t="s" ph="1">
        <v>3038</v>
      </c>
      <c r="T73" s="13" t="s" ph="1">
        <v>3819</v>
      </c>
      <c r="U73" s="16" ph="1">
        <v>43834</v>
      </c>
      <c r="V73" s="17" ph="1">
        <f>1500*1.08</f>
        <v>1620</v>
      </c>
      <c r="W73" s="17" ph="1">
        <v>0</v>
      </c>
      <c r="X73" s="13" t="s" ph="1">
        <v>3820</v>
      </c>
    </row>
    <row r="74" spans="1:25" ht="22.5" customHeight="1" ph="1" x14ac:dyDescent="0.35">
      <c r="A74" s="106" t="s" ph="1">
        <v>358</v>
      </c>
      <c r="B74" s="5" t="s" ph="1">
        <v>571</v>
      </c>
      <c r="C74" s="13" t="s" ph="1">
        <v>25</v>
      </c>
      <c r="G74" s="13" t="s" ph="1">
        <v>3793</v>
      </c>
      <c r="H74" s="13" t="s" ph="1">
        <v>43</v>
      </c>
      <c r="I74" s="13" t="s" ph="1">
        <v>3821</v>
      </c>
      <c r="M74" s="14" t="str" ph="1">
        <f>IFERROR(INDEX([1]!_born[生没年],
MATCH(I74,[1]!_born[作],0)),"")</f>
        <v/>
      </c>
      <c r="N74" s="14" t="str" ph="1">
        <f>IFERROR(INDEX([1]!_born[生没年],
MATCH(K74,[1]!_born[作],0)),"")</f>
        <v/>
      </c>
      <c r="O74" s="13" t="s" ph="1">
        <v>3822</v>
      </c>
      <c r="R74" s="16" t="s" ph="1">
        <v>359</v>
      </c>
      <c r="T74" s="13" t="s" ph="1">
        <v>3823</v>
      </c>
      <c r="U74" s="16" ph="1">
        <v>38963</v>
      </c>
      <c r="V74" s="17" ph="1">
        <f>1400*1.05</f>
        <v>1470</v>
      </c>
      <c r="W74" s="17" ph="1">
        <f>1400*1.05</f>
        <v>1470</v>
      </c>
      <c r="X74" s="13" t="s" ph="1">
        <v>3802</v>
      </c>
    </row>
    <row r="75" spans="1:25" ht="22.5" customHeight="1" ph="1" x14ac:dyDescent="0.35">
      <c r="A75" s="106" t="s" ph="1">
        <v>3117</v>
      </c>
      <c r="B75" s="5" t="s" ph="1">
        <v>3118</v>
      </c>
      <c r="C75" s="13" t="s" ph="1">
        <v>25</v>
      </c>
      <c r="G75" s="13" t="s" ph="1">
        <v>3793</v>
      </c>
      <c r="H75" s="13" t="s" ph="1">
        <v>61</v>
      </c>
      <c r="I75" s="13" t="s" ph="1">
        <v>3824</v>
      </c>
      <c r="M75" s="14" t="str" ph="1">
        <f>IFERROR(INDEX([1]!_born[生没年],
MATCH(I75,[1]!_born[作],0)),"")</f>
        <v/>
      </c>
      <c r="N75" s="14" t="str" ph="1">
        <f>IFERROR(INDEX([1]!_born[生没年],
MATCH(K75,[1]!_born[作],0)),"")</f>
        <v/>
      </c>
      <c r="O75" s="13" t="s" ph="1">
        <v>3825</v>
      </c>
      <c r="R75" s="16" ph="1">
        <v>43529</v>
      </c>
      <c r="S75" s="13" t="s" ph="1">
        <v>3826</v>
      </c>
      <c r="T75" s="13" t="s" ph="1">
        <v>3827</v>
      </c>
      <c r="U75" s="16" ph="1">
        <v>44297</v>
      </c>
      <c r="V75" s="17" ph="1">
        <f>1800*1.1</f>
        <v>1980.0000000000002</v>
      </c>
      <c r="W75" s="17" ph="1">
        <v>550</v>
      </c>
      <c r="X75" s="13" t="s" ph="1">
        <v>3828</v>
      </c>
    </row>
    <row r="76" spans="1:25" ht="22.5" customHeight="1" ph="1" x14ac:dyDescent="0.35">
      <c r="A76" s="106" t="s" ph="1">
        <v>3027</v>
      </c>
      <c r="B76" s="5" t="s" ph="1">
        <v>142</v>
      </c>
      <c r="C76" s="13" t="s" ph="1">
        <v>25</v>
      </c>
      <c r="G76" s="13" t="s" ph="1">
        <v>3793</v>
      </c>
      <c r="H76" s="13" t="s" ph="1">
        <v>61</v>
      </c>
      <c r="I76" s="13" t="s" ph="1">
        <v>3829</v>
      </c>
      <c r="K76" s="13" t="s" ph="1">
        <v>3830</v>
      </c>
      <c r="L76" s="13" t="s" ph="1">
        <v>3618</v>
      </c>
      <c r="M76" s="14" t="str" ph="1">
        <f>IFERROR(INDEX([1]!_born[生没年],
MATCH(I76,[1]!_born[作],0)),"")</f>
        <v/>
      </c>
      <c r="N76" s="14" t="str" ph="1">
        <f>IFERROR(INDEX([1]!_born[生没年],
MATCH(K76,[1]!_born[作],0)),"")</f>
        <v/>
      </c>
      <c r="O76" s="13" t="s" ph="1">
        <v>3831</v>
      </c>
      <c r="R76" s="16" ph="1">
        <v>15766</v>
      </c>
      <c r="S76" s="13" t="s" ph="1">
        <v>3028</v>
      </c>
      <c r="T76" s="13" t="s" ph="1">
        <v>3832</v>
      </c>
      <c r="U76" s="16" ph="1">
        <v>43744</v>
      </c>
      <c r="V76" s="17" ph="1">
        <f>1800*1.1</f>
        <v>1980.0000000000002</v>
      </c>
      <c r="W76" s="17" ph="1">
        <f>1800*1.1</f>
        <v>1980.0000000000002</v>
      </c>
      <c r="X76" s="13" t="s" ph="1">
        <v>2793</v>
      </c>
    </row>
    <row r="77" spans="1:25" s="19" customFormat="1" ht="22.5" customHeight="1" ph="1" x14ac:dyDescent="0.35">
      <c r="A77" s="107" ph="1"/>
      <c r="B77" s="18" ph="1"/>
      <c r="C77" s="19" t="s" ph="1">
        <v>25</v>
      </c>
      <c r="D77" s="124" ph="1"/>
      <c r="E77" s="124" ph="1"/>
      <c r="G77" s="19" t="s" ph="1">
        <v>3833</v>
      </c>
      <c r="H77" s="19" t="s" ph="1">
        <v>61</v>
      </c>
      <c r="I77" s="19" t="s" ph="1">
        <v>3834</v>
      </c>
      <c r="K77" s="19" t="s" ph="1">
        <v>3835</v>
      </c>
      <c r="L77" s="19" t="s" ph="1">
        <v>3721</v>
      </c>
      <c r="M77" s="14" t="str" ph="1">
        <f>IFERROR(INDEX([1]!_born[生没年],
MATCH(I77,[1]!_born[作],0)),"")</f>
        <v/>
      </c>
      <c r="N77" s="27" t="str" ph="1">
        <f>IFERROR(INDEX([1]!_born[生没年],
MATCH(K77,[1]!_born[作],0)),"")</f>
        <v/>
      </c>
      <c r="O77" s="19" t="s" ph="1">
        <v>3836</v>
      </c>
      <c r="R77" s="20" ph="1"/>
      <c r="T77" s="19" t="s" ph="1">
        <v>3837</v>
      </c>
      <c r="U77" s="20" ph="1"/>
      <c r="V77" s="21" ph="1"/>
      <c r="W77" s="21" ph="1"/>
      <c r="Y77" s="19" t="s" ph="1">
        <v>26</v>
      </c>
    </row>
    <row r="78" spans="1:25" ht="22.5" customHeight="1" ph="1" x14ac:dyDescent="0.35">
      <c r="C78" s="13" t="s" ph="1">
        <v>25</v>
      </c>
      <c r="G78" s="13" t="s" ph="1">
        <v>3838</v>
      </c>
      <c r="H78" s="13" t="s" ph="1">
        <v>43</v>
      </c>
      <c r="I78" s="13" t="s" ph="1">
        <v>3839</v>
      </c>
      <c r="J78" s="13" t="s" ph="1">
        <v>3840</v>
      </c>
      <c r="M78" s="14" t="str" ph="1">
        <f>IFERROR(INDEX([1]!_born[生没年],
MATCH(I78,[1]!_born[作],0)),"")</f>
        <v/>
      </c>
      <c r="N78" s="14" t="str" ph="1">
        <f>IFERROR(INDEX([1]!_born[生没年],
MATCH(K78,[1]!_born[作],0)),"")</f>
        <v/>
      </c>
      <c r="O78" s="13" t="s" ph="1">
        <v>3841</v>
      </c>
      <c r="R78" s="16" t="s" ph="1">
        <v>293</v>
      </c>
      <c r="T78" s="13" t="s" ph="1">
        <v>3842</v>
      </c>
      <c r="U78" s="16" ph="1">
        <v>36807</v>
      </c>
      <c r="V78" s="17" ph="1">
        <v>1100</v>
      </c>
      <c r="W78" s="17" ph="1">
        <v>0</v>
      </c>
      <c r="X78" s="13" t="s" ph="1">
        <v>3622</v>
      </c>
      <c r="Y78" s="13" t="s" ph="1">
        <v>3623</v>
      </c>
    </row>
    <row r="79" spans="1:25" ht="22.5" customHeight="1" ph="1" x14ac:dyDescent="0.35">
      <c r="C79" s="13" t="s" ph="1">
        <v>25</v>
      </c>
      <c r="G79" s="13" t="s" ph="1">
        <v>130</v>
      </c>
      <c r="H79" s="13" t="s" ph="1">
        <v>43</v>
      </c>
      <c r="I79" s="13" t="s" ph="1">
        <v>3843</v>
      </c>
      <c r="M79" s="14" t="str" ph="1">
        <f>IFERROR(INDEX([1]!_born[生没年],
MATCH(I79,[1]!_born[作],0)),"")</f>
        <v/>
      </c>
      <c r="N79" s="14" t="str" ph="1">
        <f>IFERROR(INDEX([1]!_born[生没年],
MATCH(K79,[1]!_born[作],0)),"")</f>
        <v/>
      </c>
      <c r="O79" s="13" t="s" ph="1">
        <v>3844</v>
      </c>
      <c r="S79" s="13" t="s" ph="1">
        <v>3845</v>
      </c>
      <c r="T79" s="13" t="s" ph="1">
        <v>3843</v>
      </c>
      <c r="U79" s="16" ph="1">
        <v>36807</v>
      </c>
      <c r="V79" s="17" ph="1">
        <v>1500</v>
      </c>
      <c r="W79" s="17" ph="1">
        <v>0</v>
      </c>
      <c r="X79" s="13" t="s" ph="1">
        <v>3622</v>
      </c>
      <c r="Y79" s="13" t="s" ph="1">
        <v>3623</v>
      </c>
    </row>
    <row r="80" spans="1:25" ht="22.5" customHeight="1" ph="1" x14ac:dyDescent="0.35">
      <c r="C80" s="13" t="s" ph="1">
        <v>25</v>
      </c>
      <c r="G80" s="13" t="s" ph="1">
        <v>3838</v>
      </c>
      <c r="H80" s="13" t="s" ph="1">
        <v>43</v>
      </c>
      <c r="I80" s="13" t="s" ph="1">
        <v>3846</v>
      </c>
      <c r="M80" s="14" t="str" ph="1">
        <f>IFERROR(INDEX([1]!_born[生没年],
MATCH(I80,[1]!_born[作],0)),"")</f>
        <v/>
      </c>
      <c r="N80" s="14" t="str" ph="1">
        <f>IFERROR(INDEX([1]!_born[生没年],
MATCH(K80,[1]!_born[作],0)),"")</f>
        <v/>
      </c>
      <c r="O80" s="13" t="s" ph="1">
        <v>3847</v>
      </c>
      <c r="R80" s="16" t="s" ph="1">
        <v>481</v>
      </c>
      <c r="T80" s="13" t="s" ph="1">
        <v>3848</v>
      </c>
      <c r="U80" s="16" ph="1">
        <v>36807</v>
      </c>
      <c r="V80" s="17" ph="1">
        <v>2000</v>
      </c>
      <c r="W80" s="17" ph="1">
        <v>0</v>
      </c>
      <c r="X80" s="13" t="s" ph="1">
        <v>3622</v>
      </c>
      <c r="Y80" s="13" t="s" ph="1">
        <v>3623</v>
      </c>
    </row>
    <row r="81" spans="1:25" ht="22.5" customHeight="1" ph="1" x14ac:dyDescent="0.35">
      <c r="C81" s="13" t="s" ph="1">
        <v>25</v>
      </c>
      <c r="G81" s="13" t="s" ph="1">
        <v>3838</v>
      </c>
      <c r="H81" s="13" t="s" ph="1">
        <v>43</v>
      </c>
      <c r="I81" s="13" t="s" ph="1">
        <v>207</v>
      </c>
      <c r="K81" s="13" t="s" ph="1">
        <v>3849</v>
      </c>
      <c r="L81" s="13" t="s" ph="1">
        <v>3628</v>
      </c>
      <c r="M81" s="14" t="str" ph="1">
        <f>IFERROR(INDEX([1]!_born[生没年],
MATCH(I81,[1]!_born[作],0)),"")</f>
        <v/>
      </c>
      <c r="N81" s="14" t="str" ph="1">
        <f>IFERROR(INDEX([1]!_born[生没年],
MATCH(K81,[1]!_born[作],0)),"")</f>
        <v/>
      </c>
      <c r="O81" s="13" t="s" ph="1">
        <v>3850</v>
      </c>
      <c r="R81" s="16" t="s" ph="1">
        <v>279</v>
      </c>
      <c r="T81" s="13" t="s" ph="1">
        <v>3761</v>
      </c>
      <c r="U81" s="16" ph="1">
        <v>36807</v>
      </c>
      <c r="V81" s="17" ph="1">
        <v>2900</v>
      </c>
      <c r="W81" s="17" ph="1">
        <v>0</v>
      </c>
      <c r="X81" s="13" t="s" ph="1">
        <v>3622</v>
      </c>
      <c r="Y81" s="13" t="s" ph="1">
        <v>3623</v>
      </c>
    </row>
    <row r="82" spans="1:25" ht="22.5" customHeight="1" ph="1" x14ac:dyDescent="0.35">
      <c r="C82" s="13" t="s" ph="1">
        <v>25</v>
      </c>
      <c r="G82" s="13" t="s" ph="1">
        <v>3838</v>
      </c>
      <c r="H82" s="13" t="s" ph="1">
        <v>43</v>
      </c>
      <c r="I82" s="13" t="s" ph="1">
        <v>3851</v>
      </c>
      <c r="J82" s="13" t="s" ph="1">
        <v>3671</v>
      </c>
      <c r="M82" s="14" t="str" ph="1">
        <f>IFERROR(INDEX([1]!_born[生没年],
MATCH(I82,[1]!_born[作],0)),"")</f>
        <v/>
      </c>
      <c r="N82" s="14" t="str" ph="1">
        <f>IFERROR(INDEX([1]!_born[生没年],
MATCH(K82,[1]!_born[作],0)),"")</f>
        <v/>
      </c>
      <c r="O82" s="13" t="s" ph="1">
        <v>3852</v>
      </c>
      <c r="R82" s="16" t="s" ph="1">
        <v>648</v>
      </c>
      <c r="S82" s="13" t="s" ph="1">
        <v>3853</v>
      </c>
      <c r="T82" s="13" t="s" ph="1">
        <v>3854</v>
      </c>
      <c r="U82" s="16" ph="1">
        <v>36807</v>
      </c>
      <c r="V82" s="17" ph="1">
        <f>1500*1.05</f>
        <v>1575</v>
      </c>
      <c r="W82" s="17" ph="1">
        <v>0</v>
      </c>
      <c r="X82" s="13" t="s" ph="1">
        <v>3855</v>
      </c>
      <c r="Y82" s="13" t="s" ph="1">
        <v>3856</v>
      </c>
    </row>
    <row r="83" spans="1:25" ht="22.5" customHeight="1" ph="1" x14ac:dyDescent="0.35">
      <c r="C83" s="13" t="s" ph="1">
        <v>25</v>
      </c>
      <c r="G83" s="13" t="s" ph="1">
        <v>3857</v>
      </c>
      <c r="I83" s="13" t="s" ph="1">
        <v>3858</v>
      </c>
      <c r="M83" s="14" t="str" ph="1">
        <f>IFERROR(INDEX([1]!_born[生没年],
MATCH(I83,[1]!_born[作],0)),"")</f>
        <v/>
      </c>
      <c r="N83" s="14" t="str" ph="1">
        <f>IFERROR(INDEX([1]!_born[生没年],
MATCH(K83,[1]!_born[作],0)),"")</f>
        <v/>
      </c>
      <c r="O83" s="13" t="s" ph="1">
        <v>3859</v>
      </c>
      <c r="R83" s="16" t="s" ph="1">
        <v>222</v>
      </c>
      <c r="T83" s="13" t="s" ph="1">
        <v>3860</v>
      </c>
      <c r="U83" s="16" ph="1">
        <v>36807</v>
      </c>
      <c r="V83" s="17" ph="1">
        <v>1600</v>
      </c>
      <c r="W83" s="17" ph="1">
        <v>0</v>
      </c>
      <c r="X83" s="13" t="s" ph="1">
        <v>3622</v>
      </c>
      <c r="Y83" s="13" t="s" ph="1">
        <v>3623</v>
      </c>
    </row>
    <row r="84" spans="1:25" ht="22.5" customHeight="1" ph="1" x14ac:dyDescent="0.35">
      <c r="C84" s="13" t="s" ph="1">
        <v>25</v>
      </c>
      <c r="G84" s="13" t="s" ph="1">
        <v>3793</v>
      </c>
      <c r="H84" s="13" t="s" ph="1">
        <v>61</v>
      </c>
      <c r="I84" s="13" t="s" ph="1">
        <v>3861</v>
      </c>
      <c r="J84" s="13" t="s" ph="1">
        <v>3616</v>
      </c>
      <c r="M84" s="14" t="str" ph="1">
        <f>IFERROR(INDEX([1]!_born[生没年],
MATCH(I84,[1]!_born[作],0)),"")</f>
        <v/>
      </c>
      <c r="N84" s="14" t="str" ph="1">
        <f>IFERROR(INDEX([1]!_born[生没年],
MATCH(K84,[1]!_born[作],0)),"")</f>
        <v/>
      </c>
      <c r="O84" s="13" t="s" ph="1">
        <v>3862</v>
      </c>
      <c r="R84" s="16" t="s" ph="1">
        <v>279</v>
      </c>
      <c r="T84" s="13" t="s" ph="1">
        <v>3863</v>
      </c>
      <c r="U84" s="16" ph="1">
        <v>36807</v>
      </c>
      <c r="V84" s="17" ph="1">
        <v>2300</v>
      </c>
      <c r="W84" s="17" ph="1">
        <v>0</v>
      </c>
      <c r="X84" s="13" t="s" ph="1">
        <v>3622</v>
      </c>
      <c r="Y84" s="13" t="s" ph="1">
        <v>3623</v>
      </c>
    </row>
    <row r="85" spans="1:25" ht="22.5" customHeight="1" ph="1" x14ac:dyDescent="0.35">
      <c r="C85" s="13" t="s" ph="1">
        <v>25</v>
      </c>
      <c r="G85" s="13" t="s" ph="1">
        <v>130</v>
      </c>
      <c r="H85" s="13" t="s" ph="1">
        <v>43</v>
      </c>
      <c r="I85" s="13" t="s" ph="1">
        <v>3864</v>
      </c>
      <c r="M85" s="14" t="str" ph="1">
        <f>IFERROR(INDEX([1]!_born[生没年],
MATCH(I85,[1]!_born[作],0)),"")</f>
        <v/>
      </c>
      <c r="N85" s="14" t="str" ph="1">
        <f>IFERROR(INDEX([1]!_born[生没年],
MATCH(K85,[1]!_born[作],0)),"")</f>
        <v/>
      </c>
      <c r="O85" s="13" t="s" ph="1">
        <v>3865</v>
      </c>
      <c r="R85" s="16" t="s" ph="1">
        <v>651</v>
      </c>
      <c r="S85" s="13" t="s" ph="1">
        <v>652</v>
      </c>
      <c r="T85" s="13" t="s" ph="1">
        <v>3823</v>
      </c>
      <c r="U85" s="16" ph="1">
        <v>37904</v>
      </c>
      <c r="V85" s="17" ph="1">
        <v>2400</v>
      </c>
      <c r="W85" s="17" ph="1">
        <v>1050</v>
      </c>
      <c r="X85" s="13" t="s" ph="1">
        <v>3632</v>
      </c>
      <c r="Y85" s="13" t="s" ph="1">
        <v>3866</v>
      </c>
    </row>
    <row r="86" spans="1:25" ht="22.5" customHeight="1" ph="1" x14ac:dyDescent="0.35">
      <c r="C86" s="13" t="s" ph="1">
        <v>25</v>
      </c>
      <c r="G86" s="13" t="s" ph="1">
        <v>130</v>
      </c>
      <c r="H86" s="13" t="s" ph="1">
        <v>43</v>
      </c>
      <c r="I86" s="13" t="s" ph="1">
        <v>3867</v>
      </c>
      <c r="M86" s="14" t="str" ph="1">
        <f>IFERROR(INDEX([1]!_born[生没年],
MATCH(I86,[1]!_born[作],0)),"")</f>
        <v/>
      </c>
      <c r="N86" s="14" t="str" ph="1">
        <f>IFERROR(INDEX([1]!_born[生没年],
MATCH(K86,[1]!_born[作],0)),"")</f>
        <v/>
      </c>
      <c r="O86" s="13" t="s" ph="1">
        <v>3868</v>
      </c>
      <c r="T86" s="13" t="s" ph="1">
        <v>3869</v>
      </c>
    </row>
    <row r="87" spans="1:25" ht="22.5" customHeight="1" ph="1" x14ac:dyDescent="0.35">
      <c r="C87" s="13" t="s" ph="1">
        <v>25</v>
      </c>
      <c r="G87" s="13" t="s" ph="1">
        <v>130</v>
      </c>
      <c r="H87" s="13" t="s" ph="1">
        <v>43</v>
      </c>
      <c r="I87" s="13" t="s" ph="1">
        <v>3870</v>
      </c>
      <c r="M87" s="14" t="str" ph="1">
        <f>IFERROR(INDEX([1]!_born[生没年],
MATCH(I87,[1]!_born[作],0)),"")</f>
        <v/>
      </c>
      <c r="N87" s="14" t="str" ph="1">
        <f>IFERROR(INDEX([1]!_born[生没年],
MATCH(K87,[1]!_born[作],0)),"")</f>
        <v/>
      </c>
      <c r="O87" s="13" t="s" ph="1">
        <v>3871</v>
      </c>
      <c r="R87" s="16" t="s" ph="1">
        <v>523</v>
      </c>
      <c r="T87" s="13" t="s" ph="1">
        <v>3872</v>
      </c>
      <c r="V87" s="17" ph="1">
        <v>380</v>
      </c>
      <c r="W87" s="17" ph="1">
        <v>300</v>
      </c>
      <c r="X87" s="5" t="s" ph="1">
        <v>480</v>
      </c>
      <c r="Y87" s="5" ph="1"/>
    </row>
    <row r="88" spans="1:25" ht="22.5" customHeight="1" ph="1" x14ac:dyDescent="0.35">
      <c r="C88" s="13" t="s" ph="1">
        <v>25</v>
      </c>
      <c r="G88" s="13" t="s" ph="1">
        <v>112</v>
      </c>
      <c r="H88" s="13" t="s" ph="1">
        <v>43</v>
      </c>
      <c r="I88" s="13" t="s" ph="1">
        <v>187</v>
      </c>
      <c r="K88" s="13" t="s" ph="1">
        <v>3873</v>
      </c>
      <c r="L88" s="13" t="s" ph="1">
        <v>3628</v>
      </c>
      <c r="M88" s="14" t="str" ph="1">
        <f>IFERROR(INDEX([1]!_born[生没年],
MATCH(I88,[1]!_born[作],0)),"")</f>
        <v/>
      </c>
      <c r="N88" s="14" t="str" ph="1">
        <f>IFERROR(INDEX([1]!_born[生没年],
MATCH(K88,[1]!_born[作],0)),"")</f>
        <v/>
      </c>
      <c r="O88" s="13" t="s" ph="1">
        <v>3874</v>
      </c>
      <c r="R88" s="16" t="s" ph="1">
        <v>653</v>
      </c>
      <c r="T88" s="13" t="s" ph="1">
        <v>3810</v>
      </c>
      <c r="U88" s="16" ph="1">
        <v>37541</v>
      </c>
      <c r="V88" s="17" ph="1">
        <f>1900*1.05</f>
        <v>1995</v>
      </c>
      <c r="W88" s="17"/>
      <c r="X88" s="5" t="s" ph="1">
        <v>3875</v>
      </c>
      <c r="Y88" s="5" ph="1"/>
    </row>
    <row r="89" spans="1:25" ht="22.5" customHeight="1" ph="1" x14ac:dyDescent="0.35">
      <c r="A89" s="106" t="s" ph="1">
        <v>3189</v>
      </c>
      <c r="B89" s="5" t="s" ph="1">
        <v>3188</v>
      </c>
      <c r="C89" s="13" t="s" ph="1">
        <v>25</v>
      </c>
      <c r="G89" s="13" t="s" ph="1">
        <v>3876</v>
      </c>
      <c r="H89" s="13" t="s" ph="1">
        <v>61</v>
      </c>
      <c r="I89" s="13" t="s" ph="1">
        <v>3877</v>
      </c>
      <c r="J89" s="13" t="s" ph="1">
        <v>3664</v>
      </c>
      <c r="K89" s="13" t="s" ph="1">
        <v>3878</v>
      </c>
      <c r="L89" s="13" t="s" ph="1">
        <v>3879</v>
      </c>
      <c r="M89" s="14" t="str" ph="1">
        <f>IFERROR(INDEX([1]!_born[生没年],
MATCH(I89,[1]!_born[作],0)),"")</f>
        <v/>
      </c>
      <c r="N89" s="14" t="str" ph="1">
        <f>IFERROR(INDEX([1]!_born[生没年],
MATCH(K89,[1]!_born[作],0)),"")</f>
        <v/>
      </c>
      <c r="O89" s="13" t="s" ph="1">
        <v>3880</v>
      </c>
      <c r="R89" s="16" t="s" ph="1">
        <v>3190</v>
      </c>
      <c r="S89" s="13" t="s" ph="1">
        <v>3881</v>
      </c>
      <c r="T89" s="13" t="s" ph="1">
        <v>3882</v>
      </c>
      <c r="U89" s="16" ph="1">
        <v>44980</v>
      </c>
      <c r="V89" s="17" ph="1">
        <v>1300</v>
      </c>
      <c r="W89" s="17" t="s" ph="1">
        <v>1225</v>
      </c>
      <c r="X89" s="13" t="s" ph="1">
        <v>3883</v>
      </c>
    </row>
    <row r="90" spans="1:25" ht="22.5" customHeight="1" ph="1" x14ac:dyDescent="0.35">
      <c r="A90" s="106" t="s" ph="1">
        <v>3119</v>
      </c>
      <c r="B90" s="5" t="s" ph="1">
        <v>2030</v>
      </c>
      <c r="C90" s="13" t="s" ph="1">
        <v>25</v>
      </c>
      <c r="G90" s="13" t="s" ph="1">
        <v>3884</v>
      </c>
      <c r="H90" s="13" t="s" ph="1">
        <v>61</v>
      </c>
      <c r="I90" s="13" t="s" ph="1">
        <v>3885</v>
      </c>
      <c r="J90" s="13" t="s" ph="1">
        <v>3664</v>
      </c>
      <c r="M90" s="14" t="str" ph="1">
        <f>IFERROR(INDEX([1]!_born[生没年],
MATCH(I90,[1]!_born[作],0)),"")</f>
        <v/>
      </c>
      <c r="N90" s="14" t="str" ph="1">
        <f>IFERROR(INDEX([1]!_born[生没年],
MATCH(K90,[1]!_born[作],0)),"")</f>
        <v/>
      </c>
      <c r="O90" s="13" t="s" ph="1">
        <v>3886</v>
      </c>
      <c r="R90" s="16" ph="1">
        <v>44153</v>
      </c>
      <c r="T90" s="13" t="s" ph="1">
        <v>3887</v>
      </c>
      <c r="U90" s="16" ph="1">
        <v>44337</v>
      </c>
      <c r="V90" s="17" ph="1">
        <f>1600*1.1</f>
        <v>1760.0000000000002</v>
      </c>
      <c r="W90" s="17" ph="1">
        <f>1600*1.1</f>
        <v>1760.0000000000002</v>
      </c>
      <c r="X90" s="13" t="s" ph="1">
        <v>3888</v>
      </c>
      <c r="Y90" s="5" ph="1"/>
    </row>
    <row r="91" spans="1:25" ht="22.5" customHeight="1" ph="1" x14ac:dyDescent="0.35">
      <c r="C91" s="13" t="s" ph="1">
        <v>25</v>
      </c>
      <c r="G91" s="13" t="s" ph="1">
        <v>3884</v>
      </c>
      <c r="H91" s="13" t="s" ph="1">
        <v>61</v>
      </c>
      <c r="I91" s="13" t="s" ph="1">
        <v>3889</v>
      </c>
      <c r="J91" s="13" t="s" ph="1">
        <v>3752</v>
      </c>
      <c r="M91" s="14" t="str" ph="1">
        <f>IFERROR(INDEX([1]!_born[生没年],
MATCH(I91,[1]!_born[作],0)),"")</f>
        <v/>
      </c>
      <c r="N91" s="14" t="str" ph="1">
        <f>IFERROR(INDEX([1]!_born[生没年],
MATCH(K91,[1]!_born[作],0)),"")</f>
        <v/>
      </c>
      <c r="O91" s="13" t="s" ph="1">
        <v>3890</v>
      </c>
      <c r="R91" s="16" t="s" ph="1">
        <v>349</v>
      </c>
      <c r="T91" s="13" t="s" ph="1">
        <v>3891</v>
      </c>
      <c r="U91" s="16" ph="1">
        <v>37541</v>
      </c>
      <c r="V91" s="17" ph="1">
        <f>2800*1.05</f>
        <v>2940</v>
      </c>
      <c r="W91" s="17"/>
      <c r="X91" s="5" t="s" ph="1">
        <v>3875</v>
      </c>
      <c r="Y91" s="5" ph="1"/>
    </row>
    <row r="92" spans="1:25" ht="22.5" customHeight="1" ph="1" x14ac:dyDescent="0.35">
      <c r="C92" s="13" t="s" ph="1">
        <v>25</v>
      </c>
      <c r="G92" s="13" t="s" ph="1">
        <v>3884</v>
      </c>
      <c r="H92" s="13" t="s" ph="1">
        <v>61</v>
      </c>
      <c r="I92" s="13" t="s" ph="1">
        <v>3892</v>
      </c>
      <c r="J92" s="13" t="s" ph="1">
        <v>3752</v>
      </c>
      <c r="M92" s="14" t="str" ph="1">
        <f>IFERROR(INDEX([1]!_born[生没年],
MATCH(I92,[1]!_born[作],0)),"")</f>
        <v/>
      </c>
      <c r="N92" s="14" t="str" ph="1">
        <f>IFERROR(INDEX([1]!_born[生没年],
MATCH(K92,[1]!_born[作],0)),"")</f>
        <v/>
      </c>
      <c r="O92" s="13" t="s" ph="1">
        <v>3893</v>
      </c>
      <c r="T92" s="13" t="s" ph="1">
        <v>3894</v>
      </c>
    </row>
    <row r="93" spans="1:25" ht="22.5" customHeight="1" ph="1" x14ac:dyDescent="0.35">
      <c r="C93" s="13" t="s" ph="1">
        <v>25</v>
      </c>
      <c r="G93" s="13" t="s" ph="1">
        <v>3884</v>
      </c>
      <c r="H93" s="13" t="s" ph="1">
        <v>61</v>
      </c>
      <c r="M93" s="14" t="str" ph="1">
        <f>IFERROR(INDEX([1]!_born[生没年],
MATCH(I93,[1]!_born[作],0)),"")</f>
        <v/>
      </c>
      <c r="N93" s="14" t="str" ph="1">
        <f>IFERROR(INDEX([1]!_born[生没年],
MATCH(K93,[1]!_born[作],0)),"")</f>
        <v/>
      </c>
      <c r="O93" s="13" t="s" ph="1">
        <v>3895</v>
      </c>
      <c r="T93" s="13" t="s" ph="1">
        <v>3896</v>
      </c>
    </row>
    <row r="94" spans="1:25" ht="22.5" customHeight="1" ph="1" x14ac:dyDescent="0.35">
      <c r="C94" s="13" t="s" ph="1">
        <v>25</v>
      </c>
      <c r="G94" s="13" t="s" ph="1">
        <v>3884</v>
      </c>
      <c r="H94" s="13" t="s" ph="1">
        <v>61</v>
      </c>
      <c r="M94" s="14" t="str" ph="1">
        <f>IFERROR(INDEX([1]!_born[生没年],
MATCH(I94,[1]!_born[作],0)),"")</f>
        <v/>
      </c>
      <c r="N94" s="14" t="str" ph="1">
        <f>IFERROR(INDEX([1]!_born[生没年],
MATCH(K94,[1]!_born[作],0)),"")</f>
        <v/>
      </c>
      <c r="O94" s="13" t="s" ph="1">
        <v>3897</v>
      </c>
      <c r="T94" s="13" t="s" ph="1">
        <v>3896</v>
      </c>
    </row>
    <row r="95" spans="1:25" ht="22.5" customHeight="1" ph="1" x14ac:dyDescent="0.35">
      <c r="A95" s="106" t="s" ph="1">
        <v>2633</v>
      </c>
      <c r="B95" s="5" t="s" ph="1">
        <v>2634</v>
      </c>
      <c r="C95" s="13" t="s" ph="1">
        <v>25</v>
      </c>
      <c r="G95" s="13" t="s" ph="1">
        <v>3884</v>
      </c>
      <c r="H95" s="13" t="s" ph="1">
        <v>61</v>
      </c>
      <c r="I95" s="13" t="s" ph="1">
        <v>3898</v>
      </c>
      <c r="M95" s="14" t="str" ph="1">
        <f>IFERROR(INDEX([1]!_born[生没年],
MATCH(I95,[1]!_born[作],0)),"")</f>
        <v/>
      </c>
      <c r="N95" s="14" t="str" ph="1">
        <f>IFERROR(INDEX([1]!_born[生没年],
MATCH(K95,[1]!_born[作],0)),"")</f>
        <v/>
      </c>
      <c r="O95" s="13" t="s" ph="1">
        <v>3899</v>
      </c>
      <c r="R95" s="16" ph="1">
        <v>38636</v>
      </c>
      <c r="T95" s="13" t="s" ph="1">
        <v>3900</v>
      </c>
      <c r="U95" s="16" t="s" ph="1">
        <v>50</v>
      </c>
      <c r="V95" s="17" ph="1">
        <f>1500*1.05</f>
        <v>1575</v>
      </c>
      <c r="W95" s="17" ph="1">
        <v>0</v>
      </c>
      <c r="X95" s="13" t="s" ph="1">
        <v>3901</v>
      </c>
    </row>
    <row r="96" spans="1:25" ht="22.5" customHeight="1" ph="1" x14ac:dyDescent="0.35">
      <c r="A96" s="106" t="s" ph="1">
        <v>2654</v>
      </c>
      <c r="B96" s="5" t="s" ph="1">
        <v>571</v>
      </c>
      <c r="C96" s="13" t="s" ph="1">
        <v>25</v>
      </c>
      <c r="G96" s="13" t="s" ph="1">
        <v>3876</v>
      </c>
      <c r="H96" s="13" t="s" ph="1">
        <v>3902</v>
      </c>
      <c r="I96" s="13" t="s" ph="1">
        <v>3903</v>
      </c>
      <c r="J96" s="13" t="s" ph="1">
        <v>3904</v>
      </c>
      <c r="M96" s="14" t="str" ph="1">
        <f>IFERROR(INDEX([1]!_born[生没年],
MATCH(I96,[1]!_born[作],0)),"")</f>
        <v/>
      </c>
      <c r="N96" s="14" t="str" ph="1">
        <f>IFERROR(INDEX([1]!_born[生没年],
MATCH(K96,[1]!_born[作],0)),"")</f>
        <v/>
      </c>
      <c r="O96" s="13" t="s" ph="1">
        <v>3905</v>
      </c>
      <c r="R96" s="16" ph="1">
        <v>41193</v>
      </c>
      <c r="T96" s="13" t="s" ph="1">
        <v>3906</v>
      </c>
      <c r="U96" s="16" ph="1">
        <v>41193</v>
      </c>
      <c r="V96" s="17" ph="1">
        <f>1100*1.05</f>
        <v>1155</v>
      </c>
      <c r="W96" s="17" ph="1">
        <f>1100*1.05</f>
        <v>1155</v>
      </c>
      <c r="X96" s="5" t="s" ph="1">
        <v>3907</v>
      </c>
      <c r="Y96" s="5" t="s" ph="1">
        <v>3908</v>
      </c>
    </row>
    <row r="97" spans="3:25" ht="22.5" customHeight="1" ph="1" x14ac:dyDescent="0.35">
      <c r="C97" s="13" t="s" ph="1">
        <v>25</v>
      </c>
      <c r="G97" s="13" t="s" ph="1">
        <v>3857</v>
      </c>
      <c r="H97" s="13" t="s" ph="1">
        <v>61</v>
      </c>
      <c r="I97" s="13" t="s" ph="1">
        <v>3909</v>
      </c>
      <c r="J97" s="13" t="s" ph="1">
        <v>3671</v>
      </c>
      <c r="M97" s="14" t="str" ph="1">
        <f>IFERROR(INDEX([1]!_born[生没年],
MATCH(I97,[1]!_born[作],0)),"")</f>
        <v/>
      </c>
      <c r="N97" s="14" t="str" ph="1">
        <f>IFERROR(INDEX([1]!_born[生没年],
MATCH(K97,[1]!_born[作],0)),"")</f>
        <v/>
      </c>
      <c r="O97" s="13" t="s" ph="1">
        <v>3910</v>
      </c>
      <c r="S97" s="13" t="s" ph="1">
        <v>3911</v>
      </c>
      <c r="T97" s="13" t="s" ph="1">
        <v>3912</v>
      </c>
      <c r="U97" s="16" t="s" ph="1">
        <v>50</v>
      </c>
      <c r="V97" s="17" ph="1">
        <v>790</v>
      </c>
    </row>
    <row r="98" spans="3:25" ht="22.5" customHeight="1" ph="1" x14ac:dyDescent="0.35">
      <c r="C98" s="13" t="s" ph="1">
        <v>25</v>
      </c>
      <c r="G98" s="13" t="s" ph="1">
        <v>49</v>
      </c>
      <c r="H98" s="13" t="s" ph="1">
        <v>61</v>
      </c>
      <c r="I98" s="13" t="s" ph="1">
        <v>3913</v>
      </c>
      <c r="K98" s="13" t="s" ph="1">
        <v>3914</v>
      </c>
      <c r="L98" s="13" t="s" ph="1">
        <v>3915</v>
      </c>
      <c r="M98" s="14" t="str" ph="1">
        <f>IFERROR(INDEX([1]!_born[生没年],
MATCH(I98,[1]!_born[作],0)),"")</f>
        <v/>
      </c>
      <c r="N98" s="14" t="str" ph="1">
        <f>IFERROR(INDEX([1]!_born[生没年],
MATCH(K98,[1]!_born[作],0)),"")</f>
        <v/>
      </c>
      <c r="O98" s="13" t="s" ph="1">
        <v>3916</v>
      </c>
      <c r="T98" s="13" t="s" ph="1">
        <v>3917</v>
      </c>
      <c r="U98" s="16" t="s" ph="1">
        <v>706</v>
      </c>
      <c r="V98" s="17" ph="1">
        <v>980</v>
      </c>
    </row>
    <row r="99" spans="3:25" ht="22.5" customHeight="1" ph="1" x14ac:dyDescent="0.35">
      <c r="C99" s="13" t="s" ph="1">
        <v>707</v>
      </c>
      <c r="G99" s="13" t="s" ph="1">
        <v>708</v>
      </c>
      <c r="H99" s="13" t="s" ph="1">
        <v>709</v>
      </c>
      <c r="I99" s="13" t="s" ph="1">
        <v>3918</v>
      </c>
      <c r="J99" s="13" t="s" ph="1">
        <v>3671</v>
      </c>
      <c r="K99" s="13" t="s" ph="1">
        <v>3919</v>
      </c>
      <c r="L99" s="13" t="s" ph="1">
        <v>3915</v>
      </c>
      <c r="M99" s="14" t="str" ph="1">
        <f>IFERROR(INDEX([1]!_born[生没年],
MATCH(I99,[1]!_born[作],0)),"")</f>
        <v/>
      </c>
      <c r="N99" s="14" t="str" ph="1">
        <f>IFERROR(INDEX([1]!_born[生没年],
MATCH(K99,[1]!_born[作],0)),"")</f>
        <v/>
      </c>
      <c r="O99" s="13" t="s" ph="1">
        <v>3920</v>
      </c>
      <c r="T99" s="13" t="s" ph="1">
        <v>3917</v>
      </c>
      <c r="U99" s="16" t="s" ph="1">
        <v>706</v>
      </c>
      <c r="V99" s="17" ph="1">
        <v>980</v>
      </c>
    </row>
    <row r="100" spans="3:25" ht="22.5" customHeight="1" ph="1" x14ac:dyDescent="0.35">
      <c r="C100" s="13" t="s" ph="1">
        <v>707</v>
      </c>
      <c r="G100" s="13" t="s" ph="1">
        <v>708</v>
      </c>
      <c r="H100" s="13" t="s" ph="1">
        <v>709</v>
      </c>
      <c r="I100" s="13" t="s" ph="1">
        <v>231</v>
      </c>
      <c r="K100" s="13" t="s" ph="1">
        <v>3921</v>
      </c>
      <c r="L100" s="13" t="s" ph="1">
        <v>3628</v>
      </c>
      <c r="M100" s="14" t="str" ph="1">
        <f>IFERROR(INDEX([1]!_born[生没年],
MATCH(I100,[1]!_born[作],0)),"")</f>
        <v/>
      </c>
      <c r="N100" s="14" t="str" ph="1">
        <f>IFERROR(INDEX([1]!_born[生没年],
MATCH(K100,[1]!_born[作],0)),"")</f>
        <v/>
      </c>
      <c r="O100" s="13" t="s" ph="1">
        <v>3922</v>
      </c>
      <c r="R100" s="16" t="s" ph="1">
        <v>710</v>
      </c>
      <c r="T100" s="13" t="s" ph="1">
        <v>3891</v>
      </c>
      <c r="V100" s="17" ph="1">
        <f>2718*1.05</f>
        <v>2853.9</v>
      </c>
    </row>
    <row r="101" spans="3:25" ht="22.5" customHeight="1" ph="1" x14ac:dyDescent="0.35">
      <c r="C101" s="13" t="s" ph="1">
        <v>707</v>
      </c>
      <c r="G101" s="13" t="s" ph="1">
        <v>708</v>
      </c>
      <c r="H101" s="13" t="s" ph="1">
        <v>709</v>
      </c>
      <c r="I101" s="13" t="s" ph="1">
        <v>232</v>
      </c>
      <c r="K101" s="13" t="s" ph="1">
        <v>3923</v>
      </c>
      <c r="L101" s="13" t="s" ph="1">
        <v>3924</v>
      </c>
      <c r="M101" s="14" t="str" ph="1">
        <f>IFERROR(INDEX([1]!_born[生没年],
MATCH(I101,[1]!_born[作],0)),"")</f>
        <v/>
      </c>
      <c r="N101" s="14" t="str" ph="1">
        <f>IFERROR(INDEX([1]!_born[生没年],
MATCH(K101,[1]!_born[作],0)),"")</f>
        <v/>
      </c>
      <c r="O101" s="13" t="s" ph="1">
        <v>3925</v>
      </c>
      <c r="R101" s="16" t="s" ph="1">
        <v>1866</v>
      </c>
      <c r="T101" s="13" t="s" ph="1">
        <v>3926</v>
      </c>
      <c r="V101" s="17" ph="1">
        <v>2000</v>
      </c>
    </row>
    <row r="102" spans="3:25" ht="22.5" customHeight="1" ph="1" x14ac:dyDescent="0.35">
      <c r="C102" s="13" t="s" ph="1">
        <v>707</v>
      </c>
      <c r="G102" s="13" t="s" ph="1">
        <v>708</v>
      </c>
      <c r="H102" s="13" t="s" ph="1">
        <v>709</v>
      </c>
      <c r="I102" s="13" t="s" ph="1">
        <v>233</v>
      </c>
      <c r="K102" s="13" t="s" ph="1">
        <v>3927</v>
      </c>
      <c r="L102" s="13" t="s" ph="1">
        <v>3628</v>
      </c>
      <c r="M102" s="14" t="str" ph="1">
        <f>IFERROR(INDEX([1]!_born[生没年],
MATCH(I102,[1]!_born[作],0)),"")</f>
        <v/>
      </c>
      <c r="N102" s="14" t="str" ph="1">
        <f>IFERROR(INDEX([1]!_born[生没年],
MATCH(K102,[1]!_born[作],0)),"")</f>
        <v/>
      </c>
      <c r="O102" s="13" t="s" ph="1">
        <v>3928</v>
      </c>
      <c r="R102" s="16" t="s" ph="1">
        <v>1867</v>
      </c>
      <c r="T102" s="13" t="s" ph="1">
        <v>3929</v>
      </c>
      <c r="V102" s="17" ph="1">
        <v>3500</v>
      </c>
      <c r="W102" s="17" t="s" ph="1">
        <v>3930</v>
      </c>
    </row>
    <row r="103" spans="3:25" ht="22.5" customHeight="1" ph="1" x14ac:dyDescent="0.35">
      <c r="C103" s="13" t="s" ph="1">
        <v>707</v>
      </c>
      <c r="G103" s="13" t="s" ph="1">
        <v>708</v>
      </c>
      <c r="H103" s="13" t="s" ph="1">
        <v>709</v>
      </c>
      <c r="I103" s="13" t="s" ph="1">
        <v>234</v>
      </c>
      <c r="K103" s="13" t="s" ph="1">
        <v>3931</v>
      </c>
      <c r="L103" s="13" t="s" ph="1">
        <v>3628</v>
      </c>
      <c r="M103" s="14" t="str" ph="1">
        <f>IFERROR(INDEX([1]!_born[生没年],
MATCH(I103,[1]!_born[作],0)),"")</f>
        <v/>
      </c>
      <c r="N103" s="14" t="str" ph="1">
        <f>IFERROR(INDEX([1]!_born[生没年],
MATCH(K103,[1]!_born[作],0)),"")</f>
        <v/>
      </c>
      <c r="O103" s="13" t="s" ph="1">
        <v>3932</v>
      </c>
      <c r="R103" s="16" t="s" ph="1">
        <v>1868</v>
      </c>
      <c r="T103" s="13" t="s" ph="1">
        <v>3933</v>
      </c>
      <c r="U103" s="16" ph="1">
        <v>36863</v>
      </c>
      <c r="V103" s="17" ph="1">
        <v>1300</v>
      </c>
      <c r="W103" s="17" t="s" ph="1">
        <v>1869</v>
      </c>
      <c r="X103" s="13" t="s" ph="1">
        <v>3934</v>
      </c>
    </row>
    <row r="104" spans="3:25" ht="22.5" customHeight="1" ph="1" x14ac:dyDescent="0.35">
      <c r="C104" s="13" t="s" ph="1">
        <v>1172</v>
      </c>
      <c r="G104" s="13" t="s" ph="1">
        <v>3857</v>
      </c>
      <c r="H104" s="13" t="s" ph="1">
        <v>709</v>
      </c>
      <c r="M104" s="14" t="str" ph="1">
        <f>IFERROR(INDEX([1]!_born[生没年],
MATCH(I104,[1]!_born[作],0)),"")</f>
        <v/>
      </c>
      <c r="N104" s="14" t="str" ph="1">
        <f>IFERROR(INDEX([1]!_born[生没年],
MATCH(K104,[1]!_born[作],0)),"")</f>
        <v/>
      </c>
      <c r="O104" s="13" t="s" ph="1">
        <v>545</v>
      </c>
      <c r="U104" s="16" t="s" ph="1">
        <v>706</v>
      </c>
      <c r="V104" s="17" ph="1">
        <v>300</v>
      </c>
    </row>
    <row r="105" spans="3:25" ht="22.5" customHeight="1" ph="1" x14ac:dyDescent="0.35">
      <c r="C105" s="13" t="s" ph="1">
        <v>1172</v>
      </c>
      <c r="G105" s="13" t="s" ph="1">
        <v>3857</v>
      </c>
      <c r="H105" s="13" t="s" ph="1">
        <v>716</v>
      </c>
      <c r="M105" s="14" t="str" ph="1">
        <f>IFERROR(INDEX([1]!_born[生没年],
MATCH(I105,[1]!_born[作],0)),"")</f>
        <v/>
      </c>
      <c r="N105" s="14" t="str" ph="1">
        <f>IFERROR(INDEX([1]!_born[生没年],
MATCH(K105,[1]!_born[作],0)),"")</f>
        <v/>
      </c>
      <c r="O105" s="13" t="s" ph="1">
        <v>3935</v>
      </c>
      <c r="U105" s="16" t="s" ph="1">
        <v>706</v>
      </c>
      <c r="V105" s="17" ph="1">
        <v>300</v>
      </c>
    </row>
    <row r="106" spans="3:25" ht="22.5" customHeight="1" ph="1" x14ac:dyDescent="0.35">
      <c r="C106" s="13" t="s" ph="1">
        <v>707</v>
      </c>
      <c r="G106" s="13" t="s" ph="1">
        <v>3857</v>
      </c>
      <c r="H106" s="13" t="s" ph="1">
        <v>716</v>
      </c>
      <c r="I106" s="13" t="s" ph="1">
        <v>3936</v>
      </c>
      <c r="M106" s="14" t="str" ph="1">
        <f>IFERROR(INDEX([1]!_born[生没年],
MATCH(I106,[1]!_born[作],0)),"")</f>
        <v/>
      </c>
      <c r="N106" s="14" t="str" ph="1">
        <f>IFERROR(INDEX([1]!_born[生没年],
MATCH(K106,[1]!_born[作],0)),"")</f>
        <v/>
      </c>
      <c r="O106" s="13" t="s" ph="1">
        <v>3937</v>
      </c>
      <c r="S106" s="13" t="s" ph="1">
        <v>485</v>
      </c>
      <c r="T106" s="13" t="s" ph="1">
        <v>3938</v>
      </c>
      <c r="U106" s="16" t="s" ph="1">
        <v>706</v>
      </c>
      <c r="V106" s="17" ph="1">
        <v>1300</v>
      </c>
      <c r="W106" s="17" ph="1">
        <v>900</v>
      </c>
    </row>
    <row r="107" spans="3:25" ht="22.5" customHeight="1" ph="1" x14ac:dyDescent="0.35">
      <c r="C107" s="13" t="s" ph="1">
        <v>707</v>
      </c>
      <c r="G107" s="13" t="s" ph="1">
        <v>3939</v>
      </c>
      <c r="H107" s="13" t="s" ph="1">
        <v>709</v>
      </c>
      <c r="I107" s="13" t="s" ph="1">
        <v>3940</v>
      </c>
      <c r="J107" s="13" t="s" ph="1">
        <v>3941</v>
      </c>
      <c r="K107" s="13" t="s" ph="1">
        <v>3942</v>
      </c>
      <c r="L107" s="13" t="s" ph="1">
        <v>3943</v>
      </c>
      <c r="M107" s="14" t="str" ph="1">
        <f>IFERROR(INDEX([1]!_born[生没年],
MATCH(I107,[1]!_born[作],0)),"")</f>
        <v/>
      </c>
      <c r="N107" s="14" t="str" ph="1">
        <f>IFERROR(INDEX([1]!_born[生没年],
MATCH(K107,[1]!_born[作],0)),"")</f>
        <v/>
      </c>
      <c r="O107" s="13" t="s" ph="1">
        <v>3944</v>
      </c>
      <c r="R107" s="16" t="s" ph="1">
        <v>1870</v>
      </c>
      <c r="S107" s="13" t="s" ph="1">
        <v>1871</v>
      </c>
      <c r="T107" s="13" t="s" ph="1">
        <v>3945</v>
      </c>
      <c r="U107" s="16" ph="1">
        <v>37564</v>
      </c>
      <c r="V107" s="17" ph="1">
        <v>2800</v>
      </c>
      <c r="X107" s="13" t="s" ph="1">
        <v>3786</v>
      </c>
      <c r="Y107" s="13" t="s" ph="1">
        <v>1872</v>
      </c>
    </row>
    <row r="108" spans="3:25" ht="22.5" customHeight="1" ph="1" x14ac:dyDescent="0.35">
      <c r="C108" s="13" t="s" ph="1">
        <v>707</v>
      </c>
      <c r="G108" s="13" t="s" ph="1">
        <v>3939</v>
      </c>
      <c r="H108" s="13" t="s" ph="1">
        <v>709</v>
      </c>
      <c r="I108" s="13" t="s" ph="1">
        <v>3946</v>
      </c>
      <c r="M108" s="14" t="str" ph="1">
        <f>IFERROR(INDEX([1]!_born[生没年],
MATCH(I108,[1]!_born[作],0)),"")</f>
        <v/>
      </c>
      <c r="N108" s="14" t="str" ph="1">
        <f>IFERROR(INDEX([1]!_born[生没年],
MATCH(K108,[1]!_born[作],0)),"")</f>
        <v/>
      </c>
      <c r="O108" s="13" t="s" ph="1">
        <v>3947</v>
      </c>
      <c r="S108" s="13" t="s" ph="1">
        <v>3948</v>
      </c>
      <c r="T108" s="13" t="s" ph="1">
        <v>3780</v>
      </c>
      <c r="V108" s="17" ph="1">
        <f>1400*1.05</f>
        <v>1470</v>
      </c>
    </row>
    <row r="109" spans="3:25" ht="22.5" customHeight="1" ph="1" x14ac:dyDescent="0.35">
      <c r="C109" s="13" t="s" ph="1">
        <v>707</v>
      </c>
      <c r="G109" s="13" t="s" ph="1">
        <v>3939</v>
      </c>
      <c r="H109" s="13" t="s" ph="1">
        <v>716</v>
      </c>
      <c r="I109" s="13" t="s" ph="1">
        <v>3949</v>
      </c>
      <c r="M109" s="14" t="str" ph="1">
        <f>IFERROR(INDEX([1]!_born[生没年],
MATCH(I109,[1]!_born[作],0)),"")</f>
        <v/>
      </c>
      <c r="N109" s="14" t="str" ph="1">
        <f>IFERROR(INDEX([1]!_born[生没年],
MATCH(K109,[1]!_born[作],0)),"")</f>
        <v/>
      </c>
      <c r="O109" s="15" t="s" ph="1">
        <v>3950</v>
      </c>
      <c r="S109" s="13" t="s" ph="1">
        <v>3948</v>
      </c>
      <c r="T109" s="13" t="s" ph="1">
        <v>3780</v>
      </c>
      <c r="U109" s="16" t="s" ph="1">
        <v>706</v>
      </c>
      <c r="V109" s="17" ph="1">
        <v>1100</v>
      </c>
      <c r="W109" s="17" ph="1">
        <v>800</v>
      </c>
    </row>
    <row r="110" spans="3:25" ht="22.5" customHeight="1" ph="1" x14ac:dyDescent="0.35">
      <c r="C110" s="13" t="s" ph="1">
        <v>707</v>
      </c>
      <c r="G110" s="13" t="s" ph="1">
        <v>708</v>
      </c>
      <c r="H110" s="13" t="s" ph="1">
        <v>716</v>
      </c>
      <c r="I110" s="13" t="s" ph="1">
        <v>3951</v>
      </c>
      <c r="K110" s="13" t="s" ph="1">
        <v>3952</v>
      </c>
      <c r="L110" s="13" t="s" ph="1">
        <v>3953</v>
      </c>
      <c r="M110" s="14" t="str" ph="1">
        <f>IFERROR(INDEX([1]!_born[生没年],
MATCH(I110,[1]!_born[作],0)),"")</f>
        <v/>
      </c>
      <c r="N110" s="14" t="str" ph="1">
        <f>IFERROR(INDEX([1]!_born[生没年],
MATCH(K110,[1]!_born[作],0)),"")</f>
        <v/>
      </c>
      <c r="O110" s="13" t="s" ph="1">
        <v>3954</v>
      </c>
      <c r="S110" s="13" t="s" ph="1">
        <v>3955</v>
      </c>
      <c r="T110" s="13" t="s" ph="1">
        <v>3607</v>
      </c>
      <c r="V110" s="17" ph="1">
        <v>1600</v>
      </c>
    </row>
    <row r="111" spans="3:25" ht="22.5" customHeight="1" ph="1" x14ac:dyDescent="0.35">
      <c r="C111" s="13" t="s" ph="1">
        <v>707</v>
      </c>
      <c r="G111" s="13" t="s" ph="1">
        <v>708</v>
      </c>
      <c r="I111" s="13" t="s" ph="1">
        <v>3956</v>
      </c>
      <c r="J111" s="13" t="s" ph="1">
        <v>3616</v>
      </c>
      <c r="M111" s="14" t="str" ph="1">
        <f>IFERROR(INDEX([1]!_born[生没年],
MATCH(I111,[1]!_born[作],0)),"")</f>
        <v/>
      </c>
      <c r="N111" s="14" t="str" ph="1">
        <f>IFERROR(INDEX([1]!_born[生没年],
MATCH(K111,[1]!_born[作],0)),"")</f>
        <v/>
      </c>
      <c r="O111" s="13" t="s" ph="1">
        <v>3957</v>
      </c>
      <c r="T111" s="13" t="s" ph="1">
        <v>3958</v>
      </c>
      <c r="V111" s="17" ph="1">
        <f>1800*1.05</f>
        <v>1890</v>
      </c>
    </row>
    <row r="112" spans="3:25" ht="22.5" customHeight="1" ph="1" x14ac:dyDescent="0.35">
      <c r="C112" s="13" t="s" ph="1">
        <v>707</v>
      </c>
      <c r="G112" s="13" t="s" ph="1">
        <v>3857</v>
      </c>
      <c r="H112" s="13" t="s" ph="1">
        <v>709</v>
      </c>
      <c r="I112" s="13" t="s" ph="1">
        <v>3959</v>
      </c>
      <c r="M112" s="14" t="str" ph="1">
        <f>IFERROR(INDEX([1]!_born[生没年],
MATCH(I112,[1]!_born[作],0)),"")</f>
        <v/>
      </c>
      <c r="N112" s="14" t="str" ph="1">
        <f>IFERROR(INDEX([1]!_born[生没年],
MATCH(K112,[1]!_born[作],0)),"")</f>
        <v/>
      </c>
      <c r="O112" s="13" t="s" ph="1">
        <v>3960</v>
      </c>
      <c r="R112" s="16" t="s" ph="1">
        <v>785</v>
      </c>
      <c r="S112" s="13" t="s" ph="1">
        <v>3961</v>
      </c>
      <c r="T112" s="13" t="s" ph="1">
        <v>3962</v>
      </c>
      <c r="V112" s="17" ph="1">
        <v>750</v>
      </c>
      <c r="W112" s="17" ph="1">
        <v>1000</v>
      </c>
    </row>
    <row r="113" spans="3:25" ht="22.5" customHeight="1" ph="1" x14ac:dyDescent="0.35">
      <c r="C113" s="13" t="s" ph="1">
        <v>707</v>
      </c>
      <c r="G113" s="13" t="s" ph="1">
        <v>3857</v>
      </c>
      <c r="H113" s="13" t="s" ph="1">
        <v>709</v>
      </c>
      <c r="M113" s="14" t="str" ph="1">
        <f>IFERROR(INDEX([1]!_born[生没年],
MATCH(I113,[1]!_born[作],0)),"")</f>
        <v/>
      </c>
      <c r="N113" s="14" t="str" ph="1">
        <f>IFERROR(INDEX([1]!_born[生没年],
MATCH(K113,[1]!_born[作],0)),"")</f>
        <v/>
      </c>
      <c r="O113" s="13" t="s" ph="1">
        <v>3963</v>
      </c>
      <c r="S113" s="13" t="s" ph="1">
        <v>3964</v>
      </c>
      <c r="T113" s="13" t="s" ph="1">
        <v>3965</v>
      </c>
    </row>
    <row r="114" spans="3:25" ht="22.5" customHeight="1" ph="1" x14ac:dyDescent="0.35">
      <c r="C114" s="13" t="s" ph="1">
        <v>707</v>
      </c>
      <c r="G114" s="13" t="s" ph="1">
        <v>708</v>
      </c>
      <c r="H114" s="13" t="s" ph="1">
        <v>709</v>
      </c>
      <c r="M114" s="14" t="str" ph="1">
        <f>IFERROR(INDEX([1]!_born[生没年],
MATCH(I114,[1]!_born[作],0)),"")</f>
        <v/>
      </c>
      <c r="N114" s="14" t="str" ph="1">
        <f>IFERROR(INDEX([1]!_born[生没年],
MATCH(K114,[1]!_born[作],0)),"")</f>
        <v/>
      </c>
      <c r="O114" s="13" t="s" ph="1">
        <v>3966</v>
      </c>
      <c r="S114" s="13" t="s" ph="1">
        <v>3964</v>
      </c>
      <c r="T114" s="13" t="s" ph="1">
        <v>3965</v>
      </c>
    </row>
    <row r="115" spans="3:25" ht="22.5" customHeight="1" ph="1" x14ac:dyDescent="0.35">
      <c r="C115" s="13" t="s" ph="1">
        <v>707</v>
      </c>
      <c r="G115" s="13" t="s" ph="1">
        <v>708</v>
      </c>
      <c r="H115" s="13" t="s" ph="1">
        <v>709</v>
      </c>
      <c r="I115" s="13" t="s" ph="1">
        <v>118</v>
      </c>
      <c r="K115" s="13" t="s" ph="1">
        <v>3967</v>
      </c>
      <c r="L115" s="13" t="s" ph="1">
        <v>3628</v>
      </c>
      <c r="M115" s="14" t="str" ph="1">
        <f>IFERROR(INDEX([1]!_born[生没年],
MATCH(I115,[1]!_born[作],0)),"")</f>
        <v/>
      </c>
      <c r="N115" s="14" t="str" ph="1">
        <f>IFERROR(INDEX([1]!_born[生没年],
MATCH(K115,[1]!_born[作],0)),"")</f>
        <v/>
      </c>
      <c r="O115" s="13" t="s" ph="1">
        <v>3968</v>
      </c>
      <c r="R115" s="16" t="s" ph="1">
        <v>1972</v>
      </c>
      <c r="T115" s="13" t="s" ph="1">
        <v>3969</v>
      </c>
      <c r="V115" s="17" ph="1">
        <v>2900</v>
      </c>
      <c r="W115" s="17" ph="1">
        <v>1000</v>
      </c>
    </row>
    <row r="116" spans="3:25" ht="22.5" customHeight="1" ph="1" x14ac:dyDescent="0.35">
      <c r="C116" s="13" t="s" ph="1">
        <v>3970</v>
      </c>
      <c r="G116" s="13" t="s" ph="1">
        <v>708</v>
      </c>
      <c r="I116" s="13" t="s" ph="1">
        <v>3971</v>
      </c>
      <c r="J116" s="13" t="s" ph="1">
        <v>3972</v>
      </c>
      <c r="K116" s="13" t="s" ph="1">
        <v>3973</v>
      </c>
      <c r="M116" s="14" t="str" ph="1">
        <f>IFERROR(INDEX([1]!_born[生没年],
MATCH(I116,[1]!_born[作],0)),"")</f>
        <v/>
      </c>
      <c r="N116" s="14" t="str" ph="1">
        <f>IFERROR(INDEX([1]!_born[生没年],
MATCH(K116,[1]!_born[作],0)),"")</f>
        <v/>
      </c>
      <c r="O116" s="15" t="s" ph="1">
        <v>3974</v>
      </c>
      <c r="T116" s="13" t="s" ph="1">
        <v>1973</v>
      </c>
      <c r="U116" s="16" t="s" ph="1">
        <v>706</v>
      </c>
      <c r="V116" s="17" ph="1">
        <v>1550</v>
      </c>
    </row>
    <row r="117" spans="3:25" ht="22.5" customHeight="1" ph="1" x14ac:dyDescent="0.35">
      <c r="C117" s="13" t="s" ph="1">
        <v>707</v>
      </c>
      <c r="G117" s="13" t="s" ph="1">
        <v>708</v>
      </c>
      <c r="H117" s="13" t="s" ph="1">
        <v>716</v>
      </c>
      <c r="I117" s="13" t="s" ph="1">
        <v>188</v>
      </c>
      <c r="J117" s="13" t="s" ph="1">
        <v>3616</v>
      </c>
      <c r="M117" s="14" t="str" ph="1">
        <f>IFERROR(INDEX([1]!_born[生没年],
MATCH(I117,[1]!_born[作],0)),"")</f>
        <v/>
      </c>
      <c r="N117" s="14" t="str" ph="1">
        <f>IFERROR(INDEX([1]!_born[生没年],
MATCH(K117,[1]!_born[作],0)),"")</f>
        <v/>
      </c>
      <c r="O117" s="13" t="s" ph="1">
        <v>3975</v>
      </c>
      <c r="T117" s="13" t="s" ph="1">
        <v>3976</v>
      </c>
      <c r="U117" s="16" ph="1">
        <v>36471</v>
      </c>
      <c r="V117" s="17" ph="1">
        <f>1900*1.05</f>
        <v>1995</v>
      </c>
    </row>
    <row r="118" spans="3:25" ht="22.5" customHeight="1" ph="1" x14ac:dyDescent="0.35">
      <c r="C118" s="13" t="s" ph="1">
        <v>707</v>
      </c>
      <c r="G118" s="13" t="s" ph="1">
        <v>708</v>
      </c>
      <c r="H118" s="13" t="s" ph="1">
        <v>709</v>
      </c>
      <c r="I118" s="13" t="s" ph="1">
        <v>3977</v>
      </c>
      <c r="M118" s="14" t="str" ph="1">
        <f>IFERROR(INDEX([1]!_born[生没年],
MATCH(I118,[1]!_born[作],0)),"")</f>
        <v/>
      </c>
      <c r="N118" s="14" t="str" ph="1">
        <f>IFERROR(INDEX([1]!_born[生没年],
MATCH(K118,[1]!_born[作],0)),"")</f>
        <v/>
      </c>
      <c r="O118" s="13" t="s" ph="1">
        <v>3978</v>
      </c>
      <c r="T118" s="13" t="s" ph="1">
        <v>3979</v>
      </c>
      <c r="V118" s="17" ph="1">
        <v>2575</v>
      </c>
      <c r="W118" s="17" t="s" ph="1">
        <v>3980</v>
      </c>
    </row>
    <row r="119" spans="3:25" ht="22.5" customHeight="1" ph="1" x14ac:dyDescent="0.35">
      <c r="C119" s="13" t="s" ph="1">
        <v>707</v>
      </c>
      <c r="G119" s="13" t="s" ph="1">
        <v>708</v>
      </c>
      <c r="H119" s="13" t="s" ph="1">
        <v>716</v>
      </c>
      <c r="I119" s="13" t="s" ph="1">
        <v>3981</v>
      </c>
      <c r="M119" s="14" t="str" ph="1">
        <f>IFERROR(INDEX([1]!_born[生没年],
MATCH(I119,[1]!_born[作],0)),"")</f>
        <v/>
      </c>
      <c r="N119" s="14" t="str" ph="1">
        <f>IFERROR(INDEX([1]!_born[生没年],
MATCH(K119,[1]!_born[作],0)),"")</f>
        <v/>
      </c>
      <c r="O119" s="13" t="s" ph="1">
        <v>3982</v>
      </c>
      <c r="T119" s="13" t="s" ph="1">
        <v>3979</v>
      </c>
      <c r="V119" s="17" ph="1">
        <v>2200</v>
      </c>
    </row>
    <row r="120" spans="3:25" ht="22.5" customHeight="1" ph="1" x14ac:dyDescent="0.35">
      <c r="C120" s="13" t="s" ph="1">
        <v>707</v>
      </c>
      <c r="G120" s="13" t="s" ph="1">
        <v>3983</v>
      </c>
      <c r="H120" s="13" t="s" ph="1">
        <v>709</v>
      </c>
      <c r="M120" s="14" t="str" ph="1">
        <f>IFERROR(INDEX([1]!_born[生没年],
MATCH(I120,[1]!_born[作],0)),"")</f>
        <v/>
      </c>
      <c r="N120" s="14" t="str" ph="1">
        <f>IFERROR(INDEX([1]!_born[生没年],
MATCH(K120,[1]!_born[作],0)),"")</f>
        <v/>
      </c>
      <c r="O120" s="15" t="s" ph="1">
        <v>3984</v>
      </c>
      <c r="T120" s="13" t="s" ph="1">
        <v>3758</v>
      </c>
    </row>
    <row r="121" spans="3:25" ht="22.5" customHeight="1" ph="1" x14ac:dyDescent="0.35">
      <c r="C121" s="13" t="s" ph="1">
        <v>707</v>
      </c>
      <c r="G121" s="13" t="s" ph="1">
        <v>3983</v>
      </c>
      <c r="H121" s="13" t="s" ph="1">
        <v>716</v>
      </c>
      <c r="I121" s="13" t="s" ph="1">
        <v>3985</v>
      </c>
      <c r="M121" s="14" t="str" ph="1">
        <f>IFERROR(INDEX([1]!_born[生没年],
MATCH(I121,[1]!_born[作],0)),"")</f>
        <v/>
      </c>
      <c r="N121" s="14" t="str" ph="1">
        <f>IFERROR(INDEX([1]!_born[生没年],
MATCH(K121,[1]!_born[作],0)),"")</f>
        <v/>
      </c>
      <c r="O121" s="13" t="s" ph="1">
        <v>3986</v>
      </c>
      <c r="R121" s="16" t="s" ph="1">
        <v>987</v>
      </c>
      <c r="S121" s="13" t="s" ph="1">
        <v>3987</v>
      </c>
      <c r="T121" s="13" t="s" ph="1">
        <v>3988</v>
      </c>
      <c r="V121" s="17" ph="1">
        <v>1900</v>
      </c>
    </row>
    <row r="122" spans="3:25" ht="22.5" customHeight="1" ph="1" x14ac:dyDescent="0.35">
      <c r="C122" s="13" t="s" ph="1">
        <v>707</v>
      </c>
      <c r="G122" s="13" t="s" ph="1">
        <v>3803</v>
      </c>
      <c r="I122" s="13" t="s" ph="1">
        <v>3989</v>
      </c>
      <c r="K122" s="13" t="s" ph="1">
        <v>3990</v>
      </c>
      <c r="L122" s="13" t="s" ph="1">
        <v>3991</v>
      </c>
      <c r="M122" s="14" t="str" ph="1">
        <f>IFERROR(INDEX([1]!_born[生没年],
MATCH(I122,[1]!_born[作],0)),"")</f>
        <v/>
      </c>
      <c r="N122" s="14" t="str" ph="1">
        <f>IFERROR(INDEX([1]!_born[生没年],
MATCH(K122,[1]!_born[作],0)),"")</f>
        <v/>
      </c>
      <c r="O122" s="13" t="s" ph="1">
        <v>3992</v>
      </c>
      <c r="R122" s="16" t="s">
        <v>1974</v>
      </c>
      <c r="T122" s="13" t="s" ph="1">
        <v>3993</v>
      </c>
      <c r="U122" s="16" ph="1">
        <v>37552</v>
      </c>
      <c r="V122" s="17" ph="1">
        <f>1000*1.05</f>
        <v>1050</v>
      </c>
      <c r="W122" s="17" ph="1">
        <f>1000*1.05</f>
        <v>1050</v>
      </c>
      <c r="X122" s="13" t="s" ph="1">
        <v>3802</v>
      </c>
    </row>
    <row r="123" spans="3:25" ht="22.5" customHeight="1" ph="1" x14ac:dyDescent="0.35">
      <c r="C123" s="13" t="s" ph="1">
        <v>7591</v>
      </c>
      <c r="G123" s="13" t="s" ph="1">
        <v>3884</v>
      </c>
      <c r="H123" s="13" t="s" ph="1">
        <v>716</v>
      </c>
      <c r="I123" s="13" t="s" ph="1">
        <v>8738</v>
      </c>
      <c r="M123" s="14" t="str" ph="1">
        <f>IFERROR(INDEX([1]!_born[生没年],
MATCH(I123,[1]!_born[作],0)),"")</f>
        <v/>
      </c>
      <c r="N123" s="14" t="str" ph="1">
        <f>IFERROR(INDEX([1]!_born[生没年],
MATCH(K123,[1]!_born[作],0)),"")</f>
        <v/>
      </c>
      <c r="O123" s="15" t="s" ph="1">
        <v>8739</v>
      </c>
      <c r="T123" s="13" t="s" ph="1">
        <v>8740</v>
      </c>
      <c r="U123" s="16" t="s" ph="1">
        <v>706</v>
      </c>
      <c r="Y123" s="13" t="s" ph="1">
        <v>7624</v>
      </c>
    </row>
    <row r="124" spans="3:25" ht="22.5" customHeight="1" ph="1" x14ac:dyDescent="0.35">
      <c r="C124" s="13" t="s" ph="1">
        <v>10102</v>
      </c>
      <c r="G124" s="13" t="s" ph="1">
        <v>3884</v>
      </c>
      <c r="H124" s="13" t="s" ph="1">
        <v>61</v>
      </c>
      <c r="I124" s="13" t="s" ph="1">
        <v>10103</v>
      </c>
      <c r="J124" s="13" t="s" ph="1">
        <v>3616</v>
      </c>
      <c r="M124" s="14" t="str" ph="1">
        <f>IFERROR(INDEX([1]!_born[生没年],
MATCH(I124,[1]!_born[作],0)),"")</f>
        <v/>
      </c>
      <c r="N124" s="14" t="str" ph="1">
        <f>IFERROR(INDEX([1]!_born[生没年],
MATCH(K124,[1]!_born[作],0)),"")</f>
        <v/>
      </c>
      <c r="O124" s="13" t="s" ph="1">
        <v>10104</v>
      </c>
      <c r="R124" s="16" ph="1">
        <v>37865</v>
      </c>
      <c r="T124" s="13" t="s" ph="1">
        <v>10102</v>
      </c>
      <c r="U124" s="16" ph="1">
        <v>45665</v>
      </c>
      <c r="V124" s="17" ph="1">
        <v>0</v>
      </c>
      <c r="W124" s="17" ph="1">
        <v>0</v>
      </c>
      <c r="X124" s="13" t="s" ph="1">
        <v>10105</v>
      </c>
    </row>
    <row r="125" spans="3:25" ht="22.5" customHeight="1" ph="1" x14ac:dyDescent="0.35">
      <c r="C125" s="13" t="s" ph="1">
        <v>10102</v>
      </c>
      <c r="G125" s="13" t="s" ph="1">
        <v>3884</v>
      </c>
      <c r="H125" s="13" t="s" ph="1">
        <v>61</v>
      </c>
      <c r="I125" s="13" t="s" ph="1">
        <v>10106</v>
      </c>
      <c r="J125" s="13" t="s" ph="1">
        <v>3616</v>
      </c>
      <c r="M125" s="14" t="str" ph="1">
        <f>IFERROR(INDEX([1]!_born[生没年],
MATCH(I125,[1]!_born[作],0)),"")</f>
        <v/>
      </c>
      <c r="N125" s="14" t="str" ph="1">
        <f>IFERROR(INDEX([1]!_born[生没年],
MATCH(K125,[1]!_born[作],0)),"")</f>
        <v/>
      </c>
      <c r="O125" s="13" t="s" ph="1">
        <v>10107</v>
      </c>
      <c r="R125" s="16" ph="1">
        <v>37865</v>
      </c>
      <c r="T125" s="13" t="s" ph="1">
        <v>10102</v>
      </c>
      <c r="U125" s="16" ph="1">
        <v>45665</v>
      </c>
      <c r="V125" s="17" ph="1">
        <v>0</v>
      </c>
      <c r="W125" s="17" ph="1">
        <v>0</v>
      </c>
      <c r="X125" s="13" t="s" ph="1">
        <v>10105</v>
      </c>
    </row>
    <row r="126" spans="3:25" ht="22.5" customHeight="1" ph="1" x14ac:dyDescent="0.35">
      <c r="C126" s="13" t="s" ph="1">
        <v>10102</v>
      </c>
      <c r="G126" s="13" t="s" ph="1">
        <v>3884</v>
      </c>
      <c r="H126" s="13" t="s" ph="1">
        <v>61</v>
      </c>
      <c r="I126" s="13" t="s" ph="1">
        <v>10108</v>
      </c>
      <c r="J126" s="13" t="s" ph="1">
        <v>3616</v>
      </c>
      <c r="M126" s="14" t="str" ph="1">
        <f>IFERROR(INDEX([1]!_born[生没年],
MATCH(I126,[1]!_born[作],0)),"")</f>
        <v/>
      </c>
      <c r="N126" s="14" t="str" ph="1">
        <f>IFERROR(INDEX([1]!_born[生没年],
MATCH(K126,[1]!_born[作],0)),"")</f>
        <v/>
      </c>
      <c r="O126" s="13" t="s" ph="1">
        <v>10109</v>
      </c>
      <c r="R126" s="16" ph="1">
        <v>38864</v>
      </c>
      <c r="S126" s="13" t="s" ph="1">
        <v>10110</v>
      </c>
      <c r="T126" s="13" t="s" ph="1">
        <v>10102</v>
      </c>
      <c r="U126" s="16" ph="1">
        <v>45628</v>
      </c>
      <c r="V126" s="17" ph="1">
        <v>0</v>
      </c>
      <c r="W126" s="17" ph="1">
        <v>0</v>
      </c>
      <c r="X126" s="13" t="s" ph="1">
        <v>10111</v>
      </c>
    </row>
    <row r="127" spans="3:25" ht="22.5" customHeight="1" ph="1" x14ac:dyDescent="0.35">
      <c r="C127" s="13" t="s" ph="1">
        <v>10102</v>
      </c>
      <c r="G127" s="13" t="s" ph="1">
        <v>3884</v>
      </c>
      <c r="H127" s="13" t="s" ph="1">
        <v>61</v>
      </c>
      <c r="M127" s="14" t="str" ph="1">
        <f>IFERROR(INDEX([1]!_born[生没年],
MATCH(I127,[1]!_born[作],0)),"")</f>
        <v/>
      </c>
      <c r="N127" s="14" t="str" ph="1">
        <f>IFERROR(INDEX([1]!_born[生没年],
MATCH(K127,[1]!_born[作],0)),"")</f>
        <v/>
      </c>
      <c r="O127" s="13" t="s" ph="1">
        <v>10112</v>
      </c>
      <c r="R127" s="16" t="s" ph="1">
        <v>10113</v>
      </c>
      <c r="T127" s="13" t="s" ph="1">
        <v>10102</v>
      </c>
      <c r="U127" s="16" ph="1">
        <v>45665</v>
      </c>
      <c r="V127" s="17" ph="1">
        <v>0</v>
      </c>
      <c r="W127" s="17" ph="1">
        <v>0</v>
      </c>
      <c r="X127" s="13" t="s" ph="1">
        <v>10105</v>
      </c>
    </row>
    <row r="128" spans="3:25" ht="22.5" customHeight="1" ph="1" x14ac:dyDescent="0.35">
      <c r="C128" s="13" t="s" ph="1">
        <v>10102</v>
      </c>
      <c r="E128" s="123" ph="1">
        <v>2</v>
      </c>
      <c r="G128" s="13" t="s" ph="1">
        <v>3884</v>
      </c>
      <c r="H128" s="13" t="s" ph="1">
        <v>61</v>
      </c>
      <c r="M128" s="14" t="str" ph="1">
        <f>IFERROR(INDEX([1]!_born[生没年],
MATCH(I128,[1]!_born[作],0)),"")</f>
        <v/>
      </c>
      <c r="N128" s="14" t="str" ph="1">
        <f>IFERROR(INDEX([1]!_born[生没年],
MATCH(K128,[1]!_born[作],0)),"")</f>
        <v/>
      </c>
      <c r="O128" s="13" t="s" ph="1">
        <v>10112</v>
      </c>
      <c r="R128" s="16" t="s" ph="1">
        <v>10113</v>
      </c>
      <c r="T128" s="13" t="s" ph="1">
        <v>10114</v>
      </c>
      <c r="U128" s="16" ph="1">
        <v>45665</v>
      </c>
      <c r="V128" s="17" ph="1">
        <v>0</v>
      </c>
      <c r="W128" s="17" ph="1">
        <v>0</v>
      </c>
      <c r="X128" s="13" t="s" ph="1">
        <v>10105</v>
      </c>
    </row>
    <row r="129" spans="1:25" ht="22.5" customHeight="1" ph="1" x14ac:dyDescent="0.35">
      <c r="C129" s="13" t="s" ph="1">
        <v>10102</v>
      </c>
      <c r="E129" s="123" ph="1">
        <v>2</v>
      </c>
      <c r="G129" s="13" t="s" ph="1">
        <v>3884</v>
      </c>
      <c r="H129" s="13" t="s" ph="1">
        <v>61</v>
      </c>
      <c r="M129" s="14" t="str" ph="1">
        <f>IFERROR(INDEX([1]!_born[生没年],
MATCH(I129,[1]!_born[作],0)),"")</f>
        <v/>
      </c>
      <c r="N129" s="14" t="str" ph="1">
        <f>IFERROR(INDEX([1]!_born[生没年],
MATCH(K129,[1]!_born[作],0)),"")</f>
        <v/>
      </c>
      <c r="O129" s="13" t="s" ph="1">
        <v>10112</v>
      </c>
      <c r="R129" s="16" t="s" ph="1">
        <v>10113</v>
      </c>
      <c r="T129" s="13" t="s" ph="1">
        <v>10115</v>
      </c>
      <c r="U129" s="16" ph="1">
        <v>45665</v>
      </c>
      <c r="V129" s="17" ph="1">
        <v>0</v>
      </c>
      <c r="W129" s="17" ph="1">
        <v>0</v>
      </c>
      <c r="X129" s="13" t="s" ph="1">
        <v>10116</v>
      </c>
    </row>
    <row r="130" spans="1:25" ht="22.5" customHeight="1" ph="1" x14ac:dyDescent="0.35">
      <c r="C130" s="13" t="s" ph="1">
        <v>10102</v>
      </c>
      <c r="G130" s="13" t="s" ph="1">
        <v>3884</v>
      </c>
      <c r="H130" s="13" t="s" ph="1">
        <v>61</v>
      </c>
      <c r="M130" s="14" t="str" ph="1">
        <f>IFERROR(INDEX([1]!_born[生没年],
MATCH(I130,[1]!_born[作],0)),"")</f>
        <v/>
      </c>
      <c r="N130" s="14" t="str" ph="1">
        <f>IFERROR(INDEX([1]!_born[生没年],
MATCH(K130,[1]!_born[作],0)),"")</f>
        <v/>
      </c>
      <c r="O130" s="13" t="s" ph="1">
        <v>10117</v>
      </c>
      <c r="T130" s="13" t="s" ph="1">
        <v>10118</v>
      </c>
      <c r="U130" s="16" ph="1">
        <v>45555</v>
      </c>
      <c r="V130" s="17" ph="1">
        <v>0</v>
      </c>
      <c r="W130" s="17" ph="1">
        <v>0</v>
      </c>
      <c r="X130" s="13" t="s" ph="1">
        <v>10119</v>
      </c>
    </row>
    <row r="131" spans="1:25" ht="22.5" customHeight="1" ph="1" x14ac:dyDescent="0.35">
      <c r="C131" s="13" t="s" ph="1">
        <v>10102</v>
      </c>
      <c r="G131" s="13" t="s" ph="1">
        <v>3884</v>
      </c>
      <c r="H131" s="13" t="s" ph="1">
        <v>61</v>
      </c>
      <c r="M131" s="14" t="str" ph="1">
        <f>IFERROR(INDEX([1]!_born[生没年],
MATCH(I131,[1]!_born[作],0)),"")</f>
        <v/>
      </c>
      <c r="N131" s="14" t="str" ph="1">
        <f>IFERROR(INDEX([1]!_born[生没年],
MATCH(K131,[1]!_born[作],0)),"")</f>
        <v/>
      </c>
      <c r="O131" s="13" t="s" ph="1">
        <v>10120</v>
      </c>
      <c r="R131" s="16" t="s" ph="1">
        <v>10121</v>
      </c>
      <c r="S131" s="13" t="s" ph="1">
        <v>10122</v>
      </c>
      <c r="T131" s="13" t="s" ph="1">
        <v>10102</v>
      </c>
      <c r="U131" s="16" ph="1">
        <v>45554</v>
      </c>
      <c r="V131" s="17" ph="1">
        <v>0</v>
      </c>
      <c r="W131" s="17" ph="1">
        <v>0</v>
      </c>
      <c r="X131" s="13" t="s" ph="1">
        <v>10123</v>
      </c>
    </row>
    <row r="132" spans="1:25" ht="22.5" customHeight="1" ph="1" x14ac:dyDescent="0.35">
      <c r="C132" s="13" t="s" ph="1">
        <v>10102</v>
      </c>
      <c r="G132" s="13" t="s" ph="1">
        <v>3884</v>
      </c>
      <c r="H132" s="13" t="s" ph="1">
        <v>61</v>
      </c>
      <c r="M132" s="14" t="str" ph="1">
        <f>IFERROR(INDEX([1]!_born[生没年],
MATCH(I132,[1]!_born[作],0)),"")</f>
        <v/>
      </c>
      <c r="N132" s="14" t="str" ph="1">
        <f>IFERROR(INDEX([1]!_born[生没年],
MATCH(K132,[1]!_born[作],0)),"")</f>
        <v/>
      </c>
      <c r="O132" s="13" t="s" ph="1">
        <v>10124</v>
      </c>
      <c r="R132" s="16" t="s" ph="1">
        <v>2732</v>
      </c>
      <c r="S132" s="13" t="s" ph="1">
        <v>10125</v>
      </c>
      <c r="T132" s="13" t="s" ph="1">
        <v>10102</v>
      </c>
      <c r="V132" s="17" ph="1">
        <v>0</v>
      </c>
      <c r="W132" s="17" ph="1">
        <v>0</v>
      </c>
    </row>
    <row r="133" spans="1:25" ht="22.5" customHeight="1" ph="1" x14ac:dyDescent="0.35">
      <c r="C133" s="13" t="s" ph="1">
        <v>10102</v>
      </c>
      <c r="G133" s="13" t="s" ph="1">
        <v>3884</v>
      </c>
      <c r="H133" s="13" t="s" ph="1">
        <v>61</v>
      </c>
      <c r="M133" s="14" t="str" ph="1">
        <f>IFERROR(INDEX([1]!_born[生没年],
MATCH(I133,[1]!_born[作],0)),"")</f>
        <v/>
      </c>
      <c r="N133" s="14" t="str" ph="1">
        <f>IFERROR(INDEX([1]!_born[生没年],
MATCH(K133,[1]!_born[作],0)),"")</f>
        <v/>
      </c>
      <c r="O133" s="13" t="s" ph="1">
        <v>8934</v>
      </c>
      <c r="S133" s="13" t="s" ph="1">
        <v>10126</v>
      </c>
      <c r="T133" s="13" t="s" ph="1">
        <v>10102</v>
      </c>
      <c r="V133" s="17" ph="1">
        <v>0</v>
      </c>
      <c r="W133" s="17" ph="1">
        <v>0</v>
      </c>
    </row>
    <row r="134" spans="1:25" ht="22.5" customHeight="1" ph="1" x14ac:dyDescent="0.35">
      <c r="C134" s="13" t="s" ph="1">
        <v>10102</v>
      </c>
      <c r="G134" s="13" t="s" ph="1">
        <v>3884</v>
      </c>
      <c r="H134" s="13" t="s" ph="1">
        <v>61</v>
      </c>
      <c r="M134" s="14" t="str" ph="1">
        <f>IFERROR(INDEX([1]!_born[生没年],
MATCH(I134,[1]!_born[作],0)),"")</f>
        <v/>
      </c>
      <c r="N134" s="14" t="str" ph="1">
        <f>IFERROR(INDEX([1]!_born[生没年],
MATCH(K134,[1]!_born[作],0)),"")</f>
        <v/>
      </c>
      <c r="O134" s="13" t="s" ph="1">
        <v>10127</v>
      </c>
      <c r="R134" s="16" t="s" ph="1">
        <v>10128</v>
      </c>
      <c r="S134" s="13" t="s" ph="1">
        <v>10129</v>
      </c>
      <c r="T134" s="13" t="s" ph="1">
        <v>10102</v>
      </c>
      <c r="U134" s="16" ph="1">
        <v>40831</v>
      </c>
      <c r="V134" s="17" ph="1">
        <v>30</v>
      </c>
      <c r="W134" s="17" ph="1">
        <v>30</v>
      </c>
      <c r="X134" s="13" t="s" ph="1">
        <v>10130</v>
      </c>
    </row>
    <row r="135" spans="1:25" ht="22.5" customHeight="1" ph="1" x14ac:dyDescent="0.35">
      <c r="C135" s="13" t="s" ph="1">
        <v>10102</v>
      </c>
      <c r="G135" s="13" t="s" ph="1">
        <v>3884</v>
      </c>
      <c r="H135" s="13" t="s" ph="1">
        <v>61</v>
      </c>
      <c r="M135" s="14" t="str" ph="1">
        <f>IFERROR(INDEX([1]!_born[生没年],
MATCH(I135,[1]!_born[作],0)),"")</f>
        <v/>
      </c>
      <c r="N135" s="14" t="str" ph="1">
        <f>IFERROR(INDEX([1]!_born[生没年],
MATCH(K135,[1]!_born[作],0)),"")</f>
        <v/>
      </c>
      <c r="O135" s="13" t="s" ph="1">
        <v>10131</v>
      </c>
      <c r="R135" s="16" t="s" ph="1">
        <v>10132</v>
      </c>
      <c r="S135" s="13" t="s" ph="1">
        <v>10133</v>
      </c>
      <c r="T135" s="13" t="s" ph="1">
        <v>10102</v>
      </c>
      <c r="U135" s="16" ph="1">
        <v>40831</v>
      </c>
      <c r="V135" s="17" ph="1">
        <v>368</v>
      </c>
      <c r="W135" s="17" ph="1">
        <v>368</v>
      </c>
      <c r="X135" s="13" t="s" ph="1">
        <v>10130</v>
      </c>
    </row>
    <row r="136" spans="1:25" ht="22.5" customHeight="1" ph="1" x14ac:dyDescent="0.35">
      <c r="C136" s="13" t="s" ph="1">
        <v>10102</v>
      </c>
      <c r="G136" s="13" t="s" ph="1">
        <v>3884</v>
      </c>
      <c r="H136" s="13" t="s" ph="1">
        <v>61</v>
      </c>
      <c r="M136" s="14" t="str" ph="1">
        <f>IFERROR(INDEX([1]!_born[生没年],
MATCH(I136,[1]!_born[作],0)),"")</f>
        <v/>
      </c>
      <c r="N136" s="14" t="str" ph="1">
        <f>IFERROR(INDEX([1]!_born[生没年],
MATCH(K136,[1]!_born[作],0)),"")</f>
        <v/>
      </c>
      <c r="O136" s="13" t="s" ph="1">
        <v>10134</v>
      </c>
      <c r="R136" s="16" t="s" ph="1">
        <v>10135</v>
      </c>
      <c r="S136" s="13" t="s" ph="1">
        <v>10136</v>
      </c>
      <c r="T136" s="13" t="s" ph="1">
        <v>10102</v>
      </c>
      <c r="U136" s="16" ph="1">
        <v>40831</v>
      </c>
      <c r="V136" s="17" ph="1">
        <f>50*1.05</f>
        <v>52.5</v>
      </c>
      <c r="W136" s="17" ph="1">
        <f>50*1.05</f>
        <v>52.5</v>
      </c>
      <c r="X136" s="13" t="s" ph="1">
        <v>10130</v>
      </c>
    </row>
    <row r="137" spans="1:25" ht="22.5" customHeight="1" ph="1" x14ac:dyDescent="0.35">
      <c r="C137" s="13" t="s" ph="1">
        <v>10102</v>
      </c>
      <c r="G137" s="13" t="s" ph="1">
        <v>3884</v>
      </c>
      <c r="H137" s="13" t="s" ph="1">
        <v>61</v>
      </c>
      <c r="I137" s="13" t="s" ph="1">
        <v>10137</v>
      </c>
      <c r="J137" s="13" t="s" ph="1">
        <v>10138</v>
      </c>
      <c r="M137" s="14" t="str" ph="1">
        <f>IFERROR(INDEX([1]!_born[生没年],
MATCH(I137,[1]!_born[作],0)),"")</f>
        <v/>
      </c>
      <c r="N137" s="14" t="str" ph="1">
        <f>IFERROR(INDEX([1]!_born[生没年],
MATCH(K137,[1]!_born[作],0)),"")</f>
        <v/>
      </c>
      <c r="O137" s="13" t="s" ph="1">
        <v>10139</v>
      </c>
      <c r="R137" s="16" t="s" ph="1">
        <v>10140</v>
      </c>
      <c r="S137" s="13" t="s" ph="1">
        <v>10141</v>
      </c>
      <c r="T137" s="13" t="s" ph="1">
        <v>10102</v>
      </c>
      <c r="U137" s="16" ph="1">
        <v>40831</v>
      </c>
      <c r="V137" s="17" ph="1">
        <f>150*1.05</f>
        <v>157.5</v>
      </c>
      <c r="W137" s="17" ph="1">
        <f>150*1.05</f>
        <v>157.5</v>
      </c>
      <c r="X137" s="13" t="s" ph="1">
        <v>10130</v>
      </c>
    </row>
    <row r="138" spans="1:25" ht="22.5" customHeight="1" ph="1" x14ac:dyDescent="0.35">
      <c r="A138" s="106" t="s" ph="1">
        <v>10067</v>
      </c>
      <c r="C138" s="13" t="s" ph="1">
        <v>10142</v>
      </c>
      <c r="G138" s="13" t="s" ph="1">
        <v>3884</v>
      </c>
      <c r="H138" s="13" t="s" ph="1">
        <v>61</v>
      </c>
      <c r="I138" s="13" t="s" ph="1">
        <v>10143</v>
      </c>
      <c r="J138" s="13" t="s" ph="1">
        <v>10144</v>
      </c>
      <c r="M138" s="14" t="str" ph="1">
        <f>IFERROR(INDEX([1]!_born[生没年],
MATCH(I138,[1]!_born[作],0)),"")</f>
        <v/>
      </c>
      <c r="N138" s="14" t="str" ph="1">
        <f>IFERROR(INDEX([1]!_born[生没年],
MATCH(K138,[1]!_born[作],0)),"")</f>
        <v/>
      </c>
      <c r="O138" s="13" t="s" ph="1">
        <v>10145</v>
      </c>
      <c r="R138" s="16" t="s" ph="1">
        <v>10132</v>
      </c>
      <c r="S138" s="13" t="s" ph="1">
        <v>10133</v>
      </c>
      <c r="T138" s="13" t="s" ph="1">
        <v>10146</v>
      </c>
      <c r="U138" s="16" ph="1">
        <v>40831</v>
      </c>
      <c r="V138" s="17" ph="1">
        <f>2000*1.05</f>
        <v>2100</v>
      </c>
      <c r="W138" s="17" ph="1">
        <f>2000*1.05</f>
        <v>2100</v>
      </c>
      <c r="X138" s="13" t="s" ph="1">
        <v>10130</v>
      </c>
      <c r="Y138" s="13" t="s" ph="1">
        <v>10147</v>
      </c>
    </row>
    <row r="139" spans="1:25" ht="22.5" customHeight="1" ph="1" x14ac:dyDescent="0.35">
      <c r="C139" s="13" t="s" ph="1">
        <v>10102</v>
      </c>
      <c r="G139" s="13" t="s" ph="1">
        <v>3884</v>
      </c>
      <c r="H139" s="13" t="s" ph="1">
        <v>61</v>
      </c>
      <c r="I139" s="13" t="s" ph="1">
        <v>10148</v>
      </c>
      <c r="J139" s="13" t="s" ph="1">
        <v>10149</v>
      </c>
      <c r="M139" s="14" t="str" ph="1">
        <f>IFERROR(INDEX([1]!_born[生没年],
MATCH(I139,[1]!_born[作],0)),"")</f>
        <v/>
      </c>
      <c r="N139" s="14" t="str" ph="1">
        <f>IFERROR(INDEX([1]!_born[生没年],
MATCH(K139,[1]!_born[作],0)),"")</f>
        <v/>
      </c>
      <c r="O139" s="13" t="s" ph="1">
        <v>10150</v>
      </c>
      <c r="R139" s="16" t="s" ph="1">
        <v>10151</v>
      </c>
      <c r="T139" s="13" t="s" ph="1">
        <v>10152</v>
      </c>
      <c r="U139" s="16" ph="1">
        <v>45554</v>
      </c>
      <c r="V139" s="17" ph="1">
        <v>0</v>
      </c>
      <c r="W139" s="17" ph="1">
        <v>0</v>
      </c>
    </row>
    <row r="140" spans="1:25" ht="22.5" customHeight="1" ph="1" x14ac:dyDescent="0.35">
      <c r="C140" s="13" t="s" ph="1">
        <v>25</v>
      </c>
      <c r="G140" s="13" t="s" ph="1">
        <v>3857</v>
      </c>
      <c r="H140" s="13" t="s" ph="1">
        <v>61</v>
      </c>
      <c r="I140" s="13" t="s" ph="1">
        <v>10153</v>
      </c>
      <c r="J140" s="13" t="s" ph="1">
        <v>10154</v>
      </c>
      <c r="M140" s="14" t="str" ph="1">
        <f>IFERROR(INDEX([1]!_born[生没年],
MATCH(I140,[1]!_born[作],0)),"")</f>
        <v/>
      </c>
      <c r="N140" s="14" t="str" ph="1">
        <f>IFERROR(INDEX([1]!_born[生没年],
MATCH(K140,[1]!_born[作],0)),"")</f>
        <v/>
      </c>
      <c r="O140" s="13" t="s" ph="1">
        <v>10155</v>
      </c>
      <c r="R140" s="16" ph="1">
        <v>32051</v>
      </c>
      <c r="T140" s="13" t="s" ph="1">
        <v>10156</v>
      </c>
      <c r="U140" s="16" ph="1">
        <v>45556</v>
      </c>
      <c r="V140" s="17" ph="1">
        <f>971*1.05</f>
        <v>1019.5500000000001</v>
      </c>
      <c r="X140" s="13" t="s" ph="1">
        <v>10105</v>
      </c>
    </row>
    <row r="141" spans="1:25" ht="22.5" customHeight="1" ph="1" x14ac:dyDescent="0.35">
      <c r="C141" s="13" t="s" ph="1">
        <v>707</v>
      </c>
      <c r="G141" s="13" t="s" ph="1">
        <v>3857</v>
      </c>
      <c r="H141" s="13" t="s" ph="1">
        <v>716</v>
      </c>
      <c r="M141" s="14" t="str" ph="1">
        <f>IFERROR(INDEX([1]!_born[生没年],
MATCH(I141,[1]!_born[作],0)),"")</f>
        <v/>
      </c>
      <c r="N141" s="14" t="str" ph="1">
        <f>IFERROR(INDEX([1]!_born[生没年],
MATCH(K141,[1]!_born[作],0)),"")</f>
        <v/>
      </c>
      <c r="O141" s="13" t="s" ph="1">
        <v>3994</v>
      </c>
      <c r="S141" s="13" t="s" ph="1">
        <v>1975</v>
      </c>
      <c r="T141" s="13" t="s" ph="1">
        <v>3995</v>
      </c>
      <c r="V141" s="17" ph="1">
        <f>971*1.05</f>
        <v>1019.5500000000001</v>
      </c>
    </row>
    <row r="142" spans="1:25" ht="22.5" customHeight="1" ph="1" x14ac:dyDescent="0.35">
      <c r="C142" s="13" t="s" ph="1">
        <v>707</v>
      </c>
      <c r="G142" s="13" t="s" ph="1">
        <v>708</v>
      </c>
      <c r="H142" s="13" t="s" ph="1">
        <v>716</v>
      </c>
      <c r="I142" s="13" t="s" ph="1">
        <v>3996</v>
      </c>
      <c r="M142" s="14" t="str" ph="1">
        <f>IFERROR(INDEX([1]!_born[生没年],
MATCH(I142,[1]!_born[作],0)),"")</f>
        <v/>
      </c>
      <c r="N142" s="14" t="str" ph="1">
        <f>IFERROR(INDEX([1]!_born[生没年],
MATCH(K142,[1]!_born[作],0)),"")</f>
        <v/>
      </c>
      <c r="O142" s="13" t="s" ph="1">
        <v>3997</v>
      </c>
      <c r="T142" s="13" t="s" ph="1">
        <v>3988</v>
      </c>
      <c r="V142" s="17" ph="1">
        <v>1680</v>
      </c>
    </row>
    <row r="143" spans="1:25" ht="22.5" customHeight="1" ph="1" x14ac:dyDescent="0.35">
      <c r="C143" s="13" t="s" ph="1">
        <v>707</v>
      </c>
      <c r="D143" s="123" ph="1">
        <v>3</v>
      </c>
      <c r="E143" s="123" t="s" ph="1">
        <v>1225</v>
      </c>
      <c r="G143" s="13" t="s" ph="1">
        <v>708</v>
      </c>
      <c r="H143" s="13" t="s" ph="1">
        <v>709</v>
      </c>
      <c r="I143" s="13" t="s" ph="1">
        <v>3998</v>
      </c>
      <c r="M143" s="14" t="str" ph="1">
        <f>IFERROR(INDEX([1]!_born[生没年],
MATCH(I143,[1]!_born[作],0)),"")</f>
        <v/>
      </c>
      <c r="N143" s="14" t="str" ph="1">
        <f>IFERROR(INDEX([1]!_born[生没年],
MATCH(K143,[1]!_born[作],0)),"")</f>
        <v/>
      </c>
      <c r="O143" s="13" t="s" ph="1">
        <v>3999</v>
      </c>
      <c r="R143" s="16" t="s" ph="1">
        <v>1976</v>
      </c>
      <c r="T143" s="13" t="s" ph="1">
        <v>4000</v>
      </c>
      <c r="U143" s="16" ph="1">
        <v>37408</v>
      </c>
      <c r="V143" s="17" ph="1">
        <f>1400*1.05</f>
        <v>1470</v>
      </c>
      <c r="W143" s="17" ph="1">
        <f>1400*1.05</f>
        <v>1470</v>
      </c>
      <c r="X143" s="13" t="s" ph="1">
        <v>4001</v>
      </c>
    </row>
    <row r="144" spans="1:25" ht="22.5" customHeight="1" ph="1" x14ac:dyDescent="0.35">
      <c r="C144" s="13" t="s" ph="1">
        <v>707</v>
      </c>
      <c r="D144" s="123" ph="1">
        <v>2</v>
      </c>
      <c r="E144" s="123" t="s" ph="1">
        <v>1225</v>
      </c>
      <c r="G144" s="13" t="s" ph="1">
        <v>708</v>
      </c>
      <c r="H144" s="13" t="s" ph="1">
        <v>709</v>
      </c>
      <c r="I144" s="13" t="s" ph="1">
        <v>4002</v>
      </c>
      <c r="M144" s="14" t="str" ph="1">
        <f>IFERROR(INDEX([1]!_born[生没年],
MATCH(I144,[1]!_born[作],0)),"")</f>
        <v/>
      </c>
      <c r="N144" s="14" t="str" ph="1">
        <f>IFERROR(INDEX([1]!_born[生没年],
MATCH(K144,[1]!_born[作],0)),"")</f>
        <v/>
      </c>
      <c r="O144" s="13" t="s" ph="1">
        <v>4003</v>
      </c>
      <c r="R144" s="16" t="s" ph="1">
        <v>1977</v>
      </c>
      <c r="T144" s="13" t="s" ph="1">
        <v>4000</v>
      </c>
      <c r="U144" s="16" ph="1">
        <v>38111</v>
      </c>
      <c r="V144" s="17" ph="1">
        <f>1400*1.05</f>
        <v>1470</v>
      </c>
      <c r="W144" s="17" ph="1">
        <f>1400*1.05</f>
        <v>1470</v>
      </c>
      <c r="X144" s="13" t="s" ph="1">
        <v>3802</v>
      </c>
    </row>
    <row r="145" spans="1:25" ht="22.5" customHeight="1" ph="1" x14ac:dyDescent="0.35">
      <c r="C145" s="13" t="s" ph="1">
        <v>707</v>
      </c>
      <c r="D145" s="123" ph="1">
        <v>1</v>
      </c>
      <c r="E145" s="123" ph="1">
        <v>2</v>
      </c>
      <c r="G145" s="13" t="s" ph="1">
        <v>1978</v>
      </c>
      <c r="H145" s="13" t="s" ph="1">
        <v>716</v>
      </c>
      <c r="I145" s="13" t="s" ph="1">
        <v>1979</v>
      </c>
      <c r="M145" s="14" t="str" ph="1">
        <f>IFERROR(INDEX([1]!_born[生没年],
MATCH(I145,[1]!_born[作],0)),"")</f>
        <v/>
      </c>
      <c r="N145" s="14" t="str" ph="1">
        <f>IFERROR(INDEX([1]!_born[生没年],
MATCH(K145,[1]!_born[作],0)),"")</f>
        <v/>
      </c>
      <c r="O145" s="13" t="s" ph="1">
        <v>4004</v>
      </c>
      <c r="R145" s="16" t="s" ph="1">
        <v>958</v>
      </c>
      <c r="S145" s="13" t="s" ph="1">
        <v>4005</v>
      </c>
      <c r="T145" s="13" t="s" ph="1">
        <v>4006</v>
      </c>
      <c r="U145" s="16" ph="1">
        <v>37564</v>
      </c>
      <c r="V145" s="17" ph="1">
        <f>1700*1.05</f>
        <v>1785</v>
      </c>
      <c r="X145" s="13" t="s" ph="1">
        <v>3786</v>
      </c>
      <c r="Y145" s="13" t="s" ph="1">
        <v>1872</v>
      </c>
    </row>
    <row r="146" spans="1:25" ht="22.5" customHeight="1" ph="1" x14ac:dyDescent="0.35">
      <c r="C146" s="13" t="s" ph="1">
        <v>707</v>
      </c>
      <c r="D146" s="123" ph="1">
        <v>2</v>
      </c>
      <c r="E146" s="123" ph="1">
        <v>2</v>
      </c>
      <c r="G146" s="13" t="s" ph="1">
        <v>1978</v>
      </c>
      <c r="H146" s="13" t="s" ph="1">
        <v>716</v>
      </c>
      <c r="I146" s="13" t="s" ph="1">
        <v>1979</v>
      </c>
      <c r="M146" s="14" t="str" ph="1">
        <f>IFERROR(INDEX([1]!_born[生没年],
MATCH(I146,[1]!_born[作],0)),"")</f>
        <v/>
      </c>
      <c r="N146" s="14" t="str" ph="1">
        <f>IFERROR(INDEX([1]!_born[生没年],
MATCH(K146,[1]!_born[作],0)),"")</f>
        <v/>
      </c>
      <c r="O146" s="13" t="s" ph="1">
        <v>4007</v>
      </c>
      <c r="R146" s="16" t="s" ph="1">
        <v>958</v>
      </c>
      <c r="S146" s="13" t="s" ph="1">
        <v>4005</v>
      </c>
      <c r="T146" s="13" t="s" ph="1">
        <v>4006</v>
      </c>
      <c r="U146" s="16" ph="1">
        <v>37564</v>
      </c>
      <c r="V146" s="17" ph="1">
        <f>1700*1.05</f>
        <v>1785</v>
      </c>
      <c r="X146" s="13" t="s" ph="1">
        <v>3786</v>
      </c>
      <c r="Y146" s="13" t="s" ph="1">
        <v>1872</v>
      </c>
    </row>
    <row r="147" spans="1:25" ht="22.5" customHeight="1" ph="1" x14ac:dyDescent="0.35">
      <c r="C147" s="13" t="s" ph="1">
        <v>707</v>
      </c>
      <c r="G147" s="13" t="s" ph="1">
        <v>708</v>
      </c>
      <c r="H147" s="13" t="s" ph="1">
        <v>709</v>
      </c>
      <c r="I147" s="13" t="s" ph="1">
        <v>330</v>
      </c>
      <c r="K147" s="13" t="s" ph="1">
        <v>4008</v>
      </c>
      <c r="L147" s="13" t="s" ph="1">
        <v>3628</v>
      </c>
      <c r="M147" s="14" t="str" ph="1">
        <f>IFERROR(INDEX([1]!_born[生没年],
MATCH(I147,[1]!_born[作],0)),"")</f>
        <v/>
      </c>
      <c r="N147" s="14" t="str" ph="1">
        <f>IFERROR(INDEX([1]!_born[生没年],
MATCH(K147,[1]!_born[作],0)),"")</f>
        <v/>
      </c>
      <c r="O147" s="13" t="s" ph="1">
        <v>4009</v>
      </c>
      <c r="R147" s="16" t="s" ph="1">
        <v>1980</v>
      </c>
      <c r="S147" s="13" t="s" ph="1">
        <v>4010</v>
      </c>
      <c r="T147" s="13" t="s" ph="1">
        <v>3764</v>
      </c>
      <c r="V147" s="17" ph="1">
        <v>2266</v>
      </c>
    </row>
    <row r="148" spans="1:25" ht="22.5" customHeight="1" ph="1" x14ac:dyDescent="0.35">
      <c r="C148" s="13" t="s" ph="1">
        <v>707</v>
      </c>
      <c r="G148" s="13" t="s" ph="1">
        <v>708</v>
      </c>
      <c r="H148" s="13" t="s" ph="1">
        <v>716</v>
      </c>
      <c r="I148" s="13" t="s" ph="1">
        <v>331</v>
      </c>
      <c r="K148" s="13" t="s" ph="1">
        <v>4011</v>
      </c>
      <c r="L148" s="13" t="s" ph="1">
        <v>3628</v>
      </c>
      <c r="M148" s="14" t="str" ph="1">
        <f>IFERROR(INDEX([1]!_born[生没年],
MATCH(I148,[1]!_born[作],0)),"")</f>
        <v/>
      </c>
      <c r="N148" s="14" t="str" ph="1">
        <f>IFERROR(INDEX([1]!_born[生没年],
MATCH(K148,[1]!_born[作],0)),"")</f>
        <v/>
      </c>
      <c r="O148" s="13" t="s" ph="1">
        <v>4012</v>
      </c>
      <c r="R148" s="16" t="s" ph="1">
        <v>1981</v>
      </c>
      <c r="S148" s="13" t="s" ph="1">
        <v>4013</v>
      </c>
      <c r="T148" s="13" t="s" ph="1">
        <v>3938</v>
      </c>
      <c r="V148" s="17" ph="1">
        <v>1700</v>
      </c>
    </row>
    <row r="149" spans="1:25" ht="22.5" customHeight="1" ph="1" x14ac:dyDescent="0.35">
      <c r="C149" s="13" t="s" ph="1">
        <v>707</v>
      </c>
      <c r="G149" s="13" t="s" ph="1">
        <v>708</v>
      </c>
      <c r="H149" s="13" t="s" ph="1">
        <v>716</v>
      </c>
      <c r="I149" s="13" t="s" ph="1">
        <v>4014</v>
      </c>
      <c r="M149" s="14" t="str" ph="1">
        <f>IFERROR(INDEX([1]!_born[生没年],
MATCH(I149,[1]!_born[作],0)),"")</f>
        <v/>
      </c>
      <c r="N149" s="14" t="str" ph="1">
        <f>IFERROR(INDEX([1]!_born[生没年],
MATCH(K149,[1]!_born[作],0)),"")</f>
        <v/>
      </c>
      <c r="O149" s="13" t="s" ph="1">
        <v>4015</v>
      </c>
      <c r="R149" s="16" t="s" ph="1">
        <v>776</v>
      </c>
      <c r="T149" s="13" t="s" ph="1">
        <v>4016</v>
      </c>
      <c r="V149" s="17" ph="1">
        <v>1400</v>
      </c>
    </row>
    <row r="150" spans="1:25" ht="22.5" customHeight="1" ph="1" x14ac:dyDescent="0.35">
      <c r="C150" s="13" t="s" ph="1">
        <v>707</v>
      </c>
      <c r="G150" s="13" t="s" ph="1">
        <v>708</v>
      </c>
      <c r="H150" s="13" t="s" ph="1">
        <v>709</v>
      </c>
      <c r="I150" s="13" t="s" ph="1">
        <v>332</v>
      </c>
      <c r="K150" s="13" t="s" ph="1">
        <v>4017</v>
      </c>
      <c r="L150" s="13" t="s" ph="1">
        <v>3628</v>
      </c>
      <c r="M150" s="14" t="str" ph="1">
        <f>IFERROR(INDEX([1]!_born[生没年],
MATCH(I150,[1]!_born[作],0)),"")</f>
        <v/>
      </c>
      <c r="N150" s="14" t="str" ph="1">
        <f>IFERROR(INDEX([1]!_born[生没年],
MATCH(K150,[1]!_born[作],0)),"")</f>
        <v/>
      </c>
      <c r="O150" s="13" t="s" ph="1">
        <v>4018</v>
      </c>
      <c r="R150" s="16" t="s" ph="1">
        <v>1982</v>
      </c>
      <c r="T150" s="13" t="s" ph="1">
        <v>3772</v>
      </c>
      <c r="V150" s="17" ph="1">
        <v>2270</v>
      </c>
    </row>
    <row r="151" spans="1:25" ht="22.5" customHeight="1" ph="1" x14ac:dyDescent="0.35">
      <c r="C151" s="13" t="s" ph="1">
        <v>707</v>
      </c>
      <c r="G151" s="13" t="s" ph="1">
        <v>708</v>
      </c>
      <c r="H151" s="13" t="s" ph="1">
        <v>709</v>
      </c>
      <c r="I151" s="13" t="s" ph="1">
        <v>333</v>
      </c>
      <c r="K151" s="13" t="s" ph="1">
        <v>4019</v>
      </c>
      <c r="L151" s="13" t="s" ph="1">
        <v>3628</v>
      </c>
      <c r="M151" s="14" t="str" ph="1">
        <f>IFERROR(INDEX([1]!_born[生没年],
MATCH(I151,[1]!_born[作],0)),"")</f>
        <v/>
      </c>
      <c r="N151" s="14" t="str" ph="1">
        <f>IFERROR(INDEX([1]!_born[生没年],
MATCH(K151,[1]!_born[作],0)),"")</f>
        <v/>
      </c>
      <c r="O151" s="13" t="s" ph="1">
        <v>4020</v>
      </c>
      <c r="T151" s="13" t="s" ph="1">
        <v>3739</v>
      </c>
      <c r="U151" s="16" ph="1">
        <v>36838</v>
      </c>
      <c r="V151" s="17" ph="1">
        <v>2060</v>
      </c>
      <c r="W151" s="17" ph="1">
        <v>1000</v>
      </c>
      <c r="X151" s="13" t="s" ph="1">
        <v>4001</v>
      </c>
      <c r="Y151" s="13" t="s" ph="1">
        <v>4021</v>
      </c>
    </row>
    <row r="152" spans="1:25" ht="22.5" customHeight="1" ph="1" x14ac:dyDescent="0.35">
      <c r="C152" s="13" t="s" ph="1">
        <v>707</v>
      </c>
      <c r="G152" s="13" t="s" ph="1">
        <v>708</v>
      </c>
      <c r="H152" s="13" t="s" ph="1">
        <v>709</v>
      </c>
      <c r="I152" s="13" t="s" ph="1">
        <v>1983</v>
      </c>
      <c r="K152" s="13" t="s" ph="1">
        <v>4022</v>
      </c>
      <c r="L152" s="13" t="s" ph="1">
        <v>3628</v>
      </c>
      <c r="M152" s="14" t="str" ph="1">
        <f>IFERROR(INDEX([1]!_born[生没年],
MATCH(I152,[1]!_born[作],0)),"")</f>
        <v/>
      </c>
      <c r="N152" s="14" t="str" ph="1">
        <f>IFERROR(INDEX([1]!_born[生没年],
MATCH(K152,[1]!_born[作],0)),"")</f>
        <v/>
      </c>
      <c r="O152" s="13" t="s" ph="1">
        <v>4023</v>
      </c>
      <c r="T152" s="13" t="s" ph="1">
        <v>3801</v>
      </c>
      <c r="U152" s="16" ph="1">
        <v>36471</v>
      </c>
      <c r="V152" s="17" ph="1">
        <f>1900*1.05</f>
        <v>1995</v>
      </c>
    </row>
    <row r="153" spans="1:25" ht="22.5" customHeight="1" ph="1" x14ac:dyDescent="0.35">
      <c r="C153" s="13" t="s" ph="1">
        <v>707</v>
      </c>
      <c r="G153" s="13" t="s" ph="1">
        <v>708</v>
      </c>
      <c r="H153" s="13" t="s" ph="1">
        <v>709</v>
      </c>
      <c r="I153" s="13" t="s" ph="1">
        <v>160</v>
      </c>
      <c r="K153" s="13" t="s" ph="1">
        <v>3756</v>
      </c>
      <c r="L153" s="13" t="s" ph="1">
        <v>4024</v>
      </c>
      <c r="M153" s="14" t="str" ph="1">
        <f>IFERROR(INDEX([1]!_born[生没年],
MATCH(I153,[1]!_born[作],0)),"")</f>
        <v/>
      </c>
      <c r="N153" s="14" t="str" ph="1">
        <f>IFERROR(INDEX([1]!_born[生没年],
MATCH(K153,[1]!_born[作],0)),"")</f>
        <v/>
      </c>
      <c r="O153" s="13" t="s" ph="1">
        <v>4025</v>
      </c>
      <c r="R153" s="16" t="s" ph="1">
        <v>1984</v>
      </c>
      <c r="T153" s="13" t="s" ph="1">
        <v>3780</v>
      </c>
      <c r="U153" s="16" ph="1">
        <v>36987</v>
      </c>
      <c r="V153" s="17" ph="1">
        <v>3900</v>
      </c>
      <c r="W153" s="17" ph="1">
        <v>800</v>
      </c>
      <c r="X153" s="13" t="s" ph="1">
        <v>4026</v>
      </c>
    </row>
    <row r="154" spans="1:25" ht="22.5" customHeight="1" ph="1" x14ac:dyDescent="0.35">
      <c r="C154" s="13" t="s" ph="1">
        <v>707</v>
      </c>
      <c r="G154" s="13" t="s" ph="1">
        <v>708</v>
      </c>
      <c r="H154" s="13" t="s" ph="1">
        <v>709</v>
      </c>
      <c r="I154" s="13" t="s" ph="1">
        <v>487</v>
      </c>
      <c r="K154" s="13" t="s" ph="1">
        <v>4027</v>
      </c>
      <c r="L154" s="13" t="s" ph="1">
        <v>3628</v>
      </c>
      <c r="M154" s="14" t="str" ph="1">
        <f>IFERROR(INDEX([1]!_born[生没年],
MATCH(I154,[1]!_born[作],0)),"")</f>
        <v/>
      </c>
      <c r="N154" s="14" t="str" ph="1">
        <f>IFERROR(INDEX([1]!_born[生没年],
MATCH(K154,[1]!_born[作],0)),"")</f>
        <v/>
      </c>
      <c r="O154" s="13" t="s" ph="1">
        <v>4028</v>
      </c>
      <c r="R154" s="16" t="s" ph="1">
        <v>1985</v>
      </c>
      <c r="T154" s="13" t="s" ph="1">
        <v>4029</v>
      </c>
      <c r="V154" s="17" ph="1">
        <v>300</v>
      </c>
      <c r="X154" s="5" t="s" ph="1">
        <v>4030</v>
      </c>
      <c r="Y154" s="5" ph="1"/>
    </row>
    <row r="155" spans="1:25" ht="22.5" customHeight="1" ph="1" x14ac:dyDescent="0.35">
      <c r="C155" s="13" t="s" ph="1">
        <v>707</v>
      </c>
      <c r="G155" s="13" t="s" ph="1">
        <v>708</v>
      </c>
      <c r="H155" s="13" t="s" ph="1">
        <v>709</v>
      </c>
      <c r="I155" s="13" t="s" ph="1">
        <v>276</v>
      </c>
      <c r="K155" s="13" t="s" ph="1">
        <v>4031</v>
      </c>
      <c r="L155" s="13" t="s" ph="1">
        <v>4032</v>
      </c>
      <c r="M155" s="14" t="str" ph="1">
        <f>IFERROR(INDEX([1]!_born[生没年],
MATCH(I155,[1]!_born[作],0)),"")</f>
        <v/>
      </c>
      <c r="N155" s="14" t="str" ph="1">
        <f>IFERROR(INDEX([1]!_born[生没年],
MATCH(K155,[1]!_born[作],0)),"")</f>
        <v/>
      </c>
      <c r="O155" s="22" t="s" ph="1">
        <v>4033</v>
      </c>
      <c r="R155" s="16" t="s" ph="1">
        <v>1986</v>
      </c>
      <c r="T155" s="13" t="s" ph="1">
        <v>4029</v>
      </c>
      <c r="U155" s="16" ph="1">
        <v>36743</v>
      </c>
      <c r="V155" s="17" ph="1">
        <v>2500</v>
      </c>
      <c r="W155" s="17" ph="1">
        <v>2000</v>
      </c>
      <c r="X155" s="5" t="s" ph="1">
        <v>4034</v>
      </c>
      <c r="Y155" s="5" ph="1"/>
    </row>
    <row r="156" spans="1:25" ht="22.5" customHeight="1" ph="1" x14ac:dyDescent="0.35">
      <c r="C156" s="13" t="s" ph="1">
        <v>707</v>
      </c>
      <c r="G156" s="13" t="s" ph="1">
        <v>708</v>
      </c>
      <c r="H156" s="13" t="s" ph="1">
        <v>709</v>
      </c>
      <c r="I156" s="13" t="s" ph="1">
        <v>277</v>
      </c>
      <c r="K156" s="13" t="s" ph="1">
        <v>4035</v>
      </c>
      <c r="L156" s="13" t="s" ph="1">
        <v>3628</v>
      </c>
      <c r="M156" s="14" t="str" ph="1">
        <f>IFERROR(INDEX([1]!_born[生没年],
MATCH(I156,[1]!_born[作],0)),"")</f>
        <v/>
      </c>
      <c r="N156" s="14" t="str" ph="1">
        <f>IFERROR(INDEX([1]!_born[生没年],
MATCH(K156,[1]!_born[作],0)),"")</f>
        <v/>
      </c>
      <c r="O156" s="13" t="s" ph="1">
        <v>4036</v>
      </c>
      <c r="R156" s="16" t="s" ph="1">
        <v>1987</v>
      </c>
      <c r="T156" s="13" t="s" ph="1">
        <v>4037</v>
      </c>
      <c r="U156" s="16" ph="1">
        <v>36743</v>
      </c>
      <c r="V156" s="17" ph="1">
        <v>2884</v>
      </c>
      <c r="W156" s="17" ph="1">
        <v>2300</v>
      </c>
      <c r="X156" s="5" t="s" ph="1">
        <v>4034</v>
      </c>
      <c r="Y156" s="5" ph="1"/>
    </row>
    <row r="157" spans="1:25" ht="22.5" customHeight="1" ph="1" x14ac:dyDescent="0.35">
      <c r="C157" s="13" t="s" ph="1">
        <v>707</v>
      </c>
      <c r="G157" s="13" t="s" ph="1">
        <v>708</v>
      </c>
      <c r="H157" s="13" t="s" ph="1">
        <v>716</v>
      </c>
      <c r="I157" s="13" t="s" ph="1">
        <v>4038</v>
      </c>
      <c r="M157" s="14" t="str" ph="1">
        <f>IFERROR(INDEX([1]!_born[生没年],
MATCH(I157,[1]!_born[作],0)),"")</f>
        <v/>
      </c>
      <c r="N157" s="14" t="str" ph="1">
        <f>IFERROR(INDEX([1]!_born[生没年],
MATCH(K157,[1]!_born[作],0)),"")</f>
        <v/>
      </c>
      <c r="O157" s="13" t="s" ph="1">
        <v>4039</v>
      </c>
      <c r="R157" s="16" t="s" ph="1">
        <v>1988</v>
      </c>
      <c r="T157" s="13" t="s" ph="1">
        <v>4040</v>
      </c>
      <c r="U157" s="16" ph="1">
        <v>36743</v>
      </c>
      <c r="V157" s="17" ph="1">
        <v>750</v>
      </c>
      <c r="W157" s="17" ph="1">
        <v>500</v>
      </c>
      <c r="X157" s="5" t="s" ph="1">
        <v>4034</v>
      </c>
      <c r="Y157" s="5" ph="1"/>
    </row>
    <row r="158" spans="1:25" ht="22.5" customHeight="1" ph="1" x14ac:dyDescent="0.35">
      <c r="C158" s="13" t="s" ph="1">
        <v>707</v>
      </c>
      <c r="G158" s="13" t="s" ph="1">
        <v>708</v>
      </c>
      <c r="H158" s="13" t="s" ph="1">
        <v>709</v>
      </c>
      <c r="I158" s="13" t="s" ph="1">
        <v>276</v>
      </c>
      <c r="K158" s="13" t="s" ph="1">
        <v>4041</v>
      </c>
      <c r="L158" s="13" t="s" ph="1">
        <v>4042</v>
      </c>
      <c r="M158" s="14" t="str" ph="1">
        <f>IFERROR(INDEX([1]!_born[生没年],
MATCH(I158,[1]!_born[作],0)),"")</f>
        <v/>
      </c>
      <c r="N158" s="14" t="str" ph="1">
        <f>IFERROR(INDEX([1]!_born[生没年],
MATCH(K158,[1]!_born[作],0)),"")</f>
        <v/>
      </c>
      <c r="O158" s="13" t="s" ph="1">
        <v>4043</v>
      </c>
      <c r="R158" s="16" t="s" ph="1">
        <v>1989</v>
      </c>
      <c r="T158" s="13" t="s" ph="1">
        <v>4044</v>
      </c>
      <c r="U158" s="16" ph="1">
        <v>38998</v>
      </c>
      <c r="V158" s="17" ph="1">
        <v>960</v>
      </c>
      <c r="W158" s="17" ph="1">
        <v>2100</v>
      </c>
      <c r="X158" s="5" t="s" ph="1">
        <v>4045</v>
      </c>
      <c r="Y158" s="5" t="s" ph="1">
        <v>4046</v>
      </c>
    </row>
    <row r="159" spans="1:25" ht="22.5" customHeight="1" ph="1" x14ac:dyDescent="0.35">
      <c r="C159" s="13" t="s" ph="1">
        <v>707</v>
      </c>
      <c r="G159" s="13" t="s" ph="1">
        <v>708</v>
      </c>
      <c r="H159" s="13" t="s" ph="1">
        <v>716</v>
      </c>
      <c r="I159" s="13" t="s" ph="1">
        <v>4047</v>
      </c>
      <c r="K159" s="13" t="s" ph="1">
        <v>4048</v>
      </c>
      <c r="L159" s="13" t="s" ph="1">
        <v>4049</v>
      </c>
      <c r="M159" s="14" t="str" ph="1">
        <f>IFERROR(INDEX([1]!_born[生没年],
MATCH(I159,[1]!_born[作],0)),"")</f>
        <v/>
      </c>
      <c r="N159" s="14" t="str" ph="1">
        <f>IFERROR(INDEX([1]!_born[生没年],
MATCH(K159,[1]!_born[作],0)),"")</f>
        <v/>
      </c>
      <c r="O159" s="13" t="s" ph="1">
        <v>4050</v>
      </c>
      <c r="R159" s="16" t="s" ph="1">
        <v>783</v>
      </c>
      <c r="S159" s="13" t="s" ph="1">
        <v>4051</v>
      </c>
      <c r="T159" s="13" t="s" ph="1">
        <v>3979</v>
      </c>
      <c r="U159" s="16" ph="1">
        <v>38998</v>
      </c>
      <c r="V159" s="17" ph="1">
        <v>1800</v>
      </c>
      <c r="W159" s="17" ph="1">
        <v>1890</v>
      </c>
      <c r="X159" s="5" t="s" ph="1">
        <v>4045</v>
      </c>
      <c r="Y159" s="5" t="s" ph="1">
        <v>4046</v>
      </c>
    </row>
    <row r="160" spans="1:25" ht="22.5" customHeight="1" ph="1" x14ac:dyDescent="0.35">
      <c r="A160" s="106" t="s" ph="1">
        <v>1990</v>
      </c>
      <c r="B160" s="5" t="s" ph="1">
        <v>1991</v>
      </c>
      <c r="C160" s="13" t="s" ph="1">
        <v>707</v>
      </c>
      <c r="G160" s="13" t="s" ph="1">
        <v>708</v>
      </c>
      <c r="H160" s="13" t="s" ph="1">
        <v>716</v>
      </c>
      <c r="I160" s="13" t="s" ph="1">
        <v>4052</v>
      </c>
      <c r="M160" s="14" t="str" ph="1">
        <f>IFERROR(INDEX([1]!_born[生没年],
MATCH(I160,[1]!_born[作],0)),"")</f>
        <v/>
      </c>
      <c r="N160" s="14" t="str" ph="1">
        <f>IFERROR(INDEX([1]!_born[生没年],
MATCH(K160,[1]!_born[作],0)),"")</f>
        <v/>
      </c>
      <c r="O160" s="13" t="s" ph="1">
        <v>4053</v>
      </c>
      <c r="R160" s="16" t="s" ph="1">
        <v>924</v>
      </c>
      <c r="S160" s="13" t="s" ph="1">
        <v>4054</v>
      </c>
      <c r="T160" s="13" t="s" ph="1">
        <v>3979</v>
      </c>
      <c r="U160" s="16" ph="1">
        <v>38998</v>
      </c>
      <c r="V160" s="17" ph="1">
        <f>2500*1.05</f>
        <v>2625</v>
      </c>
      <c r="W160" s="17" ph="1">
        <v>1785</v>
      </c>
      <c r="X160" s="5" t="s" ph="1">
        <v>4045</v>
      </c>
      <c r="Y160" s="5" t="s" ph="1">
        <v>4046</v>
      </c>
    </row>
    <row r="161" spans="1:25" ht="22.5" customHeight="1" ph="1" x14ac:dyDescent="0.35">
      <c r="C161" s="13" t="s" ph="1">
        <v>707</v>
      </c>
      <c r="G161" s="13" t="s" ph="1">
        <v>708</v>
      </c>
      <c r="H161" s="13" t="s" ph="1">
        <v>716</v>
      </c>
      <c r="I161" s="13" t="s" ph="1">
        <v>4055</v>
      </c>
      <c r="J161" s="13" t="s" ph="1">
        <v>3671</v>
      </c>
      <c r="K161" s="13" t="s" ph="1">
        <v>4056</v>
      </c>
      <c r="L161" s="13" t="s" ph="1">
        <v>3616</v>
      </c>
      <c r="M161" s="14" t="str" ph="1">
        <f>IFERROR(INDEX([1]!_born[生没年],
MATCH(I161,[1]!_born[作],0)),"")</f>
        <v/>
      </c>
      <c r="N161" s="14" t="str" ph="1">
        <f>IFERROR(INDEX([1]!_born[生没年],
MATCH(K161,[1]!_born[作],0)),"")</f>
        <v/>
      </c>
      <c r="O161" s="13" t="s" ph="1">
        <v>4057</v>
      </c>
      <c r="R161" s="16" t="s" ph="1">
        <v>1525</v>
      </c>
      <c r="T161" s="13" t="s" ph="1">
        <v>4058</v>
      </c>
      <c r="U161" s="16" ph="1">
        <v>38998</v>
      </c>
      <c r="V161" s="17" ph="1">
        <v>2800</v>
      </c>
      <c r="W161" s="17" ph="1">
        <v>1575</v>
      </c>
      <c r="X161" s="5" t="s" ph="1">
        <v>4045</v>
      </c>
      <c r="Y161" s="5" t="s" ph="1">
        <v>4046</v>
      </c>
    </row>
    <row r="162" spans="1:25" ht="22.5" customHeight="1" ph="1" x14ac:dyDescent="0.35">
      <c r="C162" s="13" t="s" ph="1">
        <v>707</v>
      </c>
      <c r="G162" s="13" t="s" ph="1">
        <v>708</v>
      </c>
      <c r="H162" s="13" t="s" ph="1">
        <v>716</v>
      </c>
      <c r="I162" s="13" t="s" ph="1">
        <v>4059</v>
      </c>
      <c r="J162" s="13" t="s" ph="1">
        <v>3616</v>
      </c>
      <c r="K162" s="13" t="s" ph="1">
        <v>4060</v>
      </c>
      <c r="L162" s="13" t="s" ph="1">
        <v>3616</v>
      </c>
      <c r="M162" s="14" t="str" ph="1">
        <f>IFERROR(INDEX([1]!_born[生没年],
MATCH(I162,[1]!_born[作],0)),"")</f>
        <v/>
      </c>
      <c r="N162" s="14" t="str" ph="1">
        <f>IFERROR(INDEX([1]!_born[生没年],
MATCH(K162,[1]!_born[作],0)),"")</f>
        <v/>
      </c>
      <c r="O162" s="13" t="s" ph="1">
        <v>4061</v>
      </c>
      <c r="S162" s="13" t="s" ph="1">
        <v>4062</v>
      </c>
      <c r="T162" s="13" t="s" ph="1">
        <v>4063</v>
      </c>
      <c r="U162" s="16" ph="1">
        <v>38998</v>
      </c>
      <c r="W162" s="17" ph="1">
        <v>500</v>
      </c>
      <c r="X162" s="5" t="s" ph="1">
        <v>4045</v>
      </c>
      <c r="Y162" s="5" t="s" ph="1">
        <v>4064</v>
      </c>
    </row>
    <row r="163" spans="1:25" ht="22.5" customHeight="1" ph="1" x14ac:dyDescent="0.35">
      <c r="A163" s="106" t="s" ph="1">
        <v>2656</v>
      </c>
      <c r="B163" s="5" t="s" ph="1">
        <v>571</v>
      </c>
      <c r="C163" s="13" t="s" ph="1">
        <v>25</v>
      </c>
      <c r="G163" s="13" t="s" ph="1">
        <v>2655</v>
      </c>
      <c r="H163" s="13" t="s" ph="1">
        <v>3902</v>
      </c>
      <c r="I163" s="13" t="s" ph="1">
        <v>4065</v>
      </c>
      <c r="M163" s="14" t="str" ph="1">
        <f>IFERROR(INDEX([1]!_born[生没年],
MATCH(I163,[1]!_born[作],0)),"")</f>
        <v/>
      </c>
      <c r="N163" s="14" t="str" ph="1">
        <f>IFERROR(INDEX([1]!_born[生没年],
MATCH(K163,[1]!_born[作],0)),"")</f>
        <v/>
      </c>
      <c r="O163" s="13" t="s" ph="1">
        <v>4066</v>
      </c>
      <c r="R163" s="16" ph="1">
        <v>39138</v>
      </c>
      <c r="T163" s="13" t="s" ph="1">
        <v>4067</v>
      </c>
      <c r="U163" s="16" t="s" ph="1">
        <v>2657</v>
      </c>
      <c r="V163" s="17" ph="1">
        <f>2200*1.05</f>
        <v>2310</v>
      </c>
      <c r="W163" s="17" ph="1">
        <f>2200*1.05</f>
        <v>2310</v>
      </c>
      <c r="X163" s="5" t="s" ph="1">
        <v>3907</v>
      </c>
      <c r="Y163" s="5" ph="1"/>
    </row>
    <row r="164" spans="1:25" ht="22.5" customHeight="1" ph="1" x14ac:dyDescent="0.35">
      <c r="C164" s="13" t="s" ph="1">
        <v>707</v>
      </c>
      <c r="G164" s="13" t="s" ph="1">
        <v>708</v>
      </c>
      <c r="H164" s="13" t="s" ph="1">
        <v>716</v>
      </c>
      <c r="I164" s="13" t="s" ph="1">
        <v>4068</v>
      </c>
      <c r="M164" s="14" t="str" ph="1">
        <f>IFERROR(INDEX([1]!_born[生没年],
MATCH(I164,[1]!_born[作],0)),"")</f>
        <v/>
      </c>
      <c r="N164" s="14" t="str" ph="1">
        <f>IFERROR(INDEX([1]!_born[生没年],
MATCH(K164,[1]!_born[作],0)),"")</f>
        <v/>
      </c>
      <c r="O164" s="13" t="s" ph="1">
        <v>4069</v>
      </c>
      <c r="R164" s="16" t="s" ph="1">
        <v>776</v>
      </c>
      <c r="S164" s="13" t="s" ph="1">
        <v>1992</v>
      </c>
      <c r="T164" s="13" t="s" ph="1">
        <v>4070</v>
      </c>
      <c r="U164" s="16" ph="1">
        <v>38998</v>
      </c>
      <c r="V164" s="17" ph="1">
        <v>980</v>
      </c>
      <c r="X164" s="5" t="s" ph="1">
        <v>4045</v>
      </c>
      <c r="Y164" s="5" t="s" ph="1">
        <v>4064</v>
      </c>
    </row>
    <row r="165" spans="1:25" ht="22.5" customHeight="1" ph="1" x14ac:dyDescent="0.35">
      <c r="C165" s="13" t="s" ph="1">
        <v>707</v>
      </c>
      <c r="G165" s="13" t="s" ph="1">
        <v>708</v>
      </c>
      <c r="H165" s="13" t="s" ph="1">
        <v>709</v>
      </c>
      <c r="I165" s="13" t="s" ph="1">
        <v>28</v>
      </c>
      <c r="J165" s="13" t="s" ph="1">
        <v>3616</v>
      </c>
      <c r="K165" s="13" t="s" ph="1">
        <v>4071</v>
      </c>
      <c r="L165" s="13" t="s" ph="1">
        <v>3628</v>
      </c>
      <c r="M165" s="14" t="str" ph="1">
        <f>IFERROR(INDEX([1]!_born[生没年],
MATCH(I165,[1]!_born[作],0)),"")</f>
        <v/>
      </c>
      <c r="N165" s="14" t="str" ph="1">
        <f>IFERROR(INDEX([1]!_born[生没年],
MATCH(K165,[1]!_born[作],0)),"")</f>
        <v/>
      </c>
      <c r="O165" s="13" t="s" ph="1">
        <v>4072</v>
      </c>
      <c r="R165" s="16" t="s" ph="1">
        <v>1993</v>
      </c>
      <c r="T165" s="13" t="s" ph="1">
        <v>3789</v>
      </c>
      <c r="U165" s="16" ph="1">
        <v>38998</v>
      </c>
      <c r="W165" s="17" ph="1">
        <v>1575</v>
      </c>
      <c r="X165" s="5" t="s" ph="1">
        <v>4045</v>
      </c>
      <c r="Y165" s="5" t="s" ph="1">
        <v>4064</v>
      </c>
    </row>
    <row r="166" spans="1:25" ht="22.5" customHeight="1" ph="1" x14ac:dyDescent="0.35">
      <c r="C166" s="13" t="s" ph="1">
        <v>707</v>
      </c>
      <c r="G166" s="13" t="s" ph="1">
        <v>708</v>
      </c>
      <c r="H166" s="13" t="s" ph="1">
        <v>709</v>
      </c>
      <c r="I166" s="13" t="s" ph="1">
        <v>306</v>
      </c>
      <c r="K166" s="13" t="s" ph="1">
        <v>4073</v>
      </c>
      <c r="L166" s="13" t="s" ph="1">
        <v>3628</v>
      </c>
      <c r="M166" s="14" t="str" ph="1">
        <f>IFERROR(INDEX([1]!_born[生没年],
MATCH(I166,[1]!_born[作],0)),"")</f>
        <v/>
      </c>
      <c r="N166" s="14" t="str" ph="1">
        <f>IFERROR(INDEX([1]!_born[生没年],
MATCH(K166,[1]!_born[作],0)),"")</f>
        <v/>
      </c>
      <c r="O166" s="13" t="s" ph="1">
        <v>4074</v>
      </c>
      <c r="R166" s="16" t="s" ph="1">
        <v>1994</v>
      </c>
      <c r="T166" s="13" t="s" ph="1">
        <v>4075</v>
      </c>
      <c r="U166" s="16" ph="1">
        <v>37403</v>
      </c>
      <c r="V166" s="17" ph="1">
        <v>3000</v>
      </c>
      <c r="W166" s="17" ph="1">
        <v>2000</v>
      </c>
      <c r="X166" s="13" t="s" ph="1">
        <v>4076</v>
      </c>
    </row>
    <row r="167" spans="1:25" ht="22.5" customHeight="1" ph="1" x14ac:dyDescent="0.35">
      <c r="A167" s="106" t="s" ph="1">
        <v>2934</v>
      </c>
      <c r="C167" s="13" t="s" ph="1">
        <v>25</v>
      </c>
      <c r="G167" s="13" t="s" ph="1">
        <v>46</v>
      </c>
      <c r="H167" s="13" t="s" ph="1">
        <v>43</v>
      </c>
      <c r="I167" s="13" t="s" ph="1">
        <v>2931</v>
      </c>
      <c r="J167" s="13" t="s" ph="1">
        <v>4077</v>
      </c>
      <c r="K167" s="13" t="s" ph="1">
        <v>4078</v>
      </c>
      <c r="L167" s="13" t="s" ph="1">
        <v>3628</v>
      </c>
      <c r="M167" s="14" t="str" ph="1">
        <f>IFERROR(INDEX([1]!_born[生没年],
MATCH(I167,[1]!_born[作],0)),"")</f>
        <v/>
      </c>
      <c r="N167" s="14" t="str" ph="1">
        <f>IFERROR(INDEX([1]!_born[生没年],
MATCH(K167,[1]!_born[作],0)),"")</f>
        <v/>
      </c>
      <c r="O167" s="13" t="s" ph="1">
        <v>4079</v>
      </c>
      <c r="R167" s="16" t="s" ph="1">
        <v>2932</v>
      </c>
      <c r="S167" s="13" t="s" ph="1">
        <v>4080</v>
      </c>
      <c r="T167" s="13" t="s" ph="1">
        <v>4081</v>
      </c>
      <c r="U167" s="16" ph="1">
        <v>42630</v>
      </c>
      <c r="V167" s="17" ph="1">
        <v>4800</v>
      </c>
      <c r="W167" s="17" ph="1">
        <f>2883+257</f>
        <v>3140</v>
      </c>
      <c r="X167" s="13" t="s" ph="1">
        <v>4082</v>
      </c>
    </row>
    <row r="168" spans="1:25" ht="22.5" customHeight="1" ph="1" x14ac:dyDescent="0.35">
      <c r="C168" s="13" t="s" ph="1">
        <v>707</v>
      </c>
      <c r="G168" s="13" t="s" ph="1">
        <v>708</v>
      </c>
      <c r="H168" s="13" t="s" ph="1">
        <v>709</v>
      </c>
      <c r="I168" s="13" t="s" ph="1">
        <v>4083</v>
      </c>
      <c r="J168" s="13" t="s" ph="1">
        <v>3616</v>
      </c>
      <c r="M168" s="14" t="str" ph="1">
        <f>IFERROR(INDEX([1]!_born[生没年],
MATCH(I168,[1]!_born[作],0)),"")</f>
        <v/>
      </c>
      <c r="N168" s="14" t="str" ph="1">
        <f>IFERROR(INDEX([1]!_born[生没年],
MATCH(K168,[1]!_born[作],0)),"")</f>
        <v/>
      </c>
      <c r="O168" s="13" t="s" ph="1">
        <v>4084</v>
      </c>
      <c r="T168" s="13" t="s" ph="1">
        <v>4085</v>
      </c>
      <c r="V168" s="17" ph="1">
        <v>1800</v>
      </c>
    </row>
    <row r="169" spans="1:25" ht="22.5" customHeight="1" ph="1" x14ac:dyDescent="0.35">
      <c r="C169" s="13" t="s" ph="1">
        <v>707</v>
      </c>
      <c r="G169" s="13" t="s" ph="1">
        <v>708</v>
      </c>
      <c r="H169" s="13" t="s" ph="1">
        <v>709</v>
      </c>
      <c r="I169" s="13" t="s" ph="1">
        <v>4083</v>
      </c>
      <c r="J169" s="13" t="s" ph="1">
        <v>3616</v>
      </c>
      <c r="M169" s="14" t="str" ph="1">
        <f>IFERROR(INDEX([1]!_born[生没年],
MATCH(I169,[1]!_born[作],0)),"")</f>
        <v/>
      </c>
      <c r="N169" s="14" t="str" ph="1">
        <f>IFERROR(INDEX([1]!_born[生没年],
MATCH(K169,[1]!_born[作],0)),"")</f>
        <v/>
      </c>
      <c r="O169" s="13" t="s" ph="1">
        <v>4086</v>
      </c>
      <c r="T169" s="13" t="s" ph="1">
        <v>4085</v>
      </c>
      <c r="V169" s="17" ph="1">
        <f>1750*1.05</f>
        <v>1837.5</v>
      </c>
    </row>
    <row r="170" spans="1:25" ht="22.5" customHeight="1" ph="1" x14ac:dyDescent="0.35">
      <c r="C170" s="13" t="s" ph="1">
        <v>707</v>
      </c>
      <c r="G170" s="13" t="s" ph="1">
        <v>708</v>
      </c>
      <c r="H170" s="13" t="s" ph="1">
        <v>709</v>
      </c>
      <c r="I170" s="13" t="s" ph="1">
        <v>4087</v>
      </c>
      <c r="J170" s="13" t="s" ph="1">
        <v>3664</v>
      </c>
      <c r="M170" s="14" t="str" ph="1">
        <f>IFERROR(INDEX([1]!_born[生没年],
MATCH(I170,[1]!_born[作],0)),"")</f>
        <v/>
      </c>
      <c r="N170" s="14" t="str" ph="1">
        <f>IFERROR(INDEX([1]!_born[生没年],
MATCH(K170,[1]!_born[作],0)),"")</f>
        <v/>
      </c>
      <c r="O170" s="13" t="s" ph="1">
        <v>4088</v>
      </c>
      <c r="S170" s="13" t="s" ph="1">
        <v>4089</v>
      </c>
      <c r="T170" s="13" t="s" ph="1">
        <v>4090</v>
      </c>
      <c r="V170" s="17" ph="1">
        <f>2427*1.05</f>
        <v>2548.35</v>
      </c>
      <c r="W170" s="17" ph="1">
        <f>2427*1.05</f>
        <v>2548.35</v>
      </c>
    </row>
    <row r="171" spans="1:25" ht="22.5" customHeight="1" ph="1" x14ac:dyDescent="0.35">
      <c r="C171" s="13" t="s" ph="1">
        <v>707</v>
      </c>
      <c r="G171" s="13" t="s" ph="1">
        <v>708</v>
      </c>
      <c r="H171" s="13" t="s" ph="1">
        <v>709</v>
      </c>
      <c r="I171" s="13" t="s" ph="1">
        <v>4091</v>
      </c>
      <c r="J171" s="13" t="s" ph="1">
        <v>3664</v>
      </c>
      <c r="K171" s="13" t="s" ph="1">
        <v>4092</v>
      </c>
      <c r="L171" s="13" t="s" ph="1">
        <v>0</v>
      </c>
      <c r="M171" s="14" t="str" ph="1">
        <f>IFERROR(INDEX([1]!_born[生没年],
MATCH(I171,[1]!_born[作],0)),"")</f>
        <v/>
      </c>
      <c r="N171" s="14" t="str" ph="1">
        <f>IFERROR(INDEX([1]!_born[生没年],
MATCH(K171,[1]!_born[作],0)),"")</f>
        <v/>
      </c>
      <c r="O171" s="13" t="s" ph="1">
        <v>4093</v>
      </c>
      <c r="S171" s="13" t="s" ph="1">
        <v>4094</v>
      </c>
      <c r="T171" s="13" t="s" ph="1">
        <v>4090</v>
      </c>
      <c r="V171" s="17" ph="1">
        <f>2500*1.05</f>
        <v>2625</v>
      </c>
      <c r="W171" s="17" ph="1">
        <f>2500*1.05</f>
        <v>2625</v>
      </c>
    </row>
    <row r="172" spans="1:25" ht="22.5" customHeight="1" ph="1" x14ac:dyDescent="0.35">
      <c r="C172" s="13" t="s" ph="1">
        <v>707</v>
      </c>
      <c r="G172" s="13" t="s" ph="1">
        <v>708</v>
      </c>
      <c r="H172" s="13" t="s" ph="1">
        <v>709</v>
      </c>
      <c r="I172" s="13" t="s" ph="1">
        <v>4095</v>
      </c>
      <c r="J172" s="13" t="s" ph="1">
        <v>3671</v>
      </c>
      <c r="M172" s="14" t="str" ph="1">
        <f>IFERROR(INDEX([1]!_born[生没年],
MATCH(I172,[1]!_born[作],0)),"")</f>
        <v/>
      </c>
      <c r="N172" s="14" t="str" ph="1">
        <f>IFERROR(INDEX([1]!_born[生没年],
MATCH(K172,[1]!_born[作],0)),"")</f>
        <v/>
      </c>
      <c r="O172" s="13" t="s" ph="1">
        <v>4096</v>
      </c>
      <c r="R172" s="16" ph="1">
        <v>36874</v>
      </c>
      <c r="S172" s="13" t="s" ph="1">
        <v>4097</v>
      </c>
      <c r="T172" s="13" t="s" ph="1">
        <v>4090</v>
      </c>
      <c r="U172" s="16" ph="1">
        <v>37017</v>
      </c>
      <c r="V172" s="17" ph="1">
        <f>2500*1.05</f>
        <v>2625</v>
      </c>
      <c r="W172" s="17" ph="1">
        <f>2500*1.05</f>
        <v>2625</v>
      </c>
      <c r="X172" s="13" t="s" ph="1">
        <v>3802</v>
      </c>
    </row>
    <row r="173" spans="1:25" ht="22.5" customHeight="1" ph="1" x14ac:dyDescent="0.35">
      <c r="A173" s="106" t="s" ph="1">
        <v>3164</v>
      </c>
      <c r="B173" s="5" t="s" ph="1">
        <v>2518</v>
      </c>
      <c r="C173" s="13" t="s" ph="1">
        <v>25</v>
      </c>
      <c r="G173" s="13" t="s" ph="1">
        <v>46</v>
      </c>
      <c r="H173" s="13" t="s" ph="1">
        <v>43</v>
      </c>
      <c r="I173" s="13" t="s" ph="1">
        <v>4098</v>
      </c>
      <c r="J173" s="13" t="s" ph="1">
        <v>3671</v>
      </c>
      <c r="M173" s="14" t="str" ph="1">
        <f>IFERROR(INDEX([1]!_born[生没年],
MATCH(I173,[1]!_born[作],0)),"")</f>
        <v/>
      </c>
      <c r="N173" s="14" t="str" ph="1">
        <f>IFERROR(INDEX([1]!_born[生没年],
MATCH(K173,[1]!_born[作],0)),"")</f>
        <v/>
      </c>
      <c r="O173" s="13" t="s" ph="1">
        <v>4099</v>
      </c>
      <c r="R173" s="16" ph="1">
        <v>37226</v>
      </c>
      <c r="S173" s="13" t="s" ph="1">
        <v>4100</v>
      </c>
      <c r="T173" s="13" t="s" ph="1">
        <v>4090</v>
      </c>
      <c r="U173" s="16" ph="1">
        <v>44793</v>
      </c>
      <c r="V173" s="17" ph="1">
        <f>2500*1.1</f>
        <v>2750</v>
      </c>
      <c r="W173" s="17" ph="1">
        <f>983+257</f>
        <v>1240</v>
      </c>
      <c r="X173" s="13" t="s" ph="1">
        <v>4101</v>
      </c>
    </row>
    <row r="174" spans="1:25" ht="22.5" customHeight="1" ph="1" x14ac:dyDescent="0.35">
      <c r="C174" s="13" t="s" ph="1">
        <v>707</v>
      </c>
      <c r="E174" s="123" ph="1">
        <v>2</v>
      </c>
      <c r="G174" s="13" t="s" ph="1">
        <v>708</v>
      </c>
      <c r="H174" s="13" t="s" ph="1">
        <v>709</v>
      </c>
      <c r="M174" s="14" t="str" ph="1">
        <f>IFERROR(INDEX([1]!_born[生没年],
MATCH(I174,[1]!_born[作],0)),"")</f>
        <v/>
      </c>
      <c r="N174" s="14" t="str" ph="1">
        <f>IFERROR(INDEX([1]!_born[生没年],
MATCH(K174,[1]!_born[作],0)),"")</f>
        <v/>
      </c>
      <c r="O174" s="13" t="s" ph="1">
        <v>4102</v>
      </c>
      <c r="S174" s="13" t="s" ph="1">
        <v>4103</v>
      </c>
      <c r="T174" s="13" t="s" ph="1">
        <v>1995</v>
      </c>
    </row>
    <row r="175" spans="1:25" ht="22.5" customHeight="1" ph="1" x14ac:dyDescent="0.35">
      <c r="C175" s="13" t="s" ph="1">
        <v>707</v>
      </c>
      <c r="G175" s="13" t="s" ph="1">
        <v>708</v>
      </c>
      <c r="H175" s="13" t="s" ph="1">
        <v>716</v>
      </c>
      <c r="I175" s="13" t="s" ph="1">
        <v>4104</v>
      </c>
      <c r="M175" s="14" t="str" ph="1">
        <f>IFERROR(INDEX([1]!_born[生没年],
MATCH(I175,[1]!_born[作],0)),"")</f>
        <v/>
      </c>
      <c r="N175" s="14" t="str" ph="1">
        <f>IFERROR(INDEX([1]!_born[生没年],
MATCH(K175,[1]!_born[作],0)),"")</f>
        <v/>
      </c>
      <c r="O175" s="13" t="s" ph="1">
        <v>4105</v>
      </c>
      <c r="T175" s="13" t="s" ph="1">
        <v>3995</v>
      </c>
    </row>
    <row r="176" spans="1:25" ht="22.5" customHeight="1" ph="1" x14ac:dyDescent="0.35">
      <c r="C176" s="13" t="s" ph="1">
        <v>4106</v>
      </c>
      <c r="G176" s="13" t="s" ph="1">
        <v>708</v>
      </c>
      <c r="H176" s="13" t="s" ph="1">
        <v>716</v>
      </c>
      <c r="I176" s="13" t="s" ph="1">
        <v>4107</v>
      </c>
      <c r="M176" s="14" t="str" ph="1">
        <f>IFERROR(INDEX([1]!_born[生没年],
MATCH(I176,[1]!_born[作],0)),"")</f>
        <v/>
      </c>
      <c r="N176" s="14" t="str" ph="1">
        <f>IFERROR(INDEX([1]!_born[生没年],
MATCH(K176,[1]!_born[作],0)),"")</f>
        <v/>
      </c>
      <c r="O176" s="13" t="s" ph="1">
        <v>4108</v>
      </c>
      <c r="S176" s="13" t="s" ph="1">
        <v>4109</v>
      </c>
      <c r="T176" s="13" t="s" ph="1">
        <v>4110</v>
      </c>
      <c r="V176" s="17" ph="1">
        <f>1000*1.05</f>
        <v>1050</v>
      </c>
    </row>
    <row r="177" spans="1:25" ht="22.5" customHeight="1" ph="1" x14ac:dyDescent="0.35">
      <c r="C177" s="13" t="s" ph="1">
        <v>707</v>
      </c>
      <c r="G177" s="13" t="s" ph="1">
        <v>1125</v>
      </c>
      <c r="H177" s="13" t="s" ph="1">
        <v>716</v>
      </c>
      <c r="I177" s="13" t="s" ph="1">
        <v>4111</v>
      </c>
      <c r="M177" s="14" t="str" ph="1">
        <f>IFERROR(INDEX([1]!_born[生没年],
MATCH(I177,[1]!_born[作],0)),"")</f>
        <v/>
      </c>
      <c r="N177" s="14" t="str" ph="1">
        <f>IFERROR(INDEX([1]!_born[生没年],
MATCH(K177,[1]!_born[作],0)),"")</f>
        <v/>
      </c>
      <c r="O177" s="13" t="s" ph="1">
        <v>4112</v>
      </c>
      <c r="R177" s="16" t="s" ph="1">
        <v>988</v>
      </c>
      <c r="T177" s="13" t="s" ph="1">
        <v>4113</v>
      </c>
      <c r="V177" s="17" ph="1">
        <v>1300</v>
      </c>
    </row>
    <row r="178" spans="1:25" ht="22.5" customHeight="1" ph="1" x14ac:dyDescent="0.35">
      <c r="C178" s="13" t="s" ph="1">
        <v>707</v>
      </c>
      <c r="G178" s="13" t="s" ph="1">
        <v>1125</v>
      </c>
      <c r="H178" s="13" t="s" ph="1">
        <v>716</v>
      </c>
      <c r="I178" s="13" t="s" ph="1">
        <v>4114</v>
      </c>
      <c r="M178" s="14" t="str" ph="1">
        <f>IFERROR(INDEX([1]!_born[生没年],
MATCH(I178,[1]!_born[作],0)),"")</f>
        <v/>
      </c>
      <c r="N178" s="14" t="str" ph="1">
        <f>IFERROR(INDEX([1]!_born[生没年],
MATCH(K178,[1]!_born[作],0)),"")</f>
        <v/>
      </c>
      <c r="O178" s="13" t="s" ph="1">
        <v>4115</v>
      </c>
      <c r="R178" s="16" t="s" ph="1">
        <v>1488</v>
      </c>
      <c r="T178" s="13" t="s" ph="1">
        <v>4116</v>
      </c>
      <c r="V178" s="17" ph="1">
        <v>1600</v>
      </c>
    </row>
    <row r="179" spans="1:25" ht="22.5" customHeight="1" ph="1" x14ac:dyDescent="0.35">
      <c r="C179" s="13" t="s" ph="1">
        <v>707</v>
      </c>
      <c r="G179" s="13" t="s" ph="1">
        <v>1125</v>
      </c>
      <c r="H179" s="13" t="s" ph="1">
        <v>716</v>
      </c>
      <c r="I179" s="13" t="s" ph="1">
        <v>4117</v>
      </c>
      <c r="M179" s="14" t="str" ph="1">
        <f>IFERROR(INDEX([1]!_born[生没年],
MATCH(I179,[1]!_born[作],0)),"")</f>
        <v/>
      </c>
      <c r="N179" s="14" t="str" ph="1">
        <f>IFERROR(INDEX([1]!_born[生没年],
MATCH(K179,[1]!_born[作],0)),"")</f>
        <v/>
      </c>
      <c r="O179" s="13" t="s" ph="1">
        <v>4118</v>
      </c>
      <c r="R179" s="16" t="s" ph="1">
        <v>766</v>
      </c>
      <c r="T179" s="13" t="s" ph="1">
        <v>4119</v>
      </c>
      <c r="V179" s="17" ph="1">
        <v>2060</v>
      </c>
    </row>
    <row r="180" spans="1:25" ht="22.5" customHeight="1" ph="1" x14ac:dyDescent="0.35">
      <c r="C180" s="13" t="s" ph="1">
        <v>4106</v>
      </c>
      <c r="G180" s="13" t="s" ph="1">
        <v>708</v>
      </c>
      <c r="H180" s="13" t="s" ph="1">
        <v>709</v>
      </c>
      <c r="I180" s="13" t="s" ph="1">
        <v>4120</v>
      </c>
      <c r="K180" s="13" t="s" ph="1">
        <v>4121</v>
      </c>
      <c r="L180" s="13" t="s" ph="1">
        <v>3671</v>
      </c>
      <c r="M180" s="14" t="str" ph="1">
        <f>IFERROR(INDEX([1]!_born[生没年],
MATCH(I180,[1]!_born[作],0)),"")</f>
        <v/>
      </c>
      <c r="N180" s="14" t="str" ph="1">
        <f>IFERROR(INDEX([1]!_born[生没年],
MATCH(K180,[1]!_born[作],0)),"")</f>
        <v/>
      </c>
      <c r="O180" s="13" t="s" ph="1">
        <v>4122</v>
      </c>
      <c r="R180" s="16" t="s" ph="1">
        <v>930</v>
      </c>
      <c r="S180" s="13" t="s" ph="1">
        <v>4123</v>
      </c>
      <c r="T180" s="13" t="s" ph="1">
        <v>4124</v>
      </c>
      <c r="V180" s="17" ph="1">
        <v>1300</v>
      </c>
    </row>
    <row r="181" spans="1:25" s="19" customFormat="1" ht="22.5" customHeight="1" ph="1" x14ac:dyDescent="0.35">
      <c r="A181" s="107" ph="1"/>
      <c r="B181" s="18" ph="1"/>
      <c r="C181" s="19" t="s" ph="1">
        <v>707</v>
      </c>
      <c r="D181" s="124" ph="1"/>
      <c r="E181" s="124" ph="1"/>
      <c r="G181" s="19" t="s" ph="1">
        <v>708</v>
      </c>
      <c r="H181" s="19" t="s" ph="1">
        <v>716</v>
      </c>
      <c r="I181" s="19" t="s" ph="1">
        <v>4125</v>
      </c>
      <c r="J181" s="19" t="s" ph="1">
        <v>4126</v>
      </c>
      <c r="M181" s="14" t="str" ph="1">
        <f>IFERROR(INDEX([1]!_born[生没年],
MATCH(I181,[1]!_born[作],0)),"")</f>
        <v/>
      </c>
      <c r="N181" s="27" t="str" ph="1">
        <f>IFERROR(INDEX([1]!_born[生没年],
MATCH(K181,[1]!_born[作],0)),"")</f>
        <v/>
      </c>
      <c r="O181" s="111" t="s" ph="1">
        <v>4127</v>
      </c>
      <c r="R181" s="20" t="s" ph="1">
        <v>1996</v>
      </c>
      <c r="T181" s="19" t="s" ph="1">
        <v>4128</v>
      </c>
      <c r="U181" s="20" ph="1">
        <v>36818</v>
      </c>
      <c r="V181" s="21" ph="1">
        <v>1680</v>
      </c>
      <c r="W181" s="21" ph="1">
        <v>1680</v>
      </c>
      <c r="Y181" s="19" t="s" ph="1">
        <v>4129</v>
      </c>
    </row>
    <row r="182" spans="1:25" ht="22.5" customHeight="1" ph="1" x14ac:dyDescent="0.35">
      <c r="C182" s="13" t="s" ph="1">
        <v>4106</v>
      </c>
      <c r="G182" s="13" t="s" ph="1">
        <v>708</v>
      </c>
      <c r="H182" s="13" t="s" ph="1">
        <v>716</v>
      </c>
      <c r="I182" s="13" t="s" ph="1">
        <v>4130</v>
      </c>
      <c r="M182" s="14" t="str" ph="1">
        <f>IFERROR(INDEX([1]!_born[生没年],
MATCH(I182,[1]!_born[作],0)),"")</f>
        <v/>
      </c>
      <c r="N182" s="14" t="str" ph="1">
        <f>IFERROR(INDEX([1]!_born[生没年],
MATCH(K182,[1]!_born[作],0)),"")</f>
        <v/>
      </c>
      <c r="O182" s="13" t="s" ph="1">
        <v>4131</v>
      </c>
      <c r="S182" s="13" t="s" ph="1">
        <v>4132</v>
      </c>
      <c r="T182" s="13" t="s" ph="1">
        <v>385</v>
      </c>
      <c r="V182" s="17" ph="1">
        <v>900</v>
      </c>
      <c r="W182" s="17" ph="1">
        <v>200</v>
      </c>
      <c r="X182" s="13" t="s" ph="1">
        <v>4133</v>
      </c>
    </row>
    <row r="183" spans="1:25" ht="22.5" customHeight="1" ph="1" x14ac:dyDescent="0.35">
      <c r="C183" s="13" t="s" ph="1">
        <v>4106</v>
      </c>
      <c r="G183" s="13" t="s" ph="1">
        <v>708</v>
      </c>
      <c r="H183" s="13" t="s" ph="1">
        <v>716</v>
      </c>
      <c r="I183" s="13" t="s" ph="1">
        <v>4130</v>
      </c>
      <c r="J183" s="13" t="s" ph="1">
        <v>4134</v>
      </c>
      <c r="M183" s="14" t="str" ph="1">
        <f>IFERROR(INDEX([1]!_born[生没年],
MATCH(I183,[1]!_born[作],0)),"")</f>
        <v/>
      </c>
      <c r="N183" s="14" t="str" ph="1">
        <f>IFERROR(INDEX([1]!_born[生没年],
MATCH(K183,[1]!_born[作],0)),"")</f>
        <v/>
      </c>
      <c r="O183" s="13" t="s" ph="1">
        <v>4135</v>
      </c>
      <c r="T183" s="13" t="s" ph="1">
        <v>4136</v>
      </c>
      <c r="V183" s="17" ph="1">
        <v>980</v>
      </c>
      <c r="W183" s="17" ph="1">
        <v>400</v>
      </c>
      <c r="X183" s="13" t="s" ph="1">
        <v>4137</v>
      </c>
    </row>
    <row r="184" spans="1:25" ht="22.5" customHeight="1" ph="1" x14ac:dyDescent="0.35">
      <c r="C184" s="13" t="s" ph="1">
        <v>25</v>
      </c>
      <c r="G184" s="13" t="s" ph="1">
        <v>3599</v>
      </c>
      <c r="H184" s="13" t="s" ph="1">
        <v>61</v>
      </c>
      <c r="I184" s="13" t="s" ph="1">
        <v>4138</v>
      </c>
      <c r="M184" s="14" t="str" ph="1">
        <f>IFERROR(INDEX([1]!_born[生没年],
MATCH(I184,[1]!_born[作],0)),"")</f>
        <v/>
      </c>
      <c r="N184" s="14" t="str" ph="1">
        <f>IFERROR(INDEX([1]!_born[生没年],
MATCH(K184,[1]!_born[作],0)),"")</f>
        <v/>
      </c>
      <c r="O184" s="13" t="s" ph="1">
        <v>4139</v>
      </c>
      <c r="T184" s="13" t="s" ph="1">
        <v>3796</v>
      </c>
      <c r="V184" s="17" ph="1">
        <f>2900*1.05</f>
        <v>3045</v>
      </c>
    </row>
    <row r="185" spans="1:25" ht="22.5" customHeight="1" ph="1" x14ac:dyDescent="0.35">
      <c r="A185" s="106" t="s" ph="1">
        <v>2961</v>
      </c>
      <c r="B185" s="5" t="s" ph="1">
        <v>215</v>
      </c>
      <c r="C185" s="13" t="s" ph="1">
        <v>25</v>
      </c>
      <c r="G185" s="13" t="s" ph="1">
        <v>3599</v>
      </c>
      <c r="H185" s="13" t="s" ph="1">
        <v>43</v>
      </c>
      <c r="I185" s="13" t="s" ph="1">
        <v>2962</v>
      </c>
      <c r="J185" s="13" t="s" ph="1">
        <v>4140</v>
      </c>
      <c r="K185" s="13" t="s" ph="1">
        <v>4141</v>
      </c>
      <c r="L185" s="13" t="s" ph="1">
        <v>4142</v>
      </c>
      <c r="M185" s="14" t="str" ph="1">
        <f>IFERROR(INDEX([1]!_born[生没年],
MATCH(I185,[1]!_born[作],0)),"")</f>
        <v/>
      </c>
      <c r="N185" s="14" t="str" ph="1">
        <f>IFERROR(INDEX([1]!_born[生没年],
MATCH(K185,[1]!_born[作],0)),"")</f>
        <v/>
      </c>
      <c r="O185" s="13" t="s" ph="1">
        <v>4143</v>
      </c>
      <c r="R185" s="16" ph="1">
        <v>42781</v>
      </c>
      <c r="T185" s="13" t="s" ph="1">
        <v>4144</v>
      </c>
      <c r="V185" s="17" ph="1">
        <f>1600*1.08</f>
        <v>1728</v>
      </c>
      <c r="W185" s="17" ph="1">
        <f>1600*1.08</f>
        <v>1728</v>
      </c>
      <c r="X185" s="13" t="s" ph="1">
        <v>4145</v>
      </c>
    </row>
    <row r="186" spans="1:25" ht="22.5" customHeight="1" ph="1" x14ac:dyDescent="0.35">
      <c r="A186" s="106" t="s" ph="1">
        <v>10040</v>
      </c>
      <c r="B186" s="5" t="s" ph="1">
        <v>10041</v>
      </c>
      <c r="C186" s="13" t="s" ph="1">
        <v>25</v>
      </c>
      <c r="G186" s="13" t="s" ph="1">
        <v>3599</v>
      </c>
      <c r="H186" s="13" t="s" ph="1">
        <v>61</v>
      </c>
      <c r="I186" s="13" t="s" ph="1">
        <v>10157</v>
      </c>
      <c r="J186" s="13" t="s" ph="1">
        <v>3671</v>
      </c>
      <c r="K186" s="13" t="s" ph="1">
        <v>10158</v>
      </c>
      <c r="L186" s="13" t="s" ph="1">
        <v>3915</v>
      </c>
      <c r="M186" s="14" t="str" ph="1">
        <f>IFERROR(INDEX([1]!_born[生没年],
MATCH(I186,[1]!_born[作],0)),"")</f>
        <v/>
      </c>
      <c r="N186" s="14" t="str" ph="1">
        <f>IFERROR(INDEX([1]!_born[生没年],
MATCH(K186,[1]!_born[作],0)),"")</f>
        <v/>
      </c>
      <c r="O186" s="13" t="s" ph="1">
        <v>10159</v>
      </c>
      <c r="T186" s="13" t="s" ph="1">
        <v>10160</v>
      </c>
      <c r="U186" s="16" ph="1">
        <v>45424</v>
      </c>
      <c r="V186" s="17" ph="1">
        <f>900*1.1</f>
        <v>990.00000000000011</v>
      </c>
      <c r="W186" s="17" ph="1">
        <v>500</v>
      </c>
      <c r="X186" s="13" t="s" ph="1">
        <v>3883</v>
      </c>
    </row>
    <row r="187" spans="1:25" ht="22.5" customHeight="1" ph="1" x14ac:dyDescent="0.35">
      <c r="A187" s="106" t="s" ph="1">
        <v>3161</v>
      </c>
      <c r="B187" s="5" t="s" ph="1">
        <v>571</v>
      </c>
      <c r="C187" s="13" t="s" ph="1">
        <v>25</v>
      </c>
      <c r="G187" s="13" t="s" ph="1">
        <v>3599</v>
      </c>
      <c r="H187" s="13" t="s" ph="1">
        <v>61</v>
      </c>
      <c r="I187" s="13" t="s" ph="1">
        <v>4146</v>
      </c>
      <c r="J187" s="13" t="s" ph="1">
        <v>3664</v>
      </c>
      <c r="K187" s="13" t="s" ph="1">
        <v>4147</v>
      </c>
      <c r="L187" s="13" t="s" ph="1">
        <v>3879</v>
      </c>
      <c r="M187" s="14" t="str" ph="1">
        <f>IFERROR(INDEX([1]!_born[生没年],
MATCH(I187,[1]!_born[作],0)),"")</f>
        <v/>
      </c>
      <c r="N187" s="14" t="str" ph="1">
        <f>IFERROR(INDEX([1]!_born[生没年],
MATCH(K187,[1]!_born[作],0)),"")</f>
        <v/>
      </c>
      <c r="O187" s="13" t="s" ph="1">
        <v>4148</v>
      </c>
      <c r="R187" s="16" ph="1">
        <v>43896</v>
      </c>
      <c r="S187" s="13" t="s" ph="1">
        <v>4149</v>
      </c>
      <c r="T187" s="13" t="s" ph="1">
        <v>4150</v>
      </c>
      <c r="U187" s="16" ph="1">
        <v>44793</v>
      </c>
      <c r="V187" s="17" ph="1">
        <f>1200*1.1</f>
        <v>1320</v>
      </c>
      <c r="W187" s="17" ph="1">
        <f>1200*1.1</f>
        <v>1320</v>
      </c>
      <c r="X187" s="13" t="s" ph="1">
        <v>2874</v>
      </c>
    </row>
    <row r="188" spans="1:25" ht="22.5" customHeight="1" ph="1" x14ac:dyDescent="0.35">
      <c r="A188" s="106" t="s" ph="1">
        <v>4151</v>
      </c>
      <c r="C188" s="13" t="s" ph="1">
        <v>3970</v>
      </c>
      <c r="G188" s="13" t="s" ph="1">
        <v>3803</v>
      </c>
      <c r="I188" s="13" t="s" ph="1">
        <v>4152</v>
      </c>
      <c r="J188" s="13" t="s" ph="1">
        <v>4153</v>
      </c>
      <c r="M188" s="14" t="str" ph="1">
        <f>IFERROR(INDEX([1]!_born[生没年],
MATCH(I188,[1]!_born[作],0)),"")</f>
        <v/>
      </c>
      <c r="N188" s="14" t="str" ph="1">
        <f>IFERROR(INDEX([1]!_born[生没年],
MATCH(K188,[1]!_born[作],0)),"")</f>
        <v/>
      </c>
      <c r="O188" s="13" t="s" ph="1">
        <v>4154</v>
      </c>
      <c r="R188" s="16" ph="1">
        <v>41334</v>
      </c>
      <c r="S188" s="13" t="s" ph="1">
        <v>4155</v>
      </c>
      <c r="T188" s="13" t="s" ph="1">
        <v>4156</v>
      </c>
      <c r="U188" s="16" t="s" ph="1">
        <v>3039</v>
      </c>
      <c r="V188" s="17" ph="1">
        <v>4400</v>
      </c>
      <c r="W188" s="17" ph="1">
        <v>4400</v>
      </c>
      <c r="X188" s="13" t="s" ph="1">
        <v>4157</v>
      </c>
    </row>
    <row r="189" spans="1:25" ht="22.5" customHeight="1" ph="1" x14ac:dyDescent="0.35">
      <c r="A189" s="106" t="s" ph="1">
        <v>3055</v>
      </c>
      <c r="B189" s="5" t="s" ph="1">
        <v>2454</v>
      </c>
      <c r="C189" s="13" t="s" ph="1">
        <v>25</v>
      </c>
      <c r="G189" s="13" t="s" ph="1">
        <v>4158</v>
      </c>
      <c r="I189" s="13" t="s" ph="1">
        <v>4159</v>
      </c>
      <c r="J189" s="13" t="s" ph="1">
        <v>3616</v>
      </c>
      <c r="M189" s="14" t="str" ph="1">
        <f>IFERROR(INDEX([1]!_born[生没年],
MATCH(I189,[1]!_born[作],0)),"")</f>
        <v/>
      </c>
      <c r="N189" s="14" t="str" ph="1">
        <f>IFERROR(INDEX([1]!_born[生没年],
MATCH(K189,[1]!_born[作],0)),"")</f>
        <v/>
      </c>
      <c r="O189" s="13" t="s" ph="1">
        <v>4160</v>
      </c>
      <c r="R189" s="16" ph="1">
        <v>41988</v>
      </c>
      <c r="S189" s="13" t="s" ph="1">
        <v>4161</v>
      </c>
      <c r="T189" s="13" t="s" ph="1">
        <v>3053</v>
      </c>
      <c r="U189" s="16" t="s" ph="1">
        <v>3054</v>
      </c>
      <c r="V189" s="17" ph="1">
        <f>6500*1.08</f>
        <v>7020.0000000000009</v>
      </c>
      <c r="W189" s="17" ph="1">
        <f>6500*1.08</f>
        <v>7020.0000000000009</v>
      </c>
      <c r="X189" s="13" t="s" ph="1">
        <v>4157</v>
      </c>
    </row>
    <row r="190" spans="1:25" ht="22.5" customHeight="1" ph="1" x14ac:dyDescent="0.35">
      <c r="A190" s="106" t="s" ph="1">
        <v>3064</v>
      </c>
      <c r="B190" s="5" t="s" ph="1">
        <v>2454</v>
      </c>
      <c r="C190" s="13" t="s" ph="1">
        <v>25</v>
      </c>
      <c r="G190" s="13" t="s" ph="1">
        <v>4158</v>
      </c>
      <c r="I190" s="13" t="s" ph="1">
        <v>4159</v>
      </c>
      <c r="J190" s="13" t="s" ph="1">
        <v>3616</v>
      </c>
      <c r="M190" s="14" t="str" ph="1">
        <f>IFERROR(INDEX([1]!_born[生没年],
MATCH(I190,[1]!_born[作],0)),"")</f>
        <v/>
      </c>
      <c r="N190" s="14" t="str" ph="1">
        <f>IFERROR(INDEX([1]!_born[生没年],
MATCH(K190,[1]!_born[作],0)),"")</f>
        <v/>
      </c>
      <c r="O190" s="13" t="s" ph="1">
        <v>4162</v>
      </c>
      <c r="R190" s="16" ph="1">
        <v>41880</v>
      </c>
      <c r="S190" s="13" t="s" ph="1">
        <v>4161</v>
      </c>
      <c r="T190" s="13" t="s" ph="1">
        <v>3053</v>
      </c>
      <c r="U190" s="16" t="s" ph="1">
        <v>3054</v>
      </c>
      <c r="V190" s="17" ph="1">
        <f t="shared" ref="V190:W198" si="0">3000*1.08</f>
        <v>3240</v>
      </c>
      <c r="W190" s="17" ph="1">
        <f t="shared" si="0"/>
        <v>3240</v>
      </c>
      <c r="X190" s="13" t="s" ph="1">
        <v>4157</v>
      </c>
    </row>
    <row r="191" spans="1:25" ht="22.5" customHeight="1" ph="1" x14ac:dyDescent="0.35">
      <c r="A191" s="106" t="s" ph="1">
        <v>3052</v>
      </c>
      <c r="B191" s="5" t="s" ph="1">
        <v>2454</v>
      </c>
      <c r="C191" s="13" t="s" ph="1">
        <v>25</v>
      </c>
      <c r="G191" s="13" t="s" ph="1">
        <v>4158</v>
      </c>
      <c r="I191" s="13" t="s" ph="1">
        <v>4159</v>
      </c>
      <c r="J191" s="13" t="s" ph="1">
        <v>3616</v>
      </c>
      <c r="M191" s="14" t="str" ph="1">
        <f>IFERROR(INDEX([1]!_born[生没年],
MATCH(I191,[1]!_born[作],0)),"")</f>
        <v/>
      </c>
      <c r="N191" s="14" t="str" ph="1">
        <f>IFERROR(INDEX([1]!_born[生没年],
MATCH(K191,[1]!_born[作],0)),"")</f>
        <v/>
      </c>
      <c r="O191" s="13" t="s" ph="1">
        <v>4163</v>
      </c>
      <c r="R191" s="16" ph="1">
        <v>41739</v>
      </c>
      <c r="S191" s="13" t="s" ph="1">
        <v>4161</v>
      </c>
      <c r="T191" s="13" t="s" ph="1">
        <v>3053</v>
      </c>
      <c r="U191" s="16" t="s" ph="1">
        <v>3054</v>
      </c>
      <c r="V191" s="17" ph="1">
        <f t="shared" si="0"/>
        <v>3240</v>
      </c>
      <c r="W191" s="17" ph="1">
        <f t="shared" si="0"/>
        <v>3240</v>
      </c>
      <c r="X191" s="13" t="s" ph="1">
        <v>4157</v>
      </c>
    </row>
    <row r="192" spans="1:25" ht="22.5" customHeight="1" ph="1" x14ac:dyDescent="0.35">
      <c r="A192" s="106" t="s" ph="1">
        <v>3058</v>
      </c>
      <c r="B192" s="5" t="s" ph="1">
        <v>2454</v>
      </c>
      <c r="C192" s="13" t="s" ph="1">
        <v>25</v>
      </c>
      <c r="G192" s="13" t="s" ph="1">
        <v>4158</v>
      </c>
      <c r="I192" s="13" t="s" ph="1">
        <v>4159</v>
      </c>
      <c r="J192" s="13" t="s" ph="1">
        <v>3616</v>
      </c>
      <c r="M192" s="14" t="str" ph="1">
        <f>IFERROR(INDEX([1]!_born[生没年],
MATCH(I192,[1]!_born[作],0)),"")</f>
        <v/>
      </c>
      <c r="N192" s="14" t="str" ph="1">
        <f>IFERROR(INDEX([1]!_born[生没年],
MATCH(K192,[1]!_born[作],0)),"")</f>
        <v/>
      </c>
      <c r="O192" s="13" t="s" ph="1">
        <v>4164</v>
      </c>
      <c r="R192" s="16" ph="1">
        <v>42339</v>
      </c>
      <c r="S192" s="13" t="s" ph="1">
        <v>4161</v>
      </c>
      <c r="T192" s="13" t="s" ph="1">
        <v>3053</v>
      </c>
      <c r="U192" s="16" t="s" ph="1">
        <v>3054</v>
      </c>
      <c r="V192" s="17" ph="1">
        <f t="shared" si="0"/>
        <v>3240</v>
      </c>
      <c r="W192" s="17" ph="1">
        <f t="shared" si="0"/>
        <v>3240</v>
      </c>
      <c r="X192" s="13" t="s" ph="1">
        <v>4157</v>
      </c>
    </row>
    <row r="193" spans="1:24" ht="22.5" customHeight="1" ph="1" x14ac:dyDescent="0.35">
      <c r="A193" s="106" t="s" ph="1">
        <v>3056</v>
      </c>
      <c r="B193" s="5" t="s" ph="1">
        <v>2454</v>
      </c>
      <c r="C193" s="13" t="s" ph="1">
        <v>25</v>
      </c>
      <c r="G193" s="13" t="s" ph="1">
        <v>4158</v>
      </c>
      <c r="I193" s="13" t="s" ph="1">
        <v>4159</v>
      </c>
      <c r="J193" s="13" t="s" ph="1">
        <v>3616</v>
      </c>
      <c r="M193" s="14" t="str" ph="1">
        <f>IFERROR(INDEX([1]!_born[生没年],
MATCH(I193,[1]!_born[作],0)),"")</f>
        <v/>
      </c>
      <c r="N193" s="14" t="str" ph="1">
        <f>IFERROR(INDEX([1]!_born[生没年],
MATCH(K193,[1]!_born[作],0)),"")</f>
        <v/>
      </c>
      <c r="O193" s="13" t="s" ph="1">
        <v>4165</v>
      </c>
      <c r="R193" s="16" ph="1">
        <v>41922</v>
      </c>
      <c r="S193" s="13" t="s" ph="1">
        <v>4161</v>
      </c>
      <c r="T193" s="13" t="s" ph="1">
        <v>3053</v>
      </c>
      <c r="U193" s="16" t="s" ph="1">
        <v>3054</v>
      </c>
      <c r="V193" s="17" ph="1">
        <f t="shared" si="0"/>
        <v>3240</v>
      </c>
      <c r="W193" s="17" ph="1">
        <f t="shared" si="0"/>
        <v>3240</v>
      </c>
      <c r="X193" s="13" t="s" ph="1">
        <v>4157</v>
      </c>
    </row>
    <row r="194" spans="1:24" ht="22.5" customHeight="1" ph="1" x14ac:dyDescent="0.35">
      <c r="A194" s="106" t="s" ph="1">
        <v>3063</v>
      </c>
      <c r="B194" s="5" t="s" ph="1">
        <v>2454</v>
      </c>
      <c r="C194" s="13" t="s" ph="1">
        <v>25</v>
      </c>
      <c r="G194" s="13" t="s" ph="1">
        <v>4158</v>
      </c>
      <c r="I194" s="13" t="s" ph="1">
        <v>4159</v>
      </c>
      <c r="J194" s="13" t="s" ph="1">
        <v>3616</v>
      </c>
      <c r="M194" s="14" t="str" ph="1">
        <f>IFERROR(INDEX([1]!_born[生没年],
MATCH(I194,[1]!_born[作],0)),"")</f>
        <v/>
      </c>
      <c r="N194" s="14" t="str" ph="1">
        <f>IFERROR(INDEX([1]!_born[生没年],
MATCH(K194,[1]!_born[作],0)),"")</f>
        <v/>
      </c>
      <c r="O194" s="13" t="s" ph="1">
        <v>4166</v>
      </c>
      <c r="R194" s="16" ph="1">
        <v>41744</v>
      </c>
      <c r="S194" s="13" t="s" ph="1">
        <v>4161</v>
      </c>
      <c r="T194" s="13" t="s" ph="1">
        <v>3053</v>
      </c>
      <c r="U194" s="16" t="s" ph="1">
        <v>3054</v>
      </c>
      <c r="V194" s="17" ph="1">
        <f t="shared" si="0"/>
        <v>3240</v>
      </c>
      <c r="W194" s="17" ph="1">
        <f t="shared" si="0"/>
        <v>3240</v>
      </c>
      <c r="X194" s="13" t="s" ph="1">
        <v>4157</v>
      </c>
    </row>
    <row r="195" spans="1:24" ht="22.5" customHeight="1" ph="1" x14ac:dyDescent="0.35">
      <c r="A195" s="106" t="s" ph="1">
        <v>3059</v>
      </c>
      <c r="B195" s="5" t="s" ph="1">
        <v>2454</v>
      </c>
      <c r="C195" s="13" t="s" ph="1">
        <v>25</v>
      </c>
      <c r="G195" s="13" t="s" ph="1">
        <v>4158</v>
      </c>
      <c r="I195" s="13" t="s" ph="1">
        <v>4159</v>
      </c>
      <c r="J195" s="13" t="s" ph="1">
        <v>3616</v>
      </c>
      <c r="M195" s="14" t="str" ph="1">
        <f>IFERROR(INDEX([1]!_born[生没年],
MATCH(I195,[1]!_born[作],0)),"")</f>
        <v/>
      </c>
      <c r="N195" s="14" t="str" ph="1">
        <f>IFERROR(INDEX([1]!_born[生没年],
MATCH(K195,[1]!_born[作],0)),"")</f>
        <v/>
      </c>
      <c r="O195" s="13" t="s" ph="1">
        <v>4167</v>
      </c>
      <c r="R195" s="16" ph="1">
        <v>41779</v>
      </c>
      <c r="S195" s="13" t="s" ph="1">
        <v>4161</v>
      </c>
      <c r="T195" s="13" t="s" ph="1">
        <v>3053</v>
      </c>
      <c r="U195" s="16" t="s" ph="1">
        <v>3054</v>
      </c>
      <c r="V195" s="17" ph="1">
        <f t="shared" si="0"/>
        <v>3240</v>
      </c>
      <c r="W195" s="17" ph="1">
        <f t="shared" si="0"/>
        <v>3240</v>
      </c>
      <c r="X195" s="13" t="s" ph="1">
        <v>4157</v>
      </c>
    </row>
    <row r="196" spans="1:24" ht="22.5" customHeight="1" ph="1" x14ac:dyDescent="0.35">
      <c r="A196" s="106" t="s" ph="1">
        <v>3061</v>
      </c>
      <c r="B196" s="5" t="s" ph="1">
        <v>2454</v>
      </c>
      <c r="C196" s="13" t="s" ph="1">
        <v>25</v>
      </c>
      <c r="G196" s="13" t="s" ph="1">
        <v>4158</v>
      </c>
      <c r="I196" s="13" t="s" ph="1">
        <v>4159</v>
      </c>
      <c r="J196" s="13" t="s" ph="1">
        <v>3616</v>
      </c>
      <c r="M196" s="14" t="str" ph="1">
        <f>IFERROR(INDEX([1]!_born[生没年],
MATCH(I196,[1]!_born[作],0)),"")</f>
        <v/>
      </c>
      <c r="N196" s="14" t="str" ph="1">
        <f>IFERROR(INDEX([1]!_born[生没年],
MATCH(K196,[1]!_born[作],0)),"")</f>
        <v/>
      </c>
      <c r="O196" s="13" t="s" ph="1">
        <v>4168</v>
      </c>
      <c r="R196" s="16" ph="1">
        <v>41917</v>
      </c>
      <c r="S196" s="13" t="s" ph="1">
        <v>4161</v>
      </c>
      <c r="T196" s="13" t="s" ph="1">
        <v>3053</v>
      </c>
      <c r="U196" s="16" t="s" ph="1">
        <v>3054</v>
      </c>
      <c r="V196" s="17" ph="1">
        <f t="shared" si="0"/>
        <v>3240</v>
      </c>
      <c r="W196" s="17" ph="1">
        <f t="shared" si="0"/>
        <v>3240</v>
      </c>
      <c r="X196" s="13" t="s" ph="1">
        <v>4157</v>
      </c>
    </row>
    <row r="197" spans="1:24" ht="22.5" customHeight="1" ph="1" x14ac:dyDescent="0.35">
      <c r="A197" s="106" t="s" ph="1">
        <v>3062</v>
      </c>
      <c r="B197" s="5" t="s" ph="1">
        <v>2454</v>
      </c>
      <c r="C197" s="13" t="s" ph="1">
        <v>25</v>
      </c>
      <c r="G197" s="13" t="s" ph="1">
        <v>4158</v>
      </c>
      <c r="I197" s="13" t="s" ph="1">
        <v>4159</v>
      </c>
      <c r="J197" s="13" t="s" ph="1">
        <v>3616</v>
      </c>
      <c r="M197" s="14" t="str" ph="1">
        <f>IFERROR(INDEX([1]!_born[生没年],
MATCH(I197,[1]!_born[作],0)),"")</f>
        <v/>
      </c>
      <c r="N197" s="14" t="str" ph="1">
        <f>IFERROR(INDEX([1]!_born[生没年],
MATCH(K197,[1]!_born[作],0)),"")</f>
        <v/>
      </c>
      <c r="O197" s="13" t="s" ph="1">
        <v>4169</v>
      </c>
      <c r="R197" s="16" ph="1">
        <v>41739</v>
      </c>
      <c r="S197" s="13" t="s" ph="1">
        <v>4161</v>
      </c>
      <c r="T197" s="13" t="s" ph="1">
        <v>3053</v>
      </c>
      <c r="U197" s="16" t="s" ph="1">
        <v>3054</v>
      </c>
      <c r="V197" s="17" ph="1">
        <f t="shared" si="0"/>
        <v>3240</v>
      </c>
      <c r="W197" s="17" ph="1">
        <f t="shared" si="0"/>
        <v>3240</v>
      </c>
      <c r="X197" s="13" t="s" ph="1">
        <v>4157</v>
      </c>
    </row>
    <row r="198" spans="1:24" ht="22.5" customHeight="1" ph="1" x14ac:dyDescent="0.35">
      <c r="A198" s="106" t="s" ph="1">
        <v>3060</v>
      </c>
      <c r="B198" s="5" t="s" ph="1">
        <v>2454</v>
      </c>
      <c r="C198" s="13" t="s" ph="1">
        <v>25</v>
      </c>
      <c r="G198" s="13" t="s" ph="1">
        <v>4158</v>
      </c>
      <c r="I198" s="13" t="s" ph="1">
        <v>4159</v>
      </c>
      <c r="J198" s="13" t="s" ph="1">
        <v>3616</v>
      </c>
      <c r="M198" s="14" t="str" ph="1">
        <f>IFERROR(INDEX([1]!_born[生没年],
MATCH(I198,[1]!_born[作],0)),"")</f>
        <v/>
      </c>
      <c r="N198" s="14" t="str" ph="1">
        <f>IFERROR(INDEX([1]!_born[生没年],
MATCH(K198,[1]!_born[作],0)),"")</f>
        <v/>
      </c>
      <c r="O198" s="13" t="s" ph="1">
        <v>4170</v>
      </c>
      <c r="R198" s="16" ph="1">
        <v>41774</v>
      </c>
      <c r="S198" s="13" t="s" ph="1">
        <v>4161</v>
      </c>
      <c r="T198" s="13" t="s" ph="1">
        <v>3053</v>
      </c>
      <c r="U198" s="16" t="s" ph="1">
        <v>3054</v>
      </c>
      <c r="V198" s="17" ph="1">
        <f t="shared" si="0"/>
        <v>3240</v>
      </c>
      <c r="W198" s="17" ph="1">
        <f t="shared" si="0"/>
        <v>3240</v>
      </c>
      <c r="X198" s="13" t="s" ph="1">
        <v>4157</v>
      </c>
    </row>
    <row r="199" spans="1:24" ht="22.5" customHeight="1" ph="1" x14ac:dyDescent="0.35">
      <c r="A199" s="106" t="s" ph="1">
        <v>3057</v>
      </c>
      <c r="B199" s="5" t="s" ph="1">
        <v>2454</v>
      </c>
      <c r="C199" s="13" t="s" ph="1">
        <v>25</v>
      </c>
      <c r="G199" s="13" t="s" ph="1">
        <v>4158</v>
      </c>
      <c r="I199" s="13" t="s" ph="1">
        <v>4159</v>
      </c>
      <c r="J199" s="13" t="s" ph="1">
        <v>3616</v>
      </c>
      <c r="M199" s="14" t="str" ph="1">
        <f>IFERROR(INDEX([1]!_born[生没年],
MATCH(I199,[1]!_born[作],0)),"")</f>
        <v/>
      </c>
      <c r="N199" s="14" t="str" ph="1">
        <f>IFERROR(INDEX([1]!_born[生没年],
MATCH(K199,[1]!_born[作],0)),"")</f>
        <v/>
      </c>
      <c r="O199" s="13" t="s" ph="1">
        <v>4171</v>
      </c>
      <c r="R199" s="16" ph="1">
        <v>41820</v>
      </c>
      <c r="S199" s="13" t="s" ph="1">
        <v>4161</v>
      </c>
      <c r="T199" s="13" t="s" ph="1">
        <v>3053</v>
      </c>
      <c r="U199" s="16" t="s" ph="1">
        <v>3054</v>
      </c>
      <c r="V199" s="17" ph="1">
        <f>6000*1.08</f>
        <v>6480</v>
      </c>
      <c r="W199" s="17" ph="1">
        <f>6000*1.08</f>
        <v>6480</v>
      </c>
      <c r="X199" s="13" t="s" ph="1">
        <v>4157</v>
      </c>
    </row>
    <row r="200" spans="1:24" ht="22.5" customHeight="1" ph="1" x14ac:dyDescent="0.35">
      <c r="A200" s="106" t="s" ph="1">
        <v>3066</v>
      </c>
      <c r="B200" s="5" t="s" ph="1">
        <v>2454</v>
      </c>
      <c r="C200" s="13" t="s" ph="1">
        <v>25</v>
      </c>
      <c r="G200" s="13" t="s" ph="1">
        <v>4158</v>
      </c>
      <c r="I200" s="13" t="s" ph="1">
        <v>4172</v>
      </c>
      <c r="J200" s="13" t="s" ph="1">
        <v>3664</v>
      </c>
      <c r="M200" s="14" t="str" ph="1">
        <f>IFERROR(INDEX([1]!_born[生没年],
MATCH(I200,[1]!_born[作],0)),"")</f>
        <v/>
      </c>
      <c r="N200" s="14" t="str" ph="1">
        <f>IFERROR(INDEX([1]!_born[生没年],
MATCH(K200,[1]!_born[作],0)),"")</f>
        <v/>
      </c>
      <c r="O200" s="13" t="s" ph="1">
        <v>4173</v>
      </c>
      <c r="R200" s="16" ph="1">
        <v>40765</v>
      </c>
      <c r="T200" s="13" t="s" ph="1">
        <v>4174</v>
      </c>
      <c r="U200" s="16" t="s" ph="1">
        <v>3054</v>
      </c>
      <c r="V200" s="17" ph="1">
        <f>9500*1.08</f>
        <v>10260</v>
      </c>
      <c r="W200" s="17" ph="1">
        <f>9500*1.08</f>
        <v>10260</v>
      </c>
      <c r="X200" s="13" t="s" ph="1">
        <v>4157</v>
      </c>
    </row>
    <row r="201" spans="1:24" ht="22.5" customHeight="1" ph="1" x14ac:dyDescent="0.35">
      <c r="A201" s="106" t="s" ph="1">
        <v>4151</v>
      </c>
      <c r="C201" s="13" t="s" ph="1">
        <v>25</v>
      </c>
      <c r="G201" s="13" t="s" ph="1">
        <v>4158</v>
      </c>
      <c r="I201" s="13" t="s" ph="1">
        <v>4175</v>
      </c>
      <c r="J201" s="13" t="s" ph="1">
        <v>4176</v>
      </c>
      <c r="M201" s="14" t="str" ph="1">
        <f>IFERROR(INDEX([1]!_born[生没年],
MATCH(I201,[1]!_born[作],0)),"")</f>
        <v/>
      </c>
      <c r="N201" s="14" t="str" ph="1">
        <f>IFERROR(INDEX([1]!_born[生没年],
MATCH(K201,[1]!_born[作],0)),"")</f>
        <v/>
      </c>
      <c r="O201" s="13" t="s" ph="1">
        <v>4177</v>
      </c>
      <c r="R201" s="16" ph="1">
        <v>42826</v>
      </c>
      <c r="T201" s="13" t="s" ph="1">
        <v>4175</v>
      </c>
      <c r="U201" s="16" t="s" ph="1">
        <v>3054</v>
      </c>
      <c r="V201" s="17" t="s" ph="1">
        <v>1225</v>
      </c>
      <c r="W201" s="17" t="s" ph="1">
        <v>1225</v>
      </c>
      <c r="X201" s="13" t="s" ph="1">
        <v>4157</v>
      </c>
    </row>
    <row r="202" spans="1:24" ht="22.5" customHeight="1" ph="1" x14ac:dyDescent="0.35">
      <c r="A202" s="106" t="s" ph="1">
        <v>3098</v>
      </c>
      <c r="B202" s="5" t="s" ph="1">
        <v>2518</v>
      </c>
      <c r="C202" s="13" t="s" ph="1">
        <v>25</v>
      </c>
      <c r="G202" s="13" t="s" ph="1">
        <v>4158</v>
      </c>
      <c r="I202" s="13" t="s" ph="1">
        <v>4178</v>
      </c>
      <c r="J202" s="13" t="s" ph="1">
        <v>4179</v>
      </c>
      <c r="M202" s="14" t="str" ph="1">
        <f>IFERROR(INDEX([1]!_born[生没年],
MATCH(I202,[1]!_born[作],0)),"")</f>
        <v/>
      </c>
      <c r="N202" s="14" t="str" ph="1">
        <f>IFERROR(INDEX([1]!_born[生没年],
MATCH(K202,[1]!_born[作],0)),"")</f>
        <v/>
      </c>
      <c r="O202" s="13" t="s" ph="1">
        <v>4180</v>
      </c>
      <c r="R202" s="16" ph="1">
        <v>40780</v>
      </c>
      <c r="S202" s="13" t="s" ph="1">
        <v>4181</v>
      </c>
      <c r="T202" s="13" t="s" ph="1">
        <v>4175</v>
      </c>
      <c r="U202" s="16" t="s" ph="1">
        <v>3054</v>
      </c>
      <c r="V202" s="17" ph="1">
        <f>1429*1.08</f>
        <v>1543.3200000000002</v>
      </c>
      <c r="W202" s="17" ph="1">
        <f>1429*1.08</f>
        <v>1543.3200000000002</v>
      </c>
      <c r="X202" s="13" t="s" ph="1">
        <v>4157</v>
      </c>
    </row>
    <row r="203" spans="1:24" ht="22.5" customHeight="1" ph="1" x14ac:dyDescent="0.35">
      <c r="A203" s="106" t="s" ph="1">
        <v>3065</v>
      </c>
      <c r="B203" s="5" t="s" ph="1">
        <v>3065</v>
      </c>
      <c r="C203" s="13" t="s" ph="1">
        <v>1932</v>
      </c>
      <c r="G203" s="13" t="s" ph="1">
        <v>4158</v>
      </c>
      <c r="I203" s="13" t="s" ph="1">
        <v>4182</v>
      </c>
      <c r="J203" s="13" t="s" ph="1">
        <v>4183</v>
      </c>
      <c r="M203" s="14" t="str" ph="1">
        <f>IFERROR(INDEX([1]!_born[生没年],
MATCH(I203,[1]!_born[作],0)),"")</f>
        <v/>
      </c>
      <c r="N203" s="14" t="str" ph="1">
        <f>IFERROR(INDEX([1]!_born[生没年],
MATCH(K203,[1]!_born[作],0)),"")</f>
        <v/>
      </c>
      <c r="O203" s="13" t="s" ph="1">
        <v>4184</v>
      </c>
      <c r="R203" s="16" t="s" ph="1">
        <v>3054</v>
      </c>
      <c r="T203" s="13" t="s" ph="1">
        <v>4182</v>
      </c>
      <c r="U203" s="16" t="s" ph="1">
        <v>3054</v>
      </c>
      <c r="V203" s="17" t="s" ph="1">
        <v>1225</v>
      </c>
      <c r="W203" s="17" t="s" ph="1">
        <v>1225</v>
      </c>
      <c r="X203" s="13" t="s" ph="1">
        <v>4157</v>
      </c>
    </row>
    <row r="204" spans="1:24" ht="22.5" customHeight="1" ph="1" x14ac:dyDescent="0.35">
      <c r="A204" s="106" t="s" ph="1">
        <v>4151</v>
      </c>
      <c r="C204" s="13" t="s" ph="1">
        <v>25</v>
      </c>
      <c r="G204" s="13" t="s" ph="1">
        <v>4158</v>
      </c>
      <c r="I204" s="13" t="s" ph="1">
        <v>4185</v>
      </c>
      <c r="J204" s="13" t="s" ph="1">
        <v>4049</v>
      </c>
      <c r="K204" s="13" t="s" ph="1">
        <v>4186</v>
      </c>
      <c r="L204" s="13" t="s" ph="1">
        <v>4187</v>
      </c>
      <c r="M204" s="14" t="str" ph="1">
        <f>IFERROR(INDEX([1]!_born[生没年],
MATCH(I204,[1]!_born[作],0)),"")</f>
        <v/>
      </c>
      <c r="N204" s="14" t="str" ph="1">
        <f>IFERROR(INDEX([1]!_born[生没年],
MATCH(K204,[1]!_born[作],0)),"")</f>
        <v/>
      </c>
      <c r="O204" s="13" t="s" ph="1">
        <v>4188</v>
      </c>
      <c r="R204" s="16" t="s" ph="1">
        <v>3067</v>
      </c>
      <c r="S204" s="13" t="s" ph="1">
        <v>4189</v>
      </c>
      <c r="T204" s="13" t="s" ph="1">
        <v>4190</v>
      </c>
      <c r="U204" s="16" t="s" ph="1">
        <v>3054</v>
      </c>
      <c r="V204" s="17" t="s" ph="1">
        <v>1225</v>
      </c>
      <c r="W204" s="17" t="s" ph="1">
        <v>1225</v>
      </c>
      <c r="X204" s="13" t="s" ph="1">
        <v>4157</v>
      </c>
    </row>
    <row r="205" spans="1:24" ht="22.5" customHeight="1" ph="1" x14ac:dyDescent="0.35">
      <c r="A205" s="106" t="s" ph="1">
        <v>3068</v>
      </c>
      <c r="B205" s="5" t="s" ph="1">
        <v>1145</v>
      </c>
      <c r="C205" s="13" t="s" ph="1">
        <v>25</v>
      </c>
      <c r="G205" s="13" t="s" ph="1">
        <v>4158</v>
      </c>
      <c r="I205" s="13" t="s" ph="1">
        <v>4191</v>
      </c>
      <c r="J205" s="13" t="s" ph="1">
        <v>3664</v>
      </c>
      <c r="K205" s="13" t="s" ph="1">
        <v>4192</v>
      </c>
      <c r="L205" s="13" t="s" ph="1">
        <v>4193</v>
      </c>
      <c r="M205" s="14" t="str" ph="1">
        <f>IFERROR(INDEX([1]!_born[生没年],
MATCH(I205,[1]!_born[作],0)),"")</f>
        <v/>
      </c>
      <c r="N205" s="14" t="str" ph="1">
        <f>IFERROR(INDEX([1]!_born[生没年],
MATCH(K205,[1]!_born[作],0)),"")</f>
        <v/>
      </c>
      <c r="O205" s="13" t="s" ph="1">
        <v>4194</v>
      </c>
      <c r="R205" s="16" ph="1">
        <v>39406</v>
      </c>
      <c r="T205" s="13" t="s" ph="1">
        <v>4195</v>
      </c>
      <c r="U205" s="16" t="s" ph="1">
        <v>3054</v>
      </c>
      <c r="V205" s="17" ph="1">
        <f>3800*1.08</f>
        <v>4104</v>
      </c>
      <c r="W205" s="17" ph="1">
        <f>3800*1.08</f>
        <v>4104</v>
      </c>
      <c r="X205" s="13" t="s" ph="1">
        <v>4157</v>
      </c>
    </row>
    <row r="206" spans="1:24" ht="22.5" customHeight="1" ph="1" x14ac:dyDescent="0.35">
      <c r="A206" s="106" t="s" ph="1">
        <v>3069</v>
      </c>
      <c r="B206" s="5" t="s" ph="1">
        <v>3070</v>
      </c>
      <c r="C206" s="13" t="s" ph="1">
        <v>25</v>
      </c>
      <c r="G206" s="13" t="s" ph="1">
        <v>4158</v>
      </c>
      <c r="I206" s="13" t="s" ph="1">
        <v>3071</v>
      </c>
      <c r="J206" s="13" t="s" ph="1">
        <v>3664</v>
      </c>
      <c r="K206" s="13" t="s" ph="1">
        <v>4196</v>
      </c>
      <c r="L206" s="13" t="s" ph="1">
        <v>3671</v>
      </c>
      <c r="M206" s="14" t="str" ph="1">
        <f>IFERROR(INDEX([1]!_born[生没年],
MATCH(I206,[1]!_born[作],0)),"")</f>
        <v/>
      </c>
      <c r="N206" s="14" t="str" ph="1">
        <f>IFERROR(INDEX([1]!_born[生没年],
MATCH(K206,[1]!_born[作],0)),"")</f>
        <v/>
      </c>
      <c r="O206" s="13" t="s" ph="1">
        <v>4197</v>
      </c>
      <c r="R206" s="16" ph="1">
        <v>37895</v>
      </c>
      <c r="T206" s="13" t="s" ph="1">
        <v>4198</v>
      </c>
      <c r="U206" s="16" t="s" ph="1">
        <v>3054</v>
      </c>
      <c r="V206" s="17" ph="1">
        <f>3800*1.08</f>
        <v>4104</v>
      </c>
      <c r="W206" s="17" ph="1">
        <f>3800*1.08</f>
        <v>4104</v>
      </c>
      <c r="X206" s="13" t="s" ph="1">
        <v>4157</v>
      </c>
    </row>
    <row r="207" spans="1:24" ht="22.5" customHeight="1" ph="1" x14ac:dyDescent="0.35">
      <c r="A207" s="106" t="s" ph="1">
        <v>3078</v>
      </c>
      <c r="B207" s="5" t="s" ph="1">
        <v>3079</v>
      </c>
      <c r="C207" s="13" t="s" ph="1">
        <v>25</v>
      </c>
      <c r="G207" s="13" t="s" ph="1">
        <v>4158</v>
      </c>
      <c r="I207" s="13" t="s" ph="1">
        <v>4199</v>
      </c>
      <c r="J207" s="13" t="s" ph="1">
        <v>4200</v>
      </c>
      <c r="M207" s="14" t="str" ph="1">
        <f>IFERROR(INDEX([1]!_born[生没年],
MATCH(I207,[1]!_born[作],0)),"")</f>
        <v/>
      </c>
      <c r="N207" s="14" t="str" ph="1">
        <f>IFERROR(INDEX([1]!_born[生没年],
MATCH(K207,[1]!_born[作],0)),"")</f>
        <v/>
      </c>
      <c r="O207" s="13" t="s" ph="1">
        <v>4201</v>
      </c>
      <c r="R207" s="16" ph="1">
        <v>39867</v>
      </c>
      <c r="S207" s="13" t="s" ph="1">
        <v>4202</v>
      </c>
      <c r="T207" s="13" t="s" ph="1">
        <v>4203</v>
      </c>
      <c r="U207" s="16" t="s" ph="1">
        <v>3054</v>
      </c>
      <c r="V207" s="17" ph="1">
        <f>1800*1.08</f>
        <v>1944.0000000000002</v>
      </c>
      <c r="W207" s="17" ph="1">
        <f>1800*1.08</f>
        <v>1944.0000000000002</v>
      </c>
      <c r="X207" s="13" t="s" ph="1">
        <v>4157</v>
      </c>
    </row>
    <row r="208" spans="1:24" ht="22.5" customHeight="1" ph="1" x14ac:dyDescent="0.35">
      <c r="A208" s="106" t="s" ph="1">
        <v>3072</v>
      </c>
      <c r="B208" s="5" t="s" ph="1">
        <v>2454</v>
      </c>
      <c r="C208" s="13" t="s" ph="1">
        <v>25</v>
      </c>
      <c r="G208" s="13" t="s" ph="1">
        <v>4158</v>
      </c>
      <c r="I208" s="13" t="s" ph="1">
        <v>4172</v>
      </c>
      <c r="J208" s="13" t="s" ph="1">
        <v>3664</v>
      </c>
      <c r="M208" s="14" t="str" ph="1">
        <f>IFERROR(INDEX([1]!_born[生没年],
MATCH(I208,[1]!_born[作],0)),"")</f>
        <v/>
      </c>
      <c r="N208" s="14" t="str" ph="1">
        <f>IFERROR(INDEX([1]!_born[生没年],
MATCH(K208,[1]!_born[作],0)),"")</f>
        <v/>
      </c>
      <c r="O208" s="13" t="s" ph="1">
        <v>4204</v>
      </c>
      <c r="R208" s="16" ph="1">
        <v>41426</v>
      </c>
      <c r="T208" s="13" t="s" ph="1">
        <v>4174</v>
      </c>
      <c r="U208" s="16" t="s" ph="1">
        <v>3054</v>
      </c>
      <c r="V208" s="17" ph="1">
        <f>4200*1.08</f>
        <v>4536</v>
      </c>
      <c r="W208" s="17" ph="1">
        <f>4200*1.08</f>
        <v>4536</v>
      </c>
      <c r="X208" s="13" t="s" ph="1">
        <v>4157</v>
      </c>
    </row>
    <row r="209" spans="1:24" ht="22.5" customHeight="1" ph="1" x14ac:dyDescent="0.35">
      <c r="A209" s="106" t="s" ph="1">
        <v>3077</v>
      </c>
      <c r="B209" s="5" t="s" ph="1">
        <v>2454</v>
      </c>
      <c r="C209" s="13" t="s" ph="1">
        <v>25</v>
      </c>
      <c r="G209" s="13" t="s" ph="1">
        <v>4158</v>
      </c>
      <c r="I209" s="13" t="s" ph="1">
        <v>4205</v>
      </c>
      <c r="J209" s="13" t="s" ph="1">
        <v>3664</v>
      </c>
      <c r="K209" s="13" t="s" ph="1">
        <v>4206</v>
      </c>
      <c r="L209" s="13" t="s" ph="1">
        <v>3671</v>
      </c>
      <c r="M209" s="14" t="str" ph="1">
        <f>IFERROR(INDEX([1]!_born[生没年],
MATCH(I209,[1]!_born[作],0)),"")</f>
        <v/>
      </c>
      <c r="N209" s="14" t="str" ph="1">
        <f>IFERROR(INDEX([1]!_born[生没年],
MATCH(K209,[1]!_born[作],0)),"")</f>
        <v/>
      </c>
      <c r="O209" s="13" t="s" ph="1">
        <v>4207</v>
      </c>
      <c r="R209" s="16" ph="1">
        <v>36916</v>
      </c>
      <c r="S209" s="13" t="s" ph="1">
        <v>4208</v>
      </c>
      <c r="T209" s="13" t="s" ph="1">
        <v>4174</v>
      </c>
      <c r="U209" s="16" t="s" ph="1">
        <v>3054</v>
      </c>
      <c r="V209" s="17" ph="1">
        <f>3000*1.05</f>
        <v>3150</v>
      </c>
      <c r="W209" s="17" ph="1">
        <f>3000*1.05</f>
        <v>3150</v>
      </c>
      <c r="X209" s="13" t="s" ph="1">
        <v>4157</v>
      </c>
    </row>
    <row r="210" spans="1:24" ht="22.5" customHeight="1" ph="1" x14ac:dyDescent="0.35">
      <c r="A210" s="106" t="s" ph="1">
        <v>3073</v>
      </c>
      <c r="B210" s="5" t="s" ph="1">
        <v>2454</v>
      </c>
      <c r="C210" s="13" t="s" ph="1">
        <v>25</v>
      </c>
      <c r="G210" s="13" t="s" ph="1">
        <v>4158</v>
      </c>
      <c r="I210" s="13" t="s" ph="1">
        <v>4209</v>
      </c>
      <c r="J210" s="13" t="s" ph="1">
        <v>4210</v>
      </c>
      <c r="M210" s="14" t="str" ph="1">
        <f>IFERROR(INDEX([1]!_born[生没年],
MATCH(I210,[1]!_born[作],0)),"")</f>
        <v/>
      </c>
      <c r="N210" s="14" t="str" ph="1">
        <f>IFERROR(INDEX([1]!_born[生没年],
MATCH(K210,[1]!_born[作],0)),"")</f>
        <v/>
      </c>
      <c r="O210" s="13" t="s" ph="1">
        <v>4211</v>
      </c>
      <c r="R210" s="16" ph="1">
        <v>33187</v>
      </c>
      <c r="S210" s="13" t="s" ph="1">
        <v>4212</v>
      </c>
      <c r="T210" s="13" t="s" ph="1">
        <v>4213</v>
      </c>
      <c r="U210" s="16" t="s" ph="1">
        <v>3054</v>
      </c>
      <c r="V210" s="17" ph="1">
        <f>2900*1.08</f>
        <v>3132</v>
      </c>
      <c r="W210" s="17" ph="1">
        <f>2900*1.08</f>
        <v>3132</v>
      </c>
      <c r="X210" s="13" t="s" ph="1">
        <v>4157</v>
      </c>
    </row>
    <row r="211" spans="1:24" ht="22.5" customHeight="1" ph="1" x14ac:dyDescent="0.35">
      <c r="A211" s="106" t="s" ph="1">
        <v>3074</v>
      </c>
      <c r="B211" s="5" t="s" ph="1">
        <v>3017</v>
      </c>
      <c r="C211" s="13" t="s" ph="1">
        <v>25</v>
      </c>
      <c r="G211" s="13" t="s" ph="1">
        <v>4158</v>
      </c>
      <c r="I211" s="13" t="s" ph="1">
        <v>4214</v>
      </c>
      <c r="J211" s="13" t="s" ph="1">
        <v>3671</v>
      </c>
      <c r="K211" s="13" t="s" ph="1">
        <v>4215</v>
      </c>
      <c r="L211" s="13" t="s" ph="1">
        <v>4216</v>
      </c>
      <c r="M211" s="14" t="str" ph="1">
        <f>IFERROR(INDEX([1]!_born[生没年],
MATCH(I211,[1]!_born[作],0)),"")</f>
        <v/>
      </c>
      <c r="N211" s="14" t="str" ph="1">
        <f>IFERROR(INDEX([1]!_born[生没年],
MATCH(K211,[1]!_born[作],0)),"")</f>
        <v/>
      </c>
      <c r="O211" s="13" t="s" ph="1">
        <v>4217</v>
      </c>
      <c r="R211" s="16" ph="1">
        <v>36265</v>
      </c>
      <c r="T211" s="13" t="s" ph="1">
        <v>4218</v>
      </c>
      <c r="U211" s="16" t="s" ph="1">
        <v>3054</v>
      </c>
      <c r="V211" s="17" ph="1">
        <f>2500*1.08</f>
        <v>2700</v>
      </c>
      <c r="W211" s="17" ph="1">
        <f>2500*1.08</f>
        <v>2700</v>
      </c>
      <c r="X211" s="13" t="s" ph="1">
        <v>4157</v>
      </c>
    </row>
    <row r="212" spans="1:24" ht="22.5" customHeight="1" ph="1" x14ac:dyDescent="0.35">
      <c r="A212" s="106" t="s" ph="1">
        <v>4151</v>
      </c>
      <c r="C212" s="13" t="s" ph="1">
        <v>25</v>
      </c>
      <c r="G212" s="13" t="s" ph="1">
        <v>4158</v>
      </c>
      <c r="I212" s="13" t="s" ph="1">
        <v>4219</v>
      </c>
      <c r="J212" s="13" t="s" ph="1">
        <v>3664</v>
      </c>
      <c r="M212" s="14" t="str" ph="1">
        <f>IFERROR(INDEX([1]!_born[生没年],
MATCH(I212,[1]!_born[作],0)),"")</f>
        <v/>
      </c>
      <c r="N212" s="14" t="str" ph="1">
        <f>IFERROR(INDEX([1]!_born[生没年],
MATCH(K212,[1]!_born[作],0)),"")</f>
        <v/>
      </c>
      <c r="O212" s="13" t="s" ph="1">
        <v>4220</v>
      </c>
      <c r="R212" s="16" t="s" ph="1">
        <v>3075</v>
      </c>
      <c r="T212" s="13" t="s" ph="1">
        <v>4221</v>
      </c>
      <c r="U212" s="16" t="s" ph="1">
        <v>3054</v>
      </c>
      <c r="V212" s="17" t="s" ph="1">
        <v>1225</v>
      </c>
      <c r="W212" s="17" t="s" ph="1">
        <v>1225</v>
      </c>
      <c r="X212" s="13" t="s" ph="1">
        <v>4157</v>
      </c>
    </row>
    <row r="213" spans="1:24" ht="22.5" customHeight="1" ph="1" x14ac:dyDescent="0.35">
      <c r="A213" s="106" t="s" ph="1">
        <v>3076</v>
      </c>
      <c r="B213" s="5" t="s" ph="1">
        <v>3070</v>
      </c>
      <c r="C213" s="13" t="s" ph="1">
        <v>25</v>
      </c>
      <c r="G213" s="13" t="s" ph="1">
        <v>4158</v>
      </c>
      <c r="I213" s="13" t="s" ph="1">
        <v>4222</v>
      </c>
      <c r="J213" s="13" t="s" ph="1">
        <v>3616</v>
      </c>
      <c r="M213" s="14" t="str" ph="1">
        <f>IFERROR(INDEX([1]!_born[生没年],
MATCH(I213,[1]!_born[作],0)),"")</f>
        <v/>
      </c>
      <c r="N213" s="14" t="str" ph="1">
        <f>IFERROR(INDEX([1]!_born[生没年],
MATCH(K213,[1]!_born[作],0)),"")</f>
        <v/>
      </c>
      <c r="O213" s="13" t="s" ph="1">
        <v>4223</v>
      </c>
      <c r="R213" s="16" ph="1">
        <v>36265</v>
      </c>
      <c r="T213" s="13" t="s" ph="1">
        <v>4224</v>
      </c>
      <c r="U213" s="16" ph="1">
        <v>40796</v>
      </c>
      <c r="V213" s="17" ph="1">
        <f>4500*1.08</f>
        <v>4860</v>
      </c>
      <c r="W213" s="17" ph="1">
        <f>4500*1.08</f>
        <v>4860</v>
      </c>
      <c r="X213" s="13" t="s" ph="1">
        <v>4157</v>
      </c>
    </row>
    <row r="214" spans="1:24" ht="22.5" customHeight="1" ph="1" x14ac:dyDescent="0.35">
      <c r="A214" s="106" t="s" ph="1">
        <v>2658</v>
      </c>
      <c r="B214" s="5" t="s" ph="1">
        <v>2659</v>
      </c>
      <c r="C214" s="13" t="s" ph="1">
        <v>3970</v>
      </c>
      <c r="G214" s="13" t="s" ph="1">
        <v>3803</v>
      </c>
      <c r="I214" s="13" t="s" ph="1">
        <v>4225</v>
      </c>
      <c r="J214" s="13" t="s" ph="1">
        <v>3616</v>
      </c>
      <c r="M214" s="14" t="str" ph="1">
        <f>IFERROR(INDEX([1]!_born[生没年],
MATCH(I214,[1]!_born[作],0)),"")</f>
        <v/>
      </c>
      <c r="N214" s="14" t="str" ph="1">
        <f>IFERROR(INDEX([1]!_born[生没年],
MATCH(K214,[1]!_born[作],0)),"")</f>
        <v/>
      </c>
      <c r="O214" s="13" t="s" ph="1">
        <v>4226</v>
      </c>
      <c r="R214" s="16" ph="1">
        <v>40449</v>
      </c>
      <c r="S214" s="13" t="s" ph="1">
        <v>4227</v>
      </c>
      <c r="T214" s="13" t="s" ph="1">
        <v>4228</v>
      </c>
      <c r="U214" s="16" ph="1">
        <v>41408</v>
      </c>
      <c r="V214" s="17" ph="1">
        <f>2800*1.05</f>
        <v>2940</v>
      </c>
      <c r="W214" s="17" ph="1">
        <f>2800*1.05</f>
        <v>2940</v>
      </c>
      <c r="X214" s="13" t="s" ph="1">
        <v>3802</v>
      </c>
    </row>
    <row r="215" spans="1:24" ht="22.5" customHeight="1" ph="1" x14ac:dyDescent="0.35">
      <c r="A215" s="106" t="s" ph="1">
        <v>3080</v>
      </c>
      <c r="B215" s="5" t="s" ph="1">
        <v>3081</v>
      </c>
      <c r="C215" s="13" t="s" ph="1">
        <v>3970</v>
      </c>
      <c r="G215" s="13" t="s" ph="1">
        <v>3803</v>
      </c>
      <c r="I215" s="13" t="s" ph="1">
        <v>4229</v>
      </c>
      <c r="J215" s="13" t="s" ph="1">
        <v>3671</v>
      </c>
      <c r="M215" s="14" t="str" ph="1">
        <f>IFERROR(INDEX([1]!_born[生没年],
MATCH(I215,[1]!_born[作],0)),"")</f>
        <v/>
      </c>
      <c r="N215" s="14" t="str" ph="1">
        <f>IFERROR(INDEX([1]!_born[生没年],
MATCH(K215,[1]!_born[作],0)),"")</f>
        <v/>
      </c>
      <c r="O215" s="13" t="s" ph="1">
        <v>4230</v>
      </c>
      <c r="R215" s="16" ph="1">
        <v>35674</v>
      </c>
      <c r="T215" s="13" t="s" ph="1">
        <v>3053</v>
      </c>
      <c r="U215" s="16" t="s" ph="1">
        <v>3054</v>
      </c>
      <c r="V215" s="17" ph="1">
        <f>10000*1.08</f>
        <v>10800</v>
      </c>
      <c r="W215" s="17" ph="1">
        <f>10000*1.08</f>
        <v>10800</v>
      </c>
      <c r="X215" s="13" t="s" ph="1">
        <v>4157</v>
      </c>
    </row>
    <row r="216" spans="1:24" ht="22.5" customHeight="1" ph="1" x14ac:dyDescent="0.35">
      <c r="A216" s="106" t="s" ph="1">
        <v>3085</v>
      </c>
      <c r="B216" s="5" t="s" ph="1">
        <v>3086</v>
      </c>
      <c r="C216" s="13" t="s" ph="1">
        <v>25</v>
      </c>
      <c r="G216" s="13" t="s" ph="1">
        <v>3803</v>
      </c>
      <c r="H216" s="13" t="s" ph="1">
        <v>61</v>
      </c>
      <c r="I216" s="13" t="s" ph="1">
        <v>4231</v>
      </c>
      <c r="J216" s="13" t="s" ph="1">
        <v>3664</v>
      </c>
      <c r="M216" s="14" t="str" ph="1">
        <f>IFERROR(INDEX([1]!_born[生没年],
MATCH(I216,[1]!_born[作],0)),"")</f>
        <v/>
      </c>
      <c r="N216" s="14" t="str" ph="1">
        <f>IFERROR(INDEX([1]!_born[生没年],
MATCH(K216,[1]!_born[作],0)),"")</f>
        <v/>
      </c>
      <c r="O216" s="13" t="s" ph="1">
        <v>4232</v>
      </c>
      <c r="R216" s="16" ph="1">
        <v>41578</v>
      </c>
      <c r="S216" s="13" t="s" ph="1">
        <v>4233</v>
      </c>
      <c r="T216" s="13" t="s" ph="1">
        <v>4234</v>
      </c>
      <c r="U216" s="16" t="s" ph="1">
        <v>3054</v>
      </c>
      <c r="V216" s="17" ph="1">
        <f>2300*1.08</f>
        <v>2484</v>
      </c>
      <c r="W216" s="17" ph="1">
        <f>2300*1.08</f>
        <v>2484</v>
      </c>
      <c r="X216" s="13" t="s" ph="1">
        <v>4157</v>
      </c>
    </row>
    <row r="217" spans="1:24" ht="22.5" customHeight="1" ph="1" x14ac:dyDescent="0.35">
      <c r="A217" s="106" t="s" ph="1">
        <v>3082</v>
      </c>
      <c r="B217" s="5" t="s" ph="1">
        <v>589</v>
      </c>
      <c r="C217" s="13" t="s" ph="1">
        <v>25</v>
      </c>
      <c r="G217" s="13" t="s" ph="1">
        <v>3803</v>
      </c>
      <c r="H217" s="13" t="s" ph="1">
        <v>61</v>
      </c>
      <c r="I217" s="13" t="s" ph="1">
        <v>4235</v>
      </c>
      <c r="J217" s="13" t="s" ph="1">
        <v>4236</v>
      </c>
      <c r="K217" s="13" t="s" ph="1">
        <v>4237</v>
      </c>
      <c r="L217" s="13" t="s" ph="1">
        <v>3664</v>
      </c>
      <c r="M217" s="14" t="str" ph="1">
        <f>IFERROR(INDEX([1]!_born[生没年],
MATCH(I217,[1]!_born[作],0)),"")</f>
        <v/>
      </c>
      <c r="N217" s="14" t="str" ph="1">
        <f>IFERROR(INDEX([1]!_born[生没年],
MATCH(K217,[1]!_born[作],0)),"")</f>
        <v/>
      </c>
      <c r="O217" s="13" t="s" ph="1">
        <v>4238</v>
      </c>
      <c r="R217" s="16" ph="1">
        <v>42298</v>
      </c>
      <c r="T217" s="13" t="s" ph="1">
        <v>4239</v>
      </c>
      <c r="U217" s="16" t="s" ph="1">
        <v>3054</v>
      </c>
      <c r="V217" s="17" ph="1">
        <f>2300*1.08</f>
        <v>2484</v>
      </c>
      <c r="W217" s="17" ph="1">
        <f>2300*1.08</f>
        <v>2484</v>
      </c>
      <c r="X217" s="13" t="s" ph="1">
        <v>4157</v>
      </c>
    </row>
    <row r="218" spans="1:24" ht="22.5" customHeight="1" ph="1" x14ac:dyDescent="0.35">
      <c r="A218" s="106" t="s" ph="1">
        <v>3083</v>
      </c>
      <c r="B218" s="5" t="s" ph="1">
        <v>3084</v>
      </c>
      <c r="C218" s="13" t="s" ph="1">
        <v>25</v>
      </c>
      <c r="G218" s="13" t="s" ph="1">
        <v>3599</v>
      </c>
      <c r="H218" s="13" t="s" ph="1">
        <v>61</v>
      </c>
      <c r="I218" s="13" t="s" ph="1">
        <v>4240</v>
      </c>
      <c r="J218" s="13" t="s" ph="1">
        <v>3664</v>
      </c>
      <c r="K218" s="13" t="s" ph="1">
        <v>4241</v>
      </c>
      <c r="L218" s="13" t="s" ph="1">
        <v>3628</v>
      </c>
      <c r="M218" s="14" t="str" ph="1">
        <f>IFERROR(INDEX([1]!_born[生没年],
MATCH(I218,[1]!_born[作],0)),"")</f>
        <v/>
      </c>
      <c r="N218" s="14" t="str" ph="1">
        <f>IFERROR(INDEX([1]!_born[生没年],
MATCH(K218,[1]!_born[作],0)),"")</f>
        <v/>
      </c>
      <c r="O218" s="13" t="s" ph="1">
        <v>4242</v>
      </c>
      <c r="R218" s="16" ph="1">
        <v>38838</v>
      </c>
      <c r="T218" s="13" t="s" ph="1">
        <v>4243</v>
      </c>
      <c r="U218" s="16" t="s" ph="1">
        <v>3054</v>
      </c>
      <c r="V218" s="17" ph="1">
        <f>2500*1.08</f>
        <v>2700</v>
      </c>
      <c r="W218" s="17" ph="1">
        <f>2500*1.08</f>
        <v>2700</v>
      </c>
      <c r="X218" s="13" t="s" ph="1">
        <v>4157</v>
      </c>
    </row>
    <row r="219" spans="1:24" ht="22.5" customHeight="1" ph="1" x14ac:dyDescent="0.35">
      <c r="A219" s="106" t="s" ph="1">
        <v>3087</v>
      </c>
      <c r="B219" s="5" t="s" ph="1">
        <v>1145</v>
      </c>
      <c r="C219" s="13" t="s" ph="1">
        <v>25</v>
      </c>
      <c r="G219" s="13" t="s" ph="1">
        <v>3599</v>
      </c>
      <c r="H219" s="13" t="s" ph="1">
        <v>61</v>
      </c>
      <c r="I219" s="13" t="s" ph="1">
        <v>4244</v>
      </c>
      <c r="J219" s="13" t="s" ph="1">
        <v>3752</v>
      </c>
      <c r="K219" s="13" t="s" ph="1">
        <v>4245</v>
      </c>
      <c r="L219" s="13" t="s" ph="1">
        <v>4246</v>
      </c>
      <c r="M219" s="14" t="str" ph="1">
        <f>IFERROR(INDEX([1]!_born[生没年],
MATCH(I219,[1]!_born[作],0)),"")</f>
        <v/>
      </c>
      <c r="N219" s="14" t="str" ph="1">
        <f>IFERROR(INDEX([1]!_born[生没年],
MATCH(K219,[1]!_born[作],0)),"")</f>
        <v/>
      </c>
      <c r="O219" s="13" t="s" ph="1">
        <v>4247</v>
      </c>
      <c r="R219" s="16" ph="1">
        <v>42287</v>
      </c>
      <c r="T219" s="13" t="s" ph="1">
        <v>4248</v>
      </c>
      <c r="U219" s="16" t="s" ph="1">
        <v>3054</v>
      </c>
      <c r="V219" s="17" ph="1">
        <f>2200*1.08</f>
        <v>2376</v>
      </c>
      <c r="W219" s="17" ph="1">
        <f>2200*1.08</f>
        <v>2376</v>
      </c>
      <c r="X219" s="13" t="s" ph="1">
        <v>4157</v>
      </c>
    </row>
    <row r="220" spans="1:24" ht="22.5" customHeight="1" ph="1" x14ac:dyDescent="0.35">
      <c r="A220" s="106" t="s" ph="1">
        <v>3012</v>
      </c>
      <c r="B220" s="5" t="s" ph="1">
        <v>3013</v>
      </c>
      <c r="C220" s="13" t="s" ph="1">
        <v>25</v>
      </c>
      <c r="G220" s="13" t="s" ph="1">
        <v>3599</v>
      </c>
      <c r="H220" s="13" t="s" ph="1">
        <v>61</v>
      </c>
      <c r="I220" s="13" t="s" ph="1">
        <v>4249</v>
      </c>
      <c r="M220" s="14" t="str" ph="1">
        <f>IFERROR(INDEX([1]!_born[生没年],
MATCH(I220,[1]!_born[作],0)),"")</f>
        <v/>
      </c>
      <c r="N220" s="14" t="str" ph="1">
        <f>IFERROR(INDEX([1]!_born[生没年],
MATCH(K220,[1]!_born[作],0)),"")</f>
        <v/>
      </c>
      <c r="O220" s="13" t="s" ph="1">
        <v>4250</v>
      </c>
      <c r="R220" s="16" ph="1">
        <v>39553</v>
      </c>
      <c r="T220" s="13" t="s" ph="1">
        <v>4251</v>
      </c>
      <c r="U220" s="16">
        <v>43635</v>
      </c>
      <c r="V220" s="17" ph="1">
        <f>2400*1.08</f>
        <v>2592</v>
      </c>
      <c r="W220" s="17" ph="1">
        <f>2400*1.08</f>
        <v>2592</v>
      </c>
      <c r="X220" s="13" t="s" ph="1">
        <v>3011</v>
      </c>
    </row>
    <row r="221" spans="1:24" ht="22.5" customHeight="1" ph="1" x14ac:dyDescent="0.35">
      <c r="A221" s="106" t="s" ph="1">
        <v>3014</v>
      </c>
      <c r="B221" s="5" t="s" ph="1">
        <v>3015</v>
      </c>
      <c r="C221" s="13" t="s" ph="1">
        <v>25</v>
      </c>
      <c r="G221" s="13" t="s" ph="1">
        <v>3599</v>
      </c>
      <c r="H221" s="13" t="s" ph="1">
        <v>61</v>
      </c>
      <c r="I221" s="13" t="s" ph="1">
        <v>4252</v>
      </c>
      <c r="M221" s="14" t="str" ph="1">
        <f>IFERROR(INDEX([1]!_born[生没年],
MATCH(I221,[1]!_born[作],0)),"")</f>
        <v/>
      </c>
      <c r="N221" s="14" t="str" ph="1">
        <f>IFERROR(INDEX([1]!_born[生没年],
MATCH(K221,[1]!_born[作],0)),"")</f>
        <v/>
      </c>
      <c r="O221" s="13" t="s" ph="1">
        <v>4253</v>
      </c>
      <c r="R221" s="16" ph="1">
        <v>40431</v>
      </c>
      <c r="T221" s="13" t="s" ph="1">
        <v>4254</v>
      </c>
      <c r="U221" s="16">
        <v>43637</v>
      </c>
      <c r="V221" s="17" ph="1">
        <f>2600*1.08</f>
        <v>2808</v>
      </c>
      <c r="W221" s="17">
        <v>2697</v>
      </c>
      <c r="X221" s="13" t="s" ph="1">
        <v>3011</v>
      </c>
    </row>
    <row r="222" spans="1:24" ht="22.5" customHeight="1" ph="1" x14ac:dyDescent="0.35">
      <c r="A222" s="106" t="s" ph="1">
        <v>3016</v>
      </c>
      <c r="B222" s="5" t="s" ph="1">
        <v>3017</v>
      </c>
      <c r="C222" s="13" t="s" ph="1">
        <v>25</v>
      </c>
      <c r="G222" s="13" t="s" ph="1">
        <v>3599</v>
      </c>
      <c r="H222" s="13" t="s" ph="1">
        <v>61</v>
      </c>
      <c r="I222" s="13" t="s" ph="1">
        <v>4255</v>
      </c>
      <c r="M222" s="14" t="str" ph="1">
        <f>IFERROR(INDEX([1]!_born[生没年],
MATCH(I222,[1]!_born[作],0)),"")</f>
        <v/>
      </c>
      <c r="N222" s="14" t="str" ph="1">
        <f>IFERROR(INDEX([1]!_born[生没年],
MATCH(K222,[1]!_born[作],0)),"")</f>
        <v/>
      </c>
      <c r="O222" s="13" t="s" ph="1">
        <v>4256</v>
      </c>
      <c r="R222" s="16" ph="1">
        <v>41348</v>
      </c>
      <c r="T222" s="13" t="s" ph="1">
        <v>4257</v>
      </c>
      <c r="U222" s="16">
        <v>43637</v>
      </c>
      <c r="V222" s="17" ph="1">
        <f>4200*1.08</f>
        <v>4536</v>
      </c>
      <c r="W222" s="17">
        <v>3732</v>
      </c>
      <c r="X222" s="13" t="s" ph="1">
        <v>3011</v>
      </c>
    </row>
    <row r="223" spans="1:24" ht="22.5" customHeight="1" ph="1" x14ac:dyDescent="0.35">
      <c r="A223" s="106" t="s" ph="1">
        <v>3021</v>
      </c>
      <c r="B223" s="5" t="s" ph="1">
        <v>3020</v>
      </c>
      <c r="C223" s="13" t="s" ph="1">
        <v>707</v>
      </c>
      <c r="G223" s="13" t="s" ph="1">
        <v>3599</v>
      </c>
      <c r="H223" s="13" t="s" ph="1">
        <v>61</v>
      </c>
      <c r="I223" s="13" t="s" ph="1">
        <v>4258</v>
      </c>
      <c r="J223" s="13" t="s" ph="1">
        <v>3616</v>
      </c>
      <c r="M223" s="14" t="str" ph="1">
        <f>IFERROR(INDEX([1]!_born[生没年],
MATCH(I223,[1]!_born[作],0)),"")</f>
        <v/>
      </c>
      <c r="N223" s="14" t="str" ph="1">
        <f>IFERROR(INDEX([1]!_born[生没年],
MATCH(K223,[1]!_born[作],0)),"")</f>
        <v/>
      </c>
      <c r="O223" s="13" t="s" ph="1">
        <v>4259</v>
      </c>
      <c r="R223" s="16" ph="1">
        <v>39792</v>
      </c>
      <c r="T223" s="13" t="s" ph="1">
        <v>4260</v>
      </c>
      <c r="U223" s="16">
        <v>43670</v>
      </c>
      <c r="V223" s="17" ph="1">
        <f>2800*1.08</f>
        <v>3024</v>
      </c>
      <c r="W223" s="17">
        <v>1986</v>
      </c>
      <c r="X223" s="13" t="s" ph="1">
        <v>3011</v>
      </c>
    </row>
    <row r="224" spans="1:24" ht="22.5" customHeight="1" ph="1" x14ac:dyDescent="0.35">
      <c r="A224" s="106" t="s" ph="1">
        <v>3022</v>
      </c>
      <c r="B224" s="5" t="s" ph="1">
        <v>3020</v>
      </c>
      <c r="C224" s="13" t="s" ph="1">
        <v>25</v>
      </c>
      <c r="G224" s="13" t="s" ph="1">
        <v>3599</v>
      </c>
      <c r="H224" s="13" t="s" ph="1">
        <v>61</v>
      </c>
      <c r="I224" s="13" t="s" ph="1">
        <v>4261</v>
      </c>
      <c r="J224" s="13" t="s" ph="1">
        <v>3616</v>
      </c>
      <c r="M224" s="14" t="str" ph="1">
        <f>IFERROR(INDEX([1]!_born[生没年],
MATCH(I224,[1]!_born[作],0)),"")</f>
        <v/>
      </c>
      <c r="N224" s="14" t="str" ph="1">
        <f>IFERROR(INDEX([1]!_born[生没年],
MATCH(K224,[1]!_born[作],0)),"")</f>
        <v/>
      </c>
      <c r="O224" s="13" t="s" ph="1">
        <v>4262</v>
      </c>
      <c r="R224" s="16" ph="1">
        <v>39923</v>
      </c>
      <c r="T224" s="13" t="s" ph="1">
        <v>4260</v>
      </c>
      <c r="U224" s="16">
        <v>43670</v>
      </c>
      <c r="V224" s="17" ph="1">
        <f>2800*1.08</f>
        <v>3024</v>
      </c>
      <c r="W224" s="17">
        <v>1800</v>
      </c>
      <c r="X224" s="13" t="s" ph="1">
        <v>3011</v>
      </c>
    </row>
    <row r="225" spans="1:25" ht="22.5" customHeight="1" ph="1" x14ac:dyDescent="0.35">
      <c r="C225" s="13" t="s" ph="1">
        <v>3113</v>
      </c>
      <c r="G225" s="13" t="s" ph="1">
        <v>3803</v>
      </c>
      <c r="H225" s="13" t="s" ph="1">
        <v>61</v>
      </c>
      <c r="I225" s="13" t="s" ph="1">
        <v>4263</v>
      </c>
      <c r="M225" s="14" t="str" ph="1">
        <f>IFERROR(INDEX([1]!_born[生没年],
MATCH(I225,[1]!_born[作],0)),"")</f>
        <v/>
      </c>
      <c r="N225" s="14" t="str" ph="1">
        <f>IFERROR(INDEX([1]!_born[生没年],
MATCH(K225,[1]!_born[作],0)),"")</f>
        <v/>
      </c>
      <c r="O225" s="13" t="s" ph="1">
        <v>4264</v>
      </c>
      <c r="R225" s="16" t="s" ph="1">
        <v>3115</v>
      </c>
      <c r="T225" s="13" t="s" ph="1">
        <v>4263</v>
      </c>
      <c r="U225" s="16" t="s" ph="1">
        <v>3114</v>
      </c>
      <c r="V225" s="17" ph="1">
        <v>0</v>
      </c>
      <c r="W225" s="17" ph="1">
        <v>0</v>
      </c>
      <c r="X225" s="13" t="s" ph="1">
        <v>4265</v>
      </c>
      <c r="Y225" s="13" t="s" ph="1">
        <v>4266</v>
      </c>
    </row>
    <row r="226" spans="1:25" ht="22.5" customHeight="1" ph="1" x14ac:dyDescent="0.35">
      <c r="C226" s="13" t="s" ph="1">
        <v>3113</v>
      </c>
      <c r="G226" s="13" t="s" ph="1">
        <v>3803</v>
      </c>
      <c r="H226" s="13" t="s" ph="1">
        <v>2987</v>
      </c>
      <c r="I226" s="13" t="s" ph="1">
        <v>4267</v>
      </c>
      <c r="M226" s="14" t="str" ph="1">
        <f>IFERROR(INDEX([1]!_born[生没年],
MATCH(I226,[1]!_born[作],0)),"")</f>
        <v/>
      </c>
      <c r="N226" s="14" t="str" ph="1">
        <f>IFERROR(INDEX([1]!_born[生没年],
MATCH(K226,[1]!_born[作],0)),"")</f>
        <v/>
      </c>
      <c r="O226" s="13" t="s" ph="1">
        <v>4268</v>
      </c>
      <c r="R226" s="16" t="s" ph="1">
        <v>3090</v>
      </c>
      <c r="T226" s="13" t="s" ph="1">
        <v>4263</v>
      </c>
      <c r="U226" s="16" t="s" ph="1">
        <v>3090</v>
      </c>
      <c r="V226" s="17" ph="1">
        <v>0</v>
      </c>
      <c r="W226" s="17" ph="1">
        <v>0</v>
      </c>
      <c r="X226" s="13" t="s" ph="1">
        <v>4269</v>
      </c>
      <c r="Y226" s="13" t="s" ph="1">
        <v>4266</v>
      </c>
    </row>
    <row r="227" spans="1:25" ht="22.5" customHeight="1" ph="1" x14ac:dyDescent="0.35">
      <c r="A227" s="106" t="s" ph="1">
        <v>4270</v>
      </c>
      <c r="B227" s="5" t="s" ph="1">
        <v>3120</v>
      </c>
      <c r="C227" s="13" t="s" ph="1">
        <v>25</v>
      </c>
      <c r="G227" s="13" t="s" ph="1">
        <v>4271</v>
      </c>
      <c r="H227" s="13" t="s" ph="1">
        <v>61</v>
      </c>
      <c r="I227" s="13" t="s" ph="1">
        <v>4272</v>
      </c>
      <c r="J227" s="13" t="s" ph="1">
        <v>3664</v>
      </c>
      <c r="M227" s="14" t="str" ph="1">
        <f>IFERROR(INDEX([1]!_born[生没年],
MATCH(I227,[1]!_born[作],0)),"")</f>
        <v/>
      </c>
      <c r="N227" s="14" t="str" ph="1">
        <f>IFERROR(INDEX([1]!_born[生没年],
MATCH(K227,[1]!_born[作],0)),"")</f>
        <v/>
      </c>
      <c r="O227" s="13" t="s" ph="1">
        <v>4273</v>
      </c>
      <c r="R227" s="16" ph="1">
        <v>37730</v>
      </c>
      <c r="S227" s="13" t="s" ph="1">
        <v>4274</v>
      </c>
      <c r="T227" s="13" t="s" ph="1">
        <v>3926</v>
      </c>
      <c r="U227" s="16" ph="1">
        <v>44338</v>
      </c>
      <c r="V227" s="17" ph="1">
        <f>1100*1.1</f>
        <v>1210</v>
      </c>
      <c r="W227" s="17" ph="1">
        <f>1100*1.1</f>
        <v>1210</v>
      </c>
      <c r="X227" s="13" t="s" ph="1">
        <v>3888</v>
      </c>
      <c r="Y227" s="5" ph="1"/>
    </row>
    <row r="228" spans="1:25" ht="22.5" customHeight="1" ph="1" x14ac:dyDescent="0.35">
      <c r="C228" s="13" t="s" ph="1">
        <v>707</v>
      </c>
      <c r="G228" s="13" t="s" ph="1">
        <v>3793</v>
      </c>
      <c r="H228" s="13" t="s" ph="1">
        <v>716</v>
      </c>
      <c r="I228" s="13" t="s" ph="1">
        <v>4275</v>
      </c>
      <c r="M228" s="14" t="str" ph="1">
        <f>IFERROR(INDEX([1]!_born[生没年],
MATCH(I228,[1]!_born[作],0)),"")</f>
        <v/>
      </c>
      <c r="N228" s="14" t="str" ph="1">
        <f>IFERROR(INDEX([1]!_born[生没年],
MATCH(K228,[1]!_born[作],0)),"")</f>
        <v/>
      </c>
      <c r="O228" s="13" t="s" ph="1">
        <v>4276</v>
      </c>
      <c r="R228" s="16" t="s" ph="1">
        <v>784</v>
      </c>
      <c r="T228" s="13" t="s" ph="1">
        <v>4254</v>
      </c>
      <c r="V228" s="17" ph="1">
        <v>1700</v>
      </c>
      <c r="W228" s="17" ph="1">
        <v>300</v>
      </c>
    </row>
    <row r="229" spans="1:25" ht="22.5" customHeight="1" ph="1" x14ac:dyDescent="0.35">
      <c r="C229" s="13" t="s" ph="1">
        <v>707</v>
      </c>
      <c r="G229" s="13" t="s" ph="1">
        <v>3793</v>
      </c>
      <c r="H229" s="13" t="s" ph="1">
        <v>716</v>
      </c>
      <c r="I229" s="13" t="s" ph="1">
        <v>4277</v>
      </c>
      <c r="M229" s="14" t="str" ph="1">
        <f>IFERROR(INDEX([1]!_born[生没年],
MATCH(I229,[1]!_born[作],0)),"")</f>
        <v/>
      </c>
      <c r="N229" s="14" t="str" ph="1">
        <f>IFERROR(INDEX([1]!_born[生没年],
MATCH(K229,[1]!_born[作],0)),"")</f>
        <v/>
      </c>
      <c r="O229" s="13" t="s" ph="1">
        <v>4278</v>
      </c>
      <c r="R229" s="16" t="s" ph="1">
        <v>954</v>
      </c>
      <c r="T229" s="13" t="s" ph="1">
        <v>3772</v>
      </c>
      <c r="V229" s="17" ph="1">
        <v>2200</v>
      </c>
    </row>
    <row r="230" spans="1:25" ht="22.5" customHeight="1" ph="1" x14ac:dyDescent="0.35">
      <c r="C230" s="13" t="s" ph="1">
        <v>707</v>
      </c>
      <c r="G230" s="13" t="s" ph="1">
        <v>3793</v>
      </c>
      <c r="H230" s="13" t="s" ph="1">
        <v>716</v>
      </c>
      <c r="I230" s="13" t="s" ph="1">
        <v>4277</v>
      </c>
      <c r="M230" s="14" t="str" ph="1">
        <f>IFERROR(INDEX([1]!_born[生没年],
MATCH(I230,[1]!_born[作],0)),"")</f>
        <v/>
      </c>
      <c r="N230" s="14" t="str" ph="1">
        <f>IFERROR(INDEX([1]!_born[生没年],
MATCH(K230,[1]!_born[作],0)),"")</f>
        <v/>
      </c>
      <c r="O230" s="13" t="s" ph="1">
        <v>4279</v>
      </c>
      <c r="R230" s="16" t="s" ph="1">
        <v>1870</v>
      </c>
      <c r="T230" s="13" t="s" ph="1">
        <v>3772</v>
      </c>
      <c r="V230" s="17" ph="1">
        <v>2200</v>
      </c>
    </row>
    <row r="231" spans="1:25" ht="22.5" customHeight="1" ph="1" x14ac:dyDescent="0.35">
      <c r="C231" s="13" t="s" ph="1">
        <v>707</v>
      </c>
      <c r="G231" s="13" t="s" ph="1">
        <v>708</v>
      </c>
      <c r="H231" s="13" t="s" ph="1">
        <v>716</v>
      </c>
      <c r="I231" s="13" t="s" ph="1">
        <v>4280</v>
      </c>
      <c r="M231" s="14" t="str" ph="1">
        <f>IFERROR(INDEX([1]!_born[生没年],
MATCH(I231,[1]!_born[作],0)),"")</f>
        <v/>
      </c>
      <c r="N231" s="14" t="str" ph="1">
        <f>IFERROR(INDEX([1]!_born[生没年],
MATCH(K231,[1]!_born[作],0)),"")</f>
        <v/>
      </c>
      <c r="O231" s="13" t="s" ph="1">
        <v>4281</v>
      </c>
      <c r="R231" s="16" t="s" ph="1">
        <v>924</v>
      </c>
      <c r="T231" s="13" t="s" ph="1">
        <v>3758</v>
      </c>
      <c r="V231" s="17" ph="1">
        <v>1000</v>
      </c>
    </row>
    <row r="232" spans="1:25" ht="22.5" customHeight="1" ph="1" x14ac:dyDescent="0.35">
      <c r="C232" s="13" t="s" ph="1">
        <v>707</v>
      </c>
      <c r="G232" s="13" t="s" ph="1">
        <v>1997</v>
      </c>
      <c r="H232" s="13" t="s" ph="1">
        <v>716</v>
      </c>
      <c r="I232" s="13" t="s" ph="1">
        <v>4282</v>
      </c>
      <c r="M232" s="14" t="str" ph="1">
        <f>IFERROR(INDEX([1]!_born[生没年],
MATCH(I232,[1]!_born[作],0)),"")</f>
        <v/>
      </c>
      <c r="N232" s="14" t="str" ph="1">
        <f>IFERROR(INDEX([1]!_born[生没年],
MATCH(K232,[1]!_born[作],0)),"")</f>
        <v/>
      </c>
      <c r="O232" s="13" t="s" ph="1">
        <v>4283</v>
      </c>
      <c r="R232" s="16" t="s" ph="1">
        <v>1488</v>
      </c>
      <c r="T232" s="13" t="s" ph="1">
        <v>3772</v>
      </c>
      <c r="V232" s="17" ph="1">
        <v>1900</v>
      </c>
      <c r="W232" s="17"/>
      <c r="X232" s="5" t="s" ph="1">
        <v>3608</v>
      </c>
      <c r="Y232" s="5" ph="1"/>
    </row>
    <row r="233" spans="1:25" ht="22.5" customHeight="1" ph="1" x14ac:dyDescent="0.35">
      <c r="C233" s="13" t="s" ph="1">
        <v>707</v>
      </c>
      <c r="G233" s="13" t="s" ph="1">
        <v>1997</v>
      </c>
      <c r="H233" s="13" t="s" ph="1">
        <v>709</v>
      </c>
      <c r="I233" s="13" t="s" ph="1">
        <v>663</v>
      </c>
      <c r="K233" s="13" t="s" ph="1">
        <v>4284</v>
      </c>
      <c r="L233" s="13" t="s" ph="1">
        <v>3628</v>
      </c>
      <c r="M233" s="14" t="str" ph="1">
        <f>IFERROR(INDEX([1]!_born[生没年],
MATCH(I233,[1]!_born[作],0)),"")</f>
        <v/>
      </c>
      <c r="N233" s="14" t="str" ph="1">
        <f>IFERROR(INDEX([1]!_born[生没年],
MATCH(K233,[1]!_born[作],0)),"")</f>
        <v/>
      </c>
      <c r="O233" s="13" t="s" ph="1">
        <v>4285</v>
      </c>
      <c r="R233" s="16" t="s" ph="1">
        <v>1998</v>
      </c>
      <c r="T233" s="13" t="s" ph="1">
        <v>3746</v>
      </c>
      <c r="V233" s="17" ph="1">
        <v>1900</v>
      </c>
      <c r="W233" s="17"/>
      <c r="X233" s="5" t="s" ph="1">
        <v>3608</v>
      </c>
      <c r="Y233" s="5" ph="1"/>
    </row>
    <row r="234" spans="1:25" ht="22.5" customHeight="1" ph="1" x14ac:dyDescent="0.35">
      <c r="C234" s="13" t="s" ph="1">
        <v>707</v>
      </c>
      <c r="G234" s="13" t="s" ph="1">
        <v>1997</v>
      </c>
      <c r="H234" s="13" t="s" ph="1">
        <v>709</v>
      </c>
      <c r="I234" s="13" t="s" ph="1">
        <v>178</v>
      </c>
      <c r="K234" s="13" t="s" ph="1">
        <v>4286</v>
      </c>
      <c r="L234" s="13" t="s" ph="1">
        <v>3628</v>
      </c>
      <c r="M234" s="14" t="str" ph="1">
        <f>IFERROR(INDEX([1]!_born[生没年],
MATCH(I234,[1]!_born[作],0)),"")</f>
        <v/>
      </c>
      <c r="N234" s="14" t="str" ph="1">
        <f>IFERROR(INDEX([1]!_born[生没年],
MATCH(K234,[1]!_born[作],0)),"")</f>
        <v/>
      </c>
      <c r="O234" s="13" t="s" ph="1">
        <v>4287</v>
      </c>
      <c r="R234" s="16" t="s" ph="1">
        <v>4288</v>
      </c>
      <c r="T234" s="13" t="s" ph="1">
        <v>4289</v>
      </c>
      <c r="V234" s="17" ph="1">
        <v>1200</v>
      </c>
    </row>
    <row r="235" spans="1:25" ht="22.5" customHeight="1" ph="1" x14ac:dyDescent="0.35">
      <c r="C235" s="13" t="s" ph="1">
        <v>707</v>
      </c>
      <c r="G235" s="13" t="s" ph="1">
        <v>1997</v>
      </c>
      <c r="H235" s="13" t="s" ph="1">
        <v>716</v>
      </c>
      <c r="I235" s="13" t="s" ph="1">
        <v>4290</v>
      </c>
      <c r="M235" s="14" t="str" ph="1">
        <f>IFERROR(INDEX([1]!_born[生没年],
MATCH(I235,[1]!_born[作],0)),"")</f>
        <v/>
      </c>
      <c r="N235" s="14" t="str" ph="1">
        <f>IFERROR(INDEX([1]!_born[生没年],
MATCH(K235,[1]!_born[作],0)),"")</f>
        <v/>
      </c>
      <c r="O235" s="13" t="s" ph="1">
        <v>4291</v>
      </c>
      <c r="R235" s="16" t="s" ph="1">
        <v>930</v>
      </c>
      <c r="T235" s="13" t="s" ph="1">
        <v>3780</v>
      </c>
      <c r="V235" s="17" ph="1">
        <v>1500</v>
      </c>
    </row>
    <row r="236" spans="1:25" ht="22.5" customHeight="1" ph="1" x14ac:dyDescent="0.35">
      <c r="C236" s="13" t="s" ph="1">
        <v>707</v>
      </c>
      <c r="G236" s="13" t="s" ph="1">
        <v>1997</v>
      </c>
      <c r="H236" s="13" t="s" ph="1">
        <v>709</v>
      </c>
      <c r="I236" s="13" t="s" ph="1">
        <v>262</v>
      </c>
      <c r="K236" s="13" t="s" ph="1">
        <v>4292</v>
      </c>
      <c r="L236" s="13" t="s" ph="1">
        <v>3628</v>
      </c>
      <c r="M236" s="14" t="str" ph="1">
        <f>IFERROR(INDEX([1]!_born[生没年],
MATCH(I236,[1]!_born[作],0)),"")</f>
        <v/>
      </c>
      <c r="N236" s="14" t="str" ph="1">
        <f>IFERROR(INDEX([1]!_born[生没年],
MATCH(K236,[1]!_born[作],0)),"")</f>
        <v/>
      </c>
      <c r="O236" s="13" t="s" ph="1">
        <v>4293</v>
      </c>
      <c r="R236" s="16" t="s" ph="1">
        <v>1999</v>
      </c>
      <c r="T236" s="13" t="s" ph="1">
        <v>3796</v>
      </c>
      <c r="V236" s="17" ph="1">
        <v>1500</v>
      </c>
    </row>
    <row r="237" spans="1:25" ht="22.5" customHeight="1" ph="1" x14ac:dyDescent="0.35">
      <c r="C237" s="13" t="s" ph="1">
        <v>707</v>
      </c>
      <c r="G237" s="13" t="s" ph="1">
        <v>1997</v>
      </c>
      <c r="H237" s="13" t="s" ph="1">
        <v>709</v>
      </c>
      <c r="I237" s="13" t="s" ph="1">
        <v>189</v>
      </c>
      <c r="K237" s="13" t="s" ph="1">
        <v>4294</v>
      </c>
      <c r="L237" s="13" t="s" ph="1">
        <v>4295</v>
      </c>
      <c r="M237" s="14" t="str" ph="1">
        <f>IFERROR(INDEX([1]!_born[生没年],
MATCH(I237,[1]!_born[作],0)),"")</f>
        <v/>
      </c>
      <c r="N237" s="14" t="str" ph="1">
        <f>IFERROR(INDEX([1]!_born[生没年],
MATCH(K237,[1]!_born[作],0)),"")</f>
        <v/>
      </c>
      <c r="O237" s="13" t="s" ph="1">
        <v>4296</v>
      </c>
      <c r="R237" s="16" t="s" ph="1">
        <v>2000</v>
      </c>
      <c r="T237" s="13" t="s" ph="1">
        <v>4297</v>
      </c>
      <c r="V237" s="17" ph="1">
        <v>1500</v>
      </c>
    </row>
    <row r="238" spans="1:25" ht="22.5" customHeight="1" ph="1" x14ac:dyDescent="0.35">
      <c r="C238" s="13" t="s" ph="1">
        <v>707</v>
      </c>
      <c r="G238" s="13" t="s" ph="1">
        <v>3599</v>
      </c>
      <c r="H238" s="13" t="s" ph="1">
        <v>709</v>
      </c>
      <c r="I238" s="13" t="s" ph="1">
        <v>165</v>
      </c>
      <c r="K238" s="13" t="s" ph="1">
        <v>4298</v>
      </c>
      <c r="L238" s="13" t="s" ph="1">
        <v>3628</v>
      </c>
      <c r="M238" s="14" t="str" ph="1">
        <f>IFERROR(INDEX([1]!_born[生没年],
MATCH(I238,[1]!_born[作],0)),"")</f>
        <v/>
      </c>
      <c r="N238" s="14" t="str" ph="1">
        <f>IFERROR(INDEX([1]!_born[生没年],
MATCH(K238,[1]!_born[作],0)),"")</f>
        <v/>
      </c>
      <c r="O238" s="13" t="s" ph="1">
        <v>4299</v>
      </c>
      <c r="R238" s="16" t="s" ph="1">
        <v>4300</v>
      </c>
      <c r="T238" s="13" t="s" ph="1">
        <v>4301</v>
      </c>
      <c r="V238" s="17" ph="1">
        <v>1400</v>
      </c>
    </row>
    <row r="239" spans="1:25" ht="22.5" customHeight="1" ph="1" x14ac:dyDescent="0.35">
      <c r="C239" s="13" t="s" ph="1">
        <v>707</v>
      </c>
      <c r="G239" s="13" t="s" ph="1">
        <v>3599</v>
      </c>
      <c r="H239" s="13" t="s" ph="1">
        <v>709</v>
      </c>
      <c r="I239" s="13" t="s" ph="1">
        <v>4302</v>
      </c>
      <c r="K239" s="13" t="s" ph="1">
        <v>4303</v>
      </c>
      <c r="L239" s="13" t="s" ph="1">
        <v>3628</v>
      </c>
      <c r="M239" s="14" t="str" ph="1">
        <f>IFERROR(INDEX([1]!_born[生没年],
MATCH(I239,[1]!_born[作],0)),"")</f>
        <v/>
      </c>
      <c r="N239" s="14" t="str" ph="1">
        <f>IFERROR(INDEX([1]!_born[生没年],
MATCH(K239,[1]!_born[作],0)),"")</f>
        <v/>
      </c>
      <c r="O239" s="13" t="s" ph="1">
        <v>4304</v>
      </c>
      <c r="T239" s="13" t="s" ph="1">
        <v>3929</v>
      </c>
      <c r="V239" s="17" ph="1">
        <f>2200*1.05</f>
        <v>2310</v>
      </c>
    </row>
    <row r="240" spans="1:25" ht="22.5" customHeight="1" ph="1" x14ac:dyDescent="0.35">
      <c r="C240" s="13" t="s" ph="1">
        <v>707</v>
      </c>
      <c r="G240" s="13" t="s" ph="1">
        <v>3599</v>
      </c>
      <c r="H240" s="13" t="s" ph="1">
        <v>709</v>
      </c>
      <c r="I240" s="13" t="s" ph="1">
        <v>4305</v>
      </c>
      <c r="K240" s="13" t="s" ph="1">
        <v>4306</v>
      </c>
      <c r="L240" s="13" t="s" ph="1">
        <v>4307</v>
      </c>
      <c r="M240" s="14" t="str" ph="1">
        <f>IFERROR(INDEX([1]!_born[生没年],
MATCH(I240,[1]!_born[作],0)),"")</f>
        <v/>
      </c>
      <c r="N240" s="14" t="str" ph="1">
        <f>IFERROR(INDEX([1]!_born[生没年],
MATCH(K240,[1]!_born[作],0)),"")</f>
        <v/>
      </c>
      <c r="O240" s="13" t="s" ph="1">
        <v>4308</v>
      </c>
      <c r="T240" s="13" t="s" ph="1">
        <v>4309</v>
      </c>
      <c r="V240" s="17" ph="1">
        <v>1500</v>
      </c>
    </row>
    <row r="241" spans="1:25" ht="22.5" customHeight="1" ph="1" x14ac:dyDescent="0.35">
      <c r="C241" s="13" t="s" ph="1">
        <v>707</v>
      </c>
      <c r="G241" s="13" t="s" ph="1">
        <v>3599</v>
      </c>
      <c r="H241" s="13" t="s" ph="1">
        <v>709</v>
      </c>
      <c r="I241" s="13" t="s" ph="1">
        <v>166</v>
      </c>
      <c r="K241" s="13" t="s" ph="1">
        <v>4310</v>
      </c>
      <c r="L241" s="13" t="s" ph="1">
        <v>4307</v>
      </c>
      <c r="M241" s="14" t="str" ph="1">
        <f>IFERROR(INDEX([1]!_born[生没年],
MATCH(I241,[1]!_born[作],0)),"")</f>
        <v/>
      </c>
      <c r="N241" s="14" t="str" ph="1">
        <f>IFERROR(INDEX([1]!_born[生没年],
MATCH(K241,[1]!_born[作],0)),"")</f>
        <v/>
      </c>
      <c r="O241" s="13" t="s" ph="1">
        <v>4311</v>
      </c>
      <c r="T241" s="13" t="s" ph="1">
        <v>3796</v>
      </c>
      <c r="V241" s="17" ph="1">
        <v>1854</v>
      </c>
    </row>
    <row r="242" spans="1:25" ht="22.5" customHeight="1" ph="1" x14ac:dyDescent="0.35">
      <c r="A242" s="106" t="s" ph="1">
        <v>2001</v>
      </c>
      <c r="B242" s="5" t="s" ph="1">
        <v>1030</v>
      </c>
      <c r="C242" s="13" t="s" ph="1">
        <v>25</v>
      </c>
      <c r="G242" s="13" t="s" ph="1">
        <v>3599</v>
      </c>
      <c r="H242" s="13" t="s" ph="1">
        <v>61</v>
      </c>
      <c r="I242" s="13" t="s" ph="1">
        <v>4312</v>
      </c>
      <c r="M242" s="14" t="str" ph="1">
        <f>IFERROR(INDEX([1]!_born[生没年],
MATCH(I242,[1]!_born[作],0)),"")</f>
        <v/>
      </c>
      <c r="N242" s="14" t="str" ph="1">
        <f>IFERROR(INDEX([1]!_born[生没年],
MATCH(K242,[1]!_born[作],0)),"")</f>
        <v/>
      </c>
      <c r="O242" s="13" t="s" ph="1">
        <v>4313</v>
      </c>
      <c r="R242" s="16" t="s" ph="1">
        <v>2002</v>
      </c>
      <c r="T242" s="13" t="s" ph="1">
        <v>4150</v>
      </c>
      <c r="U242" s="16" t="s" ph="1">
        <v>1151</v>
      </c>
      <c r="V242" s="17" ph="1">
        <f>1500*1.05</f>
        <v>1575</v>
      </c>
      <c r="W242" s="17" ph="1">
        <f>1500*1.05</f>
        <v>1575</v>
      </c>
    </row>
    <row r="243" spans="1:25" ht="22.5" customHeight="1" ph="1" x14ac:dyDescent="0.35">
      <c r="A243" s="106" t="s" ph="1">
        <v>3232</v>
      </c>
      <c r="B243" s="5" t="s" ph="1">
        <v>1738</v>
      </c>
      <c r="C243" s="13" t="s" ph="1">
        <v>707</v>
      </c>
      <c r="G243" s="13" t="s" ph="1">
        <v>3599</v>
      </c>
      <c r="H243" s="13" t="s" ph="1">
        <v>716</v>
      </c>
      <c r="I243" s="13" t="s" ph="1">
        <v>4314</v>
      </c>
      <c r="J243" s="13" t="s" ph="1">
        <v>4315</v>
      </c>
      <c r="M243" s="14" t="str" ph="1">
        <f>IFERROR(INDEX([1]!_born[生没年],
MATCH(I243,[1]!_born[作],0)),"")</f>
        <v/>
      </c>
      <c r="N243" s="14" t="str" ph="1">
        <f>IFERROR(INDEX([1]!_born[生没年],
MATCH(K243,[1]!_born[作],0)),"")</f>
        <v/>
      </c>
      <c r="O243" s="13" t="s" ph="1">
        <v>4316</v>
      </c>
      <c r="R243" s="16" ph="1">
        <v>38572</v>
      </c>
      <c r="T243" s="13" t="s" ph="1">
        <v>3607</v>
      </c>
      <c r="U243" s="16" t="s" ph="1">
        <v>3229</v>
      </c>
      <c r="V243" s="17" ph="1">
        <f>3800*1.1</f>
        <v>4180</v>
      </c>
      <c r="W243" s="17" ph="1">
        <v>0</v>
      </c>
      <c r="X243" s="13" t="s" ph="1">
        <v>4317</v>
      </c>
      <c r="Y243" s="13" t="s" ph="1">
        <v>4318</v>
      </c>
    </row>
    <row r="244" spans="1:25" ht="22.5" customHeight="1" ph="1" x14ac:dyDescent="0.35">
      <c r="C244" s="13" t="s" ph="1">
        <v>707</v>
      </c>
      <c r="G244" s="13" t="s" ph="1">
        <v>746</v>
      </c>
      <c r="H244" s="13" t="s" ph="1">
        <v>709</v>
      </c>
      <c r="I244" s="13" t="s" ph="1">
        <v>4319</v>
      </c>
      <c r="J244" s="13" t="s" ph="1">
        <v>3616</v>
      </c>
      <c r="M244" s="14" t="str" ph="1">
        <f>IFERROR(INDEX([1]!_born[生没年],
MATCH(I244,[1]!_born[作],0)),"")</f>
        <v/>
      </c>
      <c r="N244" s="14" t="str" ph="1">
        <f>IFERROR(INDEX([1]!_born[生没年],
MATCH(K244,[1]!_born[作],0)),"")</f>
        <v/>
      </c>
      <c r="O244" s="13" t="s" ph="1">
        <v>4320</v>
      </c>
      <c r="T244" s="13" t="s" ph="1">
        <v>4321</v>
      </c>
      <c r="U244" s="16" t="s" ph="1">
        <v>706</v>
      </c>
      <c r="V244" s="17" ph="1">
        <v>1800</v>
      </c>
    </row>
    <row r="245" spans="1:25" ht="22.5" customHeight="1" ph="1" x14ac:dyDescent="0.35">
      <c r="C245" s="13" t="s" ph="1">
        <v>707</v>
      </c>
      <c r="G245" s="13" t="s" ph="1">
        <v>746</v>
      </c>
      <c r="H245" s="13" t="s" ph="1">
        <v>709</v>
      </c>
      <c r="I245" s="13" t="s" ph="1">
        <v>4322</v>
      </c>
      <c r="K245" s="13" t="s" ph="1">
        <v>4323</v>
      </c>
      <c r="L245" s="13" t="s" ph="1">
        <v>3628</v>
      </c>
      <c r="M245" s="14" t="str" ph="1">
        <f>IFERROR(INDEX([1]!_born[生没年],
MATCH(I245,[1]!_born[作],0)),"")</f>
        <v/>
      </c>
      <c r="N245" s="14" t="str" ph="1">
        <f>IFERROR(INDEX([1]!_born[生没年],
MATCH(K245,[1]!_born[作],0)),"")</f>
        <v/>
      </c>
      <c r="O245" s="13" t="s" ph="1">
        <v>4324</v>
      </c>
      <c r="T245" s="13" t="s" ph="1">
        <v>4325</v>
      </c>
      <c r="U245" s="16" t="s" ph="1">
        <v>706</v>
      </c>
      <c r="V245" s="17" ph="1">
        <v>2900</v>
      </c>
    </row>
    <row r="246" spans="1:25" ht="22.5" customHeight="1" ph="1" x14ac:dyDescent="0.35">
      <c r="C246" s="13" t="s" ph="1">
        <v>707</v>
      </c>
      <c r="G246" s="13" t="s" ph="1">
        <v>746</v>
      </c>
      <c r="H246" s="13" t="s" ph="1">
        <v>709</v>
      </c>
      <c r="I246" s="13" t="s" ph="1">
        <v>4326</v>
      </c>
      <c r="K246" s="13" t="s" ph="1">
        <v>4327</v>
      </c>
      <c r="L246" s="13" t="s" ph="1">
        <v>3628</v>
      </c>
      <c r="M246" s="14" t="str" ph="1">
        <f>IFERROR(INDEX([1]!_born[生没年],
MATCH(I246,[1]!_born[作],0)),"")</f>
        <v/>
      </c>
      <c r="N246" s="14" t="str" ph="1">
        <f>IFERROR(INDEX([1]!_born[生没年],
MATCH(K246,[1]!_born[作],0)),"")</f>
        <v/>
      </c>
      <c r="O246" s="13" t="s" ph="1">
        <v>4328</v>
      </c>
      <c r="T246" s="13" t="s" ph="1">
        <v>4329</v>
      </c>
      <c r="U246" s="16" t="s" ph="1">
        <v>706</v>
      </c>
    </row>
    <row r="247" spans="1:25" ht="22.5" customHeight="1" ph="1" x14ac:dyDescent="0.35">
      <c r="A247" s="106" t="s" ph="1">
        <v>2003</v>
      </c>
      <c r="B247" s="5" t="s" ph="1">
        <v>2004</v>
      </c>
      <c r="C247" s="13" t="s" ph="1">
        <v>707</v>
      </c>
      <c r="G247" s="13" t="s" ph="1">
        <v>2005</v>
      </c>
      <c r="H247" s="13" t="s" ph="1">
        <v>716</v>
      </c>
      <c r="M247" s="14" t="str" ph="1">
        <f>IFERROR(INDEX([1]!_born[生没年],
MATCH(I247,[1]!_born[作],0)),"")</f>
        <v/>
      </c>
      <c r="N247" s="14" t="str" ph="1">
        <f>IFERROR(INDEX([1]!_born[生没年],
MATCH(K247,[1]!_born[作],0)),"")</f>
        <v/>
      </c>
      <c r="O247" s="13" t="s" ph="1">
        <v>4330</v>
      </c>
      <c r="S247" s="13" t="s" ph="1">
        <v>4331</v>
      </c>
      <c r="T247" s="13" t="s" ph="1">
        <v>4332</v>
      </c>
      <c r="U247" s="16" t="s" ph="1">
        <v>2006</v>
      </c>
      <c r="V247" s="17" ph="1">
        <f>2000*1.05</f>
        <v>2100</v>
      </c>
      <c r="W247" s="17" ph="1">
        <f>2000*1.05</f>
        <v>2100</v>
      </c>
      <c r="X247" s="13" t="s" ph="1">
        <v>3802</v>
      </c>
    </row>
    <row r="248" spans="1:25" ht="22.5" customHeight="1" ph="1" x14ac:dyDescent="0.35">
      <c r="A248" s="106" t="s" ph="1">
        <v>3160</v>
      </c>
      <c r="B248" s="5" t="s" ph="1">
        <v>2786</v>
      </c>
      <c r="C248" s="13" t="s" ph="1">
        <v>707</v>
      </c>
      <c r="G248" s="13" t="s" ph="1">
        <v>2005</v>
      </c>
      <c r="H248" s="13" t="s" ph="1">
        <v>709</v>
      </c>
      <c r="I248" s="13" t="s" ph="1">
        <v>4333</v>
      </c>
      <c r="K248" s="13" t="s" ph="1">
        <v>4334</v>
      </c>
      <c r="L248" s="13" t="s" ph="1">
        <v>4142</v>
      </c>
      <c r="M248" s="14" t="str" ph="1">
        <f>IFERROR(INDEX([1]!_born[生没年],
MATCH(I248,[1]!_born[作],0)),"")</f>
        <v/>
      </c>
      <c r="N248" s="14" t="str" ph="1">
        <f>IFERROR(INDEX([1]!_born[生没年],
MATCH(K248,[1]!_born[作],0)),"")</f>
        <v/>
      </c>
      <c r="O248" s="15" t="s" ph="1">
        <v>4335</v>
      </c>
      <c r="R248" s="16" ph="1">
        <v>30042</v>
      </c>
      <c r="T248" s="13" t="s" ph="1">
        <v>3772</v>
      </c>
      <c r="U248" s="16" ph="1">
        <v>44793</v>
      </c>
      <c r="V248" s="17" ph="1">
        <f>1900*1.1</f>
        <v>2090</v>
      </c>
      <c r="W248" s="17" ph="1">
        <f>1900*1.1</f>
        <v>2090</v>
      </c>
      <c r="X248" s="13" t="s" ph="1">
        <v>4336</v>
      </c>
    </row>
    <row r="249" spans="1:25" ht="22.5" customHeight="1" ph="1" x14ac:dyDescent="0.35">
      <c r="C249" s="13" t="s" ph="1">
        <v>707</v>
      </c>
      <c r="G249" s="13" t="s" ph="1">
        <v>4337</v>
      </c>
      <c r="H249" s="13" t="s" ph="1">
        <v>709</v>
      </c>
      <c r="I249" s="13" t="s" ph="1">
        <v>261</v>
      </c>
      <c r="M249" s="14" t="str" ph="1">
        <f>IFERROR(INDEX([1]!_born[生没年],
MATCH(I249,[1]!_born[作],0)),"")</f>
        <v/>
      </c>
      <c r="N249" s="14" t="str" ph="1">
        <f>IFERROR(INDEX([1]!_born[生没年],
MATCH(K249,[1]!_born[作],0)),"")</f>
        <v/>
      </c>
      <c r="O249" s="15" t="s" ph="1">
        <v>260</v>
      </c>
      <c r="U249" s="16" t="s" ph="1">
        <v>706</v>
      </c>
      <c r="V249" s="17" ph="1">
        <v>300</v>
      </c>
    </row>
    <row r="250" spans="1:25" ht="22.5" customHeight="1" ph="1" x14ac:dyDescent="0.35">
      <c r="C250" s="13" t="s" ph="1">
        <v>707</v>
      </c>
      <c r="G250" s="13" t="s" ph="1">
        <v>2005</v>
      </c>
      <c r="H250" s="13" t="s" ph="1">
        <v>2007</v>
      </c>
      <c r="I250" s="13" t="s" ph="1">
        <v>4338</v>
      </c>
      <c r="M250" s="14" t="str" ph="1">
        <f>IFERROR(INDEX([1]!_born[生没年],
MATCH(I250,[1]!_born[作],0)),"")</f>
        <v/>
      </c>
      <c r="N250" s="14" t="str" ph="1">
        <f>IFERROR(INDEX([1]!_born[生没年],
MATCH(K250,[1]!_born[作],0)),"")</f>
        <v/>
      </c>
      <c r="O250" s="13" t="s" ph="1">
        <v>4339</v>
      </c>
      <c r="T250" s="13" t="s" ph="1">
        <v>4340</v>
      </c>
      <c r="U250" s="16" t="s" ph="1">
        <v>706</v>
      </c>
      <c r="V250" s="17" ph="1">
        <v>2575</v>
      </c>
    </row>
    <row r="251" spans="1:25" ht="22.5" customHeight="1" ph="1" x14ac:dyDescent="0.35">
      <c r="C251" s="13" t="s" ph="1">
        <v>707</v>
      </c>
      <c r="G251" s="13" t="s" ph="1">
        <v>2005</v>
      </c>
      <c r="H251" s="13" t="s" ph="1">
        <v>2007</v>
      </c>
      <c r="I251" s="13" t="s" ph="1">
        <v>4341</v>
      </c>
      <c r="M251" s="14" t="str" ph="1">
        <f>IFERROR(INDEX([1]!_born[生没年],
MATCH(I251,[1]!_born[作],0)),"")</f>
        <v/>
      </c>
      <c r="N251" s="14" t="str" ph="1">
        <f>IFERROR(INDEX([1]!_born[生没年],
MATCH(K251,[1]!_born[作],0)),"")</f>
        <v/>
      </c>
      <c r="O251" s="13" t="s" ph="1">
        <v>4342</v>
      </c>
      <c r="S251" s="13" t="s" ph="1">
        <v>4343</v>
      </c>
      <c r="T251" s="13" t="s" ph="1">
        <v>4344</v>
      </c>
      <c r="U251" s="16" t="s" ph="1">
        <v>706</v>
      </c>
      <c r="V251" s="17" ph="1">
        <v>2500</v>
      </c>
    </row>
    <row r="252" spans="1:25" ht="22.5" customHeight="1" ph="1" x14ac:dyDescent="0.35">
      <c r="C252" s="13" t="s" ph="1">
        <v>707</v>
      </c>
      <c r="G252" s="13" t="s" ph="1">
        <v>2005</v>
      </c>
      <c r="H252" s="13" t="s" ph="1">
        <v>2007</v>
      </c>
      <c r="I252" s="13" t="s" ph="1">
        <v>600</v>
      </c>
      <c r="K252" s="13" t="s" ph="1">
        <v>4345</v>
      </c>
      <c r="M252" s="14" t="str" ph="1">
        <f>IFERROR(INDEX([1]!_born[生没年],
MATCH(I252,[1]!_born[作],0)),"")</f>
        <v/>
      </c>
      <c r="N252" s="14" t="str" ph="1">
        <f>IFERROR(INDEX([1]!_born[生没年],
MATCH(K252,[1]!_born[作],0)),"")</f>
        <v/>
      </c>
      <c r="O252" s="13" t="s" ph="1">
        <v>4346</v>
      </c>
      <c r="T252" s="13" t="s" ph="1">
        <v>4347</v>
      </c>
      <c r="U252" s="16" t="s" ph="1">
        <v>706</v>
      </c>
      <c r="V252" s="17" ph="1">
        <v>3090</v>
      </c>
    </row>
    <row r="253" spans="1:25" ht="22.5" customHeight="1" ph="1" x14ac:dyDescent="0.35">
      <c r="C253" s="13" t="s" ph="1">
        <v>707</v>
      </c>
      <c r="G253" s="13" t="s" ph="1">
        <v>2005</v>
      </c>
      <c r="H253" s="13" t="s" ph="1">
        <v>2007</v>
      </c>
      <c r="I253" s="13" t="s" ph="1">
        <v>179</v>
      </c>
      <c r="K253" s="13" t="s" ph="1">
        <v>4348</v>
      </c>
      <c r="M253" s="14" t="str" ph="1">
        <f>IFERROR(INDEX([1]!_born[生没年],
MATCH(I253,[1]!_born[作],0)),"")</f>
        <v/>
      </c>
      <c r="N253" s="14" t="str" ph="1">
        <f>IFERROR(INDEX([1]!_born[生没年],
MATCH(K253,[1]!_born[作],0)),"")</f>
        <v/>
      </c>
      <c r="O253" s="13" t="s" ph="1">
        <v>156</v>
      </c>
      <c r="S253" s="13" t="s" ph="1">
        <v>4349</v>
      </c>
      <c r="T253" s="13" t="s" ph="1">
        <v>4350</v>
      </c>
      <c r="U253" s="16" t="s" ph="1">
        <v>706</v>
      </c>
      <c r="V253" s="17" ph="1">
        <v>4120</v>
      </c>
    </row>
    <row r="254" spans="1:25" ht="22.5" customHeight="1" ph="1" x14ac:dyDescent="0.35">
      <c r="C254" s="13" t="s" ph="1">
        <v>707</v>
      </c>
      <c r="G254" s="13" t="s" ph="1">
        <v>2005</v>
      </c>
      <c r="H254" s="13" t="s" ph="1">
        <v>2007</v>
      </c>
      <c r="I254" s="13" t="s" ph="1">
        <v>526</v>
      </c>
      <c r="M254" s="14" t="str" ph="1">
        <f>IFERROR(INDEX([1]!_born[生没年],
MATCH(I254,[1]!_born[作],0)),"")</f>
        <v/>
      </c>
      <c r="N254" s="14" t="str" ph="1">
        <f>IFERROR(INDEX([1]!_born[生没年],
MATCH(K254,[1]!_born[作],0)),"")</f>
        <v/>
      </c>
      <c r="O254" s="13" t="s" ph="1">
        <v>155</v>
      </c>
      <c r="S254" s="13" t="s" ph="1">
        <v>326</v>
      </c>
      <c r="T254" s="13" t="s" ph="1">
        <v>4351</v>
      </c>
      <c r="U254" s="16" t="s" ph="1">
        <v>706</v>
      </c>
      <c r="V254" s="17" ph="1">
        <v>2060</v>
      </c>
    </row>
    <row r="255" spans="1:25" ht="22.5" customHeight="1" ph="1" x14ac:dyDescent="0.35">
      <c r="C255" s="13" t="s" ph="1">
        <v>707</v>
      </c>
      <c r="G255" s="13" t="s" ph="1">
        <v>2005</v>
      </c>
      <c r="H255" s="13" t="s" ph="1">
        <v>2007</v>
      </c>
      <c r="I255" s="13" t="s" ph="1">
        <v>4352</v>
      </c>
      <c r="M255" s="14" t="str" ph="1">
        <f>IFERROR(INDEX([1]!_born[生没年],
MATCH(I255,[1]!_born[作],0)),"")</f>
        <v/>
      </c>
      <c r="N255" s="14" t="str" ph="1">
        <f>IFERROR(INDEX([1]!_born[生没年],
MATCH(K255,[1]!_born[作],0)),"")</f>
        <v/>
      </c>
      <c r="O255" s="13" t="s" ph="1">
        <v>156</v>
      </c>
      <c r="S255" s="13" t="s" ph="1">
        <v>4352</v>
      </c>
      <c r="T255" s="13" t="s" ph="1">
        <v>3768</v>
      </c>
      <c r="U255" s="16" t="s" ph="1">
        <v>706</v>
      </c>
      <c r="V255" s="17" ph="1">
        <v>1009</v>
      </c>
    </row>
    <row r="256" spans="1:25" ht="22.5" customHeight="1" ph="1" x14ac:dyDescent="0.35">
      <c r="C256" s="13" t="s" ph="1">
        <v>707</v>
      </c>
      <c r="G256" s="13" t="s" ph="1">
        <v>2005</v>
      </c>
      <c r="H256" s="13" t="s" ph="1">
        <v>2007</v>
      </c>
      <c r="I256" s="13" t="s" ph="1">
        <v>4353</v>
      </c>
      <c r="M256" s="14" t="str" ph="1">
        <f>IFERROR(INDEX([1]!_born[生没年],
MATCH(I256,[1]!_born[作],0)),"")</f>
        <v/>
      </c>
      <c r="N256" s="14" t="str" ph="1">
        <f>IFERROR(INDEX([1]!_born[生没年],
MATCH(K256,[1]!_born[作],0)),"")</f>
        <v/>
      </c>
      <c r="O256" s="13" t="s" ph="1">
        <v>4354</v>
      </c>
      <c r="R256" s="16" t="s" ph="1">
        <v>2008</v>
      </c>
      <c r="S256" s="13" t="s" ph="1">
        <v>4355</v>
      </c>
      <c r="T256" s="13" t="s" ph="1">
        <v>4356</v>
      </c>
      <c r="U256" s="16" t="s" ph="1">
        <v>706</v>
      </c>
      <c r="V256" s="17" ph="1">
        <v>1300</v>
      </c>
    </row>
    <row r="257" spans="1:25" ht="22.5" customHeight="1" ph="1" x14ac:dyDescent="0.35">
      <c r="A257" s="106" t="s" ph="1">
        <v>2606</v>
      </c>
      <c r="B257" s="5" t="s" ph="1">
        <v>1725</v>
      </c>
      <c r="C257" s="13" t="s" ph="1">
        <v>25</v>
      </c>
      <c r="G257" s="13" t="s" ph="1">
        <v>1260</v>
      </c>
      <c r="H257" s="13" t="s" ph="1">
        <v>130</v>
      </c>
      <c r="I257" s="13" t="s" ph="1">
        <v>4357</v>
      </c>
      <c r="M257" s="14" t="str" ph="1">
        <f>IFERROR(INDEX([1]!_born[生没年],
MATCH(I257,[1]!_born[作],0)),"")</f>
        <v/>
      </c>
      <c r="N257" s="14" t="str" ph="1">
        <f>IFERROR(INDEX([1]!_born[生没年],
MATCH(K257,[1]!_born[作],0)),"")</f>
        <v/>
      </c>
      <c r="O257" s="13" t="s" ph="1">
        <v>4358</v>
      </c>
      <c r="R257" s="16" ph="1">
        <v>40481</v>
      </c>
      <c r="T257" s="13" t="s" ph="1">
        <v>4359</v>
      </c>
      <c r="U257" s="16" ph="1">
        <v>40978</v>
      </c>
      <c r="V257" s="17" ph="1">
        <f>1800*1.05</f>
        <v>1890</v>
      </c>
      <c r="W257" s="17" ph="1">
        <v>0</v>
      </c>
      <c r="X257" s="13" t="s" ph="1">
        <v>4360</v>
      </c>
      <c r="Y257" s="13" t="s" ph="1">
        <v>4361</v>
      </c>
    </row>
    <row r="258" spans="1:25" s="19" customFormat="1" ht="22.5" customHeight="1" ph="1" x14ac:dyDescent="0.35">
      <c r="A258" s="107" ph="1"/>
      <c r="B258" s="18" ph="1"/>
      <c r="C258" s="19" t="s" ph="1">
        <v>707</v>
      </c>
      <c r="D258" s="124" ph="1"/>
      <c r="E258" s="124" ph="1"/>
      <c r="G258" s="19" t="s" ph="1">
        <v>2009</v>
      </c>
      <c r="H258" s="19" t="s" ph="1">
        <v>709</v>
      </c>
      <c r="I258" s="19" t="s" ph="1">
        <v>4362</v>
      </c>
      <c r="M258" s="14" t="str" ph="1">
        <f>IFERROR(INDEX([1]!_born[生没年],
MATCH(I258,[1]!_born[作],0)),"")</f>
        <v/>
      </c>
      <c r="N258" s="27" t="str" ph="1">
        <f>IFERROR(INDEX([1]!_born[生没年],
MATCH(K258,[1]!_born[作],0)),"")</f>
        <v/>
      </c>
      <c r="O258" s="23" t="s" ph="1">
        <v>4363</v>
      </c>
      <c r="R258" s="20" ph="1"/>
      <c r="S258" s="19" t="s" ph="1">
        <v>2010</v>
      </c>
      <c r="T258" s="19" t="s" ph="1">
        <v>384</v>
      </c>
      <c r="U258" s="20" t="s" ph="1">
        <v>706</v>
      </c>
      <c r="V258" s="21" ph="1">
        <v>2060</v>
      </c>
      <c r="W258" s="21" ph="1"/>
      <c r="Y258" s="19" t="s" ph="1">
        <v>4364</v>
      </c>
    </row>
    <row r="259" spans="1:25" ht="22.5" customHeight="1" ph="1" x14ac:dyDescent="0.35">
      <c r="C259" s="13" t="s" ph="1">
        <v>707</v>
      </c>
      <c r="G259" s="13" t="s" ph="1">
        <v>2009</v>
      </c>
      <c r="H259" s="13" t="s" ph="1">
        <v>709</v>
      </c>
      <c r="I259" s="13" t="s" ph="1">
        <v>4365</v>
      </c>
      <c r="K259" s="13" t="s" ph="1">
        <v>4366</v>
      </c>
      <c r="L259" s="13" t="s" ph="1">
        <v>3628</v>
      </c>
      <c r="M259" s="14" t="str" ph="1">
        <f>IFERROR(INDEX([1]!_born[生没年],
MATCH(I259,[1]!_born[作],0)),"")</f>
        <v/>
      </c>
      <c r="N259" s="14" t="str" ph="1">
        <f>IFERROR(INDEX([1]!_born[生没年],
MATCH(K259,[1]!_born[作],0)),"")</f>
        <v/>
      </c>
      <c r="O259" s="13" t="s" ph="1">
        <v>4367</v>
      </c>
      <c r="T259" s="13" t="s" ph="1">
        <v>384</v>
      </c>
      <c r="U259" s="16" t="s" ph="1">
        <v>706</v>
      </c>
      <c r="V259" s="17" ph="1">
        <v>3200</v>
      </c>
    </row>
    <row r="260" spans="1:25" ht="22.5" customHeight="1" ph="1" x14ac:dyDescent="0.35">
      <c r="C260" s="13" t="s" ph="1">
        <v>707</v>
      </c>
      <c r="G260" s="13" t="s" ph="1">
        <v>2009</v>
      </c>
      <c r="H260" s="13" t="s" ph="1">
        <v>709</v>
      </c>
      <c r="I260" s="13" t="s" ph="1">
        <v>4368</v>
      </c>
      <c r="M260" s="14" t="str" ph="1">
        <f>IFERROR(INDEX([1]!_born[生没年],
MATCH(I260,[1]!_born[作],0)),"")</f>
        <v/>
      </c>
      <c r="N260" s="14" t="str" ph="1">
        <f>IFERROR(INDEX([1]!_born[生没年],
MATCH(K260,[1]!_born[作],0)),"")</f>
        <v/>
      </c>
      <c r="O260" s="13" t="s" ph="1">
        <v>4369</v>
      </c>
      <c r="T260" s="13" t="s" ph="1">
        <v>4370</v>
      </c>
      <c r="U260" s="16" t="s" ph="1">
        <v>706</v>
      </c>
      <c r="V260" s="17" ph="1">
        <v>1200</v>
      </c>
      <c r="W260" s="17" ph="1">
        <v>600</v>
      </c>
    </row>
    <row r="261" spans="1:25" ht="22.5" customHeight="1" ph="1" x14ac:dyDescent="0.35">
      <c r="C261" s="13" t="s" ph="1">
        <v>707</v>
      </c>
      <c r="G261" s="13" t="s" ph="1">
        <v>2009</v>
      </c>
      <c r="H261" s="13" t="s" ph="1">
        <v>709</v>
      </c>
      <c r="I261" s="13" t="s" ph="1">
        <v>4371</v>
      </c>
      <c r="M261" s="14" t="str" ph="1">
        <f>IFERROR(INDEX([1]!_born[生没年],
MATCH(I261,[1]!_born[作],0)),"")</f>
        <v/>
      </c>
      <c r="N261" s="14" t="str" ph="1">
        <f>IFERROR(INDEX([1]!_born[生没年],
MATCH(K261,[1]!_born[作],0)),"")</f>
        <v/>
      </c>
      <c r="O261" s="13" t="s" ph="1">
        <v>4372</v>
      </c>
      <c r="T261" s="13" t="s" ph="1">
        <v>4373</v>
      </c>
      <c r="U261" s="16" t="s" ph="1">
        <v>706</v>
      </c>
    </row>
    <row r="262" spans="1:25" ht="22.5" customHeight="1" ph="1" x14ac:dyDescent="0.35">
      <c r="C262" s="13" t="s" ph="1">
        <v>707</v>
      </c>
      <c r="G262" s="13" t="s" ph="1">
        <v>2009</v>
      </c>
      <c r="H262" s="13" t="s" ph="1">
        <v>1125</v>
      </c>
      <c r="I262" s="13" t="s" ph="1">
        <v>4374</v>
      </c>
      <c r="M262" s="14" t="str" ph="1">
        <f>IFERROR(INDEX([1]!_born[生没年],
MATCH(I262,[1]!_born[作],0)),"")</f>
        <v/>
      </c>
      <c r="N262" s="14" t="str" ph="1">
        <f>IFERROR(INDEX([1]!_born[生没年],
MATCH(K262,[1]!_born[作],0)),"")</f>
        <v/>
      </c>
      <c r="O262" s="13" t="s" ph="1">
        <v>4375</v>
      </c>
      <c r="R262" s="16" t="s" ph="1">
        <v>743</v>
      </c>
      <c r="T262" s="13" t="s" ph="1">
        <v>4376</v>
      </c>
      <c r="V262" s="17" ph="1">
        <f>1900*1.05</f>
        <v>1995</v>
      </c>
    </row>
    <row r="263" spans="1:25" ht="22.5" customHeight="1" ph="1" x14ac:dyDescent="0.35">
      <c r="C263" s="13" t="s" ph="1">
        <v>707</v>
      </c>
      <c r="G263" s="13" t="s" ph="1">
        <v>2005</v>
      </c>
      <c r="H263" s="13" t="s" ph="1">
        <v>2011</v>
      </c>
      <c r="I263" s="13" t="s" ph="1">
        <v>4377</v>
      </c>
      <c r="M263" s="14" t="str" ph="1">
        <f>IFERROR(INDEX([1]!_born[生没年],
MATCH(I263,[1]!_born[作],0)),"")</f>
        <v/>
      </c>
      <c r="N263" s="14" t="str" ph="1">
        <f>IFERROR(INDEX([1]!_born[生没年],
MATCH(K263,[1]!_born[作],0)),"")</f>
        <v/>
      </c>
      <c r="O263" s="13" t="s" ph="1">
        <v>4378</v>
      </c>
      <c r="R263" s="16" t="s" ph="1">
        <v>987</v>
      </c>
      <c r="T263" s="13" t="s" ph="1">
        <v>4376</v>
      </c>
      <c r="V263" s="17" ph="1">
        <v>1854</v>
      </c>
    </row>
    <row r="264" spans="1:25" ht="22.5" customHeight="1" ph="1" x14ac:dyDescent="0.35">
      <c r="A264" s="106" t="s" ph="1">
        <v>2785</v>
      </c>
      <c r="B264" s="5" t="s" ph="1">
        <v>2786</v>
      </c>
      <c r="C264" s="13" t="s" ph="1">
        <v>25</v>
      </c>
      <c r="G264" s="13" t="s" ph="1">
        <v>1260</v>
      </c>
      <c r="H264" s="13" t="s" ph="1">
        <v>43</v>
      </c>
      <c r="I264" s="13" t="s" ph="1">
        <v>4379</v>
      </c>
      <c r="M264" s="14" t="str" ph="1">
        <f>IFERROR(INDEX([1]!_born[生没年],
MATCH(I264,[1]!_born[作],0)),"")</f>
        <v/>
      </c>
      <c r="N264" s="14" t="str" ph="1">
        <f>IFERROR(INDEX([1]!_born[生没年],
MATCH(K264,[1]!_born[作],0)),"")</f>
        <v/>
      </c>
      <c r="O264" s="13" t="s" ph="1">
        <v>4380</v>
      </c>
      <c r="R264" s="16" ph="1">
        <v>31031</v>
      </c>
      <c r="T264" s="13" t="s" ph="1">
        <v>4119</v>
      </c>
      <c r="V264" s="17" ph="1">
        <v>1400</v>
      </c>
      <c r="W264" s="17" ph="1">
        <v>400</v>
      </c>
      <c r="X264" s="13" t="s" ph="1">
        <v>3792</v>
      </c>
    </row>
    <row r="265" spans="1:25" ht="22.5" customHeight="1" ph="1" x14ac:dyDescent="0.35">
      <c r="A265" s="106" t="s" ph="1">
        <v>2012</v>
      </c>
      <c r="C265" s="13" t="s" ph="1">
        <v>707</v>
      </c>
      <c r="G265" s="13" t="s" ph="1">
        <v>2005</v>
      </c>
      <c r="H265" s="13" t="s" ph="1">
        <v>709</v>
      </c>
      <c r="I265" s="13" t="s" ph="1">
        <v>4381</v>
      </c>
      <c r="J265" s="13" t="s" ph="1">
        <v>4382</v>
      </c>
      <c r="M265" s="14" t="str" ph="1">
        <f>IFERROR(INDEX([1]!_born[生没年],
MATCH(I265,[1]!_born[作],0)),"")</f>
        <v/>
      </c>
      <c r="N265" s="14" t="str" ph="1">
        <f>IFERROR(INDEX([1]!_born[生没年],
MATCH(K265,[1]!_born[作],0)),"")</f>
        <v/>
      </c>
      <c r="O265" s="13" t="s" ph="1">
        <v>4383</v>
      </c>
      <c r="R265" s="16" t="s" ph="1">
        <v>1514</v>
      </c>
      <c r="S265" s="13" t="s" ph="1">
        <v>4384</v>
      </c>
      <c r="T265" s="13" t="s" ph="1">
        <v>4385</v>
      </c>
      <c r="V265" s="17" ph="1">
        <v>4500</v>
      </c>
      <c r="W265" s="17" ph="1">
        <v>1000</v>
      </c>
      <c r="X265" s="13" t="s" ph="1">
        <v>4386</v>
      </c>
    </row>
    <row r="266" spans="1:25" ht="22.5" customHeight="1" ph="1" x14ac:dyDescent="0.35">
      <c r="A266" s="106" t="s" ph="1">
        <v>2498</v>
      </c>
      <c r="B266" s="5" t="s" ph="1">
        <v>1725</v>
      </c>
      <c r="C266" s="13" t="s" ph="1">
        <v>2494</v>
      </c>
      <c r="G266" s="13" t="s" ph="1">
        <v>1260</v>
      </c>
      <c r="H266" s="13" t="s" ph="1">
        <v>2495</v>
      </c>
      <c r="I266" s="13" t="s" ph="1">
        <v>2496</v>
      </c>
      <c r="K266" s="13" t="s" ph="1">
        <v>4387</v>
      </c>
      <c r="L266" s="13" t="s" ph="1">
        <v>4049</v>
      </c>
      <c r="M266" s="14" t="str" ph="1">
        <f>IFERROR(INDEX([1]!_born[生没年],
MATCH(I266,[1]!_born[作],0)),"")</f>
        <v/>
      </c>
      <c r="N266" s="14" t="str" ph="1">
        <f>IFERROR(INDEX([1]!_born[生没年],
MATCH(K266,[1]!_born[作],0)),"")</f>
        <v/>
      </c>
      <c r="O266" s="13" t="s" ph="1">
        <v>2497</v>
      </c>
      <c r="R266" s="16" ph="1">
        <v>40167</v>
      </c>
      <c r="S266" s="13" t="s">
        <v>2501</v>
      </c>
      <c r="T266" s="13" t="s" ph="1">
        <v>2500</v>
      </c>
      <c r="U266" s="16" ph="1">
        <v>36807</v>
      </c>
      <c r="V266" s="17" ph="1">
        <v>2000</v>
      </c>
      <c r="W266" s="17" ph="1">
        <v>2000</v>
      </c>
      <c r="X266" s="13" t="s">
        <v>4388</v>
      </c>
      <c r="Y266" s="13" t="s" ph="1">
        <v>2499</v>
      </c>
    </row>
    <row r="267" spans="1:25" ht="22.5" customHeight="1" ph="1" x14ac:dyDescent="0.35">
      <c r="A267" s="106" t="s" ph="1">
        <v>2789</v>
      </c>
      <c r="B267" s="5" t="s" ph="1">
        <v>1725</v>
      </c>
      <c r="C267" s="13" t="s" ph="1">
        <v>25</v>
      </c>
      <c r="G267" s="13" t="s" ph="1">
        <v>1260</v>
      </c>
      <c r="H267" s="13" t="s" ph="1">
        <v>43</v>
      </c>
      <c r="I267" s="13" t="s" ph="1">
        <v>2790</v>
      </c>
      <c r="K267" s="13" t="s" ph="1">
        <v>4389</v>
      </c>
      <c r="L267" s="13" t="s" ph="1">
        <v>4390</v>
      </c>
      <c r="M267" s="14" t="str" ph="1">
        <f>IFERROR(INDEX([1]!_born[生没年],
MATCH(I267,[1]!_born[作],0)),"")</f>
        <v/>
      </c>
      <c r="N267" s="14" t="str" ph="1">
        <f>IFERROR(INDEX([1]!_born[生没年],
MATCH(K267,[1]!_born[作],0)),"")</f>
        <v/>
      </c>
      <c r="O267" s="13" t="s" ph="1">
        <v>4391</v>
      </c>
      <c r="R267" s="16" ph="1">
        <v>41180</v>
      </c>
      <c r="S267" s="13" t="s" ph="1">
        <v>2791</v>
      </c>
      <c r="T267" s="13" t="s" ph="1">
        <v>2792</v>
      </c>
      <c r="U267" s="16" ph="1">
        <v>41808</v>
      </c>
      <c r="V267" s="17" ph="1">
        <f>1800*1.08</f>
        <v>1944.0000000000002</v>
      </c>
      <c r="W267" s="17" ph="1">
        <f>1800*1.08</f>
        <v>1944.0000000000002</v>
      </c>
      <c r="X267" s="13" t="s" ph="1">
        <v>2793</v>
      </c>
    </row>
    <row r="268" spans="1:25" ht="22.5" customHeight="1" ph="1" x14ac:dyDescent="0.35">
      <c r="C268" s="13" t="s" ph="1">
        <v>707</v>
      </c>
      <c r="G268" s="13" t="s" ph="1">
        <v>2005</v>
      </c>
      <c r="H268" s="13" t="s" ph="1">
        <v>709</v>
      </c>
      <c r="I268" s="13" t="s" ph="1">
        <v>228</v>
      </c>
      <c r="K268" s="13" t="s" ph="1">
        <v>4392</v>
      </c>
      <c r="L268" s="13" t="s" ph="1">
        <v>3628</v>
      </c>
      <c r="M268" s="14" t="str" ph="1">
        <f>IFERROR(INDEX([1]!_born[生没年],
MATCH(I268,[1]!_born[作],0)),"")</f>
        <v/>
      </c>
      <c r="N268" s="14" t="str" ph="1">
        <f>IFERROR(INDEX([1]!_born[生没年],
MATCH(K268,[1]!_born[作],0)),"")</f>
        <v/>
      </c>
      <c r="O268" s="13" t="s" ph="1">
        <v>626</v>
      </c>
      <c r="R268" s="16" t="s" ph="1">
        <v>745</v>
      </c>
      <c r="T268" s="13" t="s" ph="1">
        <v>4393</v>
      </c>
      <c r="U268" s="16" ph="1">
        <v>36807</v>
      </c>
      <c r="V268" s="17" ph="1">
        <v>3400</v>
      </c>
      <c r="W268" s="17" ph="1">
        <v>2400</v>
      </c>
      <c r="X268" s="13" t="s" ph="1">
        <v>4394</v>
      </c>
    </row>
    <row r="269" spans="1:25" ht="22.5" customHeight="1" ph="1" x14ac:dyDescent="0.35">
      <c r="C269" s="13" t="s" ph="1">
        <v>707</v>
      </c>
      <c r="G269" s="13" t="s" ph="1">
        <v>2005</v>
      </c>
      <c r="H269" s="13" t="s" ph="1">
        <v>716</v>
      </c>
      <c r="I269" s="13" t="s" ph="1">
        <v>4395</v>
      </c>
      <c r="M269" s="14" t="str" ph="1">
        <f>IFERROR(INDEX([1]!_born[生没年],
MATCH(I269,[1]!_born[作],0)),"")</f>
        <v/>
      </c>
      <c r="N269" s="14" t="str" ph="1">
        <f>IFERROR(INDEX([1]!_born[生没年],
MATCH(K269,[1]!_born[作],0)),"")</f>
        <v/>
      </c>
      <c r="O269" s="13" t="s" ph="1">
        <v>4396</v>
      </c>
      <c r="R269" s="16" t="s" ph="1">
        <v>1005</v>
      </c>
      <c r="T269" s="13" t="s" ph="1">
        <v>4397</v>
      </c>
    </row>
    <row r="270" spans="1:25" ht="22.5" customHeight="1" ph="1" x14ac:dyDescent="0.35">
      <c r="C270" s="13" t="s" ph="1">
        <v>707</v>
      </c>
      <c r="G270" s="13" t="s" ph="1">
        <v>2005</v>
      </c>
      <c r="H270" s="13" t="s" ph="1">
        <v>716</v>
      </c>
      <c r="I270" s="13" t="s" ph="1">
        <v>4398</v>
      </c>
      <c r="M270" s="14" t="str" ph="1">
        <f>IFERROR(INDEX([1]!_born[生没年],
MATCH(I270,[1]!_born[作],0)),"")</f>
        <v/>
      </c>
      <c r="N270" s="14" t="str" ph="1">
        <f>IFERROR(INDEX([1]!_born[生没年],
MATCH(K270,[1]!_born[作],0)),"")</f>
        <v/>
      </c>
      <c r="O270" s="13" t="s" ph="1">
        <v>4399</v>
      </c>
      <c r="R270" s="16" t="s" ph="1">
        <v>800</v>
      </c>
      <c r="T270" s="13" t="s" ph="1">
        <v>3926</v>
      </c>
      <c r="V270" s="17" ph="1">
        <v>1500</v>
      </c>
    </row>
    <row r="271" spans="1:25" ht="22.5" customHeight="1" ph="1" x14ac:dyDescent="0.35">
      <c r="C271" s="13" t="s" ph="1">
        <v>707</v>
      </c>
      <c r="G271" s="13" t="s" ph="1">
        <v>2005</v>
      </c>
      <c r="H271" s="13" t="s" ph="1">
        <v>716</v>
      </c>
      <c r="I271" s="13" t="s" ph="1">
        <v>4400</v>
      </c>
      <c r="M271" s="14" t="str" ph="1">
        <f>IFERROR(INDEX([1]!_born[生没年],
MATCH(I271,[1]!_born[作],0)),"")</f>
        <v/>
      </c>
      <c r="N271" s="14" t="str" ph="1">
        <f>IFERROR(INDEX([1]!_born[生没年],
MATCH(K271,[1]!_born[作],0)),"")</f>
        <v/>
      </c>
      <c r="O271" s="13" t="s" ph="1">
        <v>4401</v>
      </c>
      <c r="R271" s="16" t="s" ph="1">
        <v>915</v>
      </c>
      <c r="T271" s="13" t="s" ph="1">
        <v>4402</v>
      </c>
      <c r="V271" s="17" ph="1">
        <v>960</v>
      </c>
    </row>
    <row r="272" spans="1:25" ht="22.5" customHeight="1" ph="1" x14ac:dyDescent="0.35">
      <c r="C272" s="13" t="s" ph="1">
        <v>707</v>
      </c>
      <c r="G272" s="13" t="s" ph="1">
        <v>2005</v>
      </c>
      <c r="H272" s="13" t="s" ph="1">
        <v>716</v>
      </c>
      <c r="I272" s="13" t="s" ph="1">
        <v>4403</v>
      </c>
      <c r="M272" s="14" t="str" ph="1">
        <f>IFERROR(INDEX([1]!_born[生没年],
MATCH(I272,[1]!_born[作],0)),"")</f>
        <v/>
      </c>
      <c r="N272" s="14" t="str" ph="1">
        <f>IFERROR(INDEX([1]!_born[生没年],
MATCH(K272,[1]!_born[作],0)),"")</f>
        <v/>
      </c>
      <c r="O272" s="13" t="s" ph="1">
        <v>4404</v>
      </c>
      <c r="R272" s="16" t="s" ph="1">
        <v>988</v>
      </c>
      <c r="T272" s="13" t="s" ph="1">
        <v>4405</v>
      </c>
      <c r="V272" s="17" ph="1">
        <v>1600</v>
      </c>
    </row>
    <row r="273" spans="1:25" ht="22.5" customHeight="1" ph="1" x14ac:dyDescent="0.35">
      <c r="C273" s="13" t="s" ph="1">
        <v>707</v>
      </c>
      <c r="G273" s="13" t="s" ph="1">
        <v>2005</v>
      </c>
      <c r="H273" s="13" t="s" ph="1">
        <v>716</v>
      </c>
      <c r="I273" s="13" t="s" ph="1">
        <v>4406</v>
      </c>
      <c r="M273" s="14" t="str" ph="1">
        <f>IFERROR(INDEX([1]!_born[生没年],
MATCH(I273,[1]!_born[作],0)),"")</f>
        <v/>
      </c>
      <c r="N273" s="14" t="str" ph="1">
        <f>IFERROR(INDEX([1]!_born[生没年],
MATCH(K273,[1]!_born[作],0)),"")</f>
        <v/>
      </c>
      <c r="O273" s="13" t="s" ph="1">
        <v>4407</v>
      </c>
      <c r="R273" s="16" t="s" ph="1">
        <v>988</v>
      </c>
      <c r="T273" s="13" t="s" ph="1">
        <v>4408</v>
      </c>
      <c r="V273" s="17" ph="1">
        <v>1400</v>
      </c>
    </row>
    <row r="274" spans="1:25" ht="22.5" customHeight="1" ph="1" x14ac:dyDescent="0.35">
      <c r="C274" s="13" t="s" ph="1">
        <v>707</v>
      </c>
      <c r="G274" s="13" t="s" ph="1">
        <v>2005</v>
      </c>
      <c r="H274" s="13" t="s" ph="1">
        <v>716</v>
      </c>
      <c r="I274" s="13" t="s" ph="1">
        <v>4406</v>
      </c>
      <c r="M274" s="14" t="str" ph="1">
        <f>IFERROR(INDEX([1]!_born[生没年],
MATCH(I274,[1]!_born[作],0)),"")</f>
        <v/>
      </c>
      <c r="N274" s="14" t="str" ph="1">
        <f>IFERROR(INDEX([1]!_born[生没年],
MATCH(K274,[1]!_born[作],0)),"")</f>
        <v/>
      </c>
      <c r="O274" s="13" t="s" ph="1">
        <v>4409</v>
      </c>
      <c r="R274" s="16" t="s" ph="1">
        <v>930</v>
      </c>
      <c r="T274" s="13" t="s" ph="1">
        <v>4393</v>
      </c>
      <c r="V274" s="17" ph="1">
        <v>1800</v>
      </c>
    </row>
    <row r="275" spans="1:25" ht="22.5" customHeight="1" ph="1" x14ac:dyDescent="0.35">
      <c r="C275" s="13" t="s" ph="1">
        <v>707</v>
      </c>
      <c r="G275" s="13" t="s" ph="1">
        <v>2005</v>
      </c>
      <c r="H275" s="13" t="s" ph="1">
        <v>716</v>
      </c>
      <c r="I275" s="13" t="s" ph="1">
        <v>4406</v>
      </c>
      <c r="M275" s="14" t="str" ph="1">
        <f>IFERROR(INDEX([1]!_born[生没年],
MATCH(I275,[1]!_born[作],0)),"")</f>
        <v/>
      </c>
      <c r="N275" s="14" t="str" ph="1">
        <f>IFERROR(INDEX([1]!_born[生没年],
MATCH(K275,[1]!_born[作],0)),"")</f>
        <v/>
      </c>
      <c r="O275" s="13" t="s" ph="1">
        <v>4410</v>
      </c>
      <c r="R275" s="16" t="s" ph="1">
        <v>766</v>
      </c>
      <c r="T275" s="13" t="s" ph="1">
        <v>4393</v>
      </c>
      <c r="V275" s="17" ph="1">
        <v>1500</v>
      </c>
    </row>
    <row r="276" spans="1:25" ht="22.5" customHeight="1" ph="1" x14ac:dyDescent="0.35">
      <c r="C276" s="13" t="s" ph="1">
        <v>2013</v>
      </c>
      <c r="G276" s="13" t="s" ph="1">
        <v>2005</v>
      </c>
      <c r="H276" s="13" t="s" ph="1">
        <v>716</v>
      </c>
      <c r="I276" s="13" t="s" ph="1">
        <v>4411</v>
      </c>
      <c r="M276" s="14" t="str" ph="1">
        <f>IFERROR(INDEX([1]!_born[生没年],
MATCH(I276,[1]!_born[作],0)),"")</f>
        <v/>
      </c>
      <c r="N276" s="14" t="str" ph="1">
        <f>IFERROR(INDEX([1]!_born[生没年],
MATCH(K276,[1]!_born[作],0)),"")</f>
        <v/>
      </c>
      <c r="O276" s="13" t="s" ph="1">
        <v>4412</v>
      </c>
      <c r="R276" s="16" t="s" ph="1">
        <v>1005</v>
      </c>
      <c r="S276" s="13" t="s" ph="1">
        <v>4413</v>
      </c>
      <c r="T276" s="13" t="s" ph="1">
        <v>4414</v>
      </c>
      <c r="V276" s="17" ph="1">
        <v>2500</v>
      </c>
    </row>
    <row r="277" spans="1:25" ht="22.5" customHeight="1" ph="1" x14ac:dyDescent="0.35">
      <c r="C277" s="13" t="s" ph="1">
        <v>2013</v>
      </c>
      <c r="G277" s="13" t="s" ph="1">
        <v>2005</v>
      </c>
      <c r="H277" s="13" t="s" ph="1">
        <v>716</v>
      </c>
      <c r="I277" s="13" t="s" ph="1">
        <v>538</v>
      </c>
      <c r="M277" s="14" t="str" ph="1">
        <f>IFERROR(INDEX([1]!_born[生没年],
MATCH(I277,[1]!_born[作],0)),"")</f>
        <v/>
      </c>
      <c r="N277" s="14" t="str" ph="1">
        <f>IFERROR(INDEX([1]!_born[生没年],
MATCH(K277,[1]!_born[作],0)),"")</f>
        <v/>
      </c>
      <c r="O277" s="13" t="s" ph="1">
        <v>4415</v>
      </c>
      <c r="R277" s="16" t="s" ph="1">
        <v>1005</v>
      </c>
      <c r="S277" s="13" t="s" ph="1">
        <v>4416</v>
      </c>
      <c r="T277" s="13" t="s" ph="1">
        <v>4414</v>
      </c>
      <c r="V277" s="17" ph="1">
        <v>2500</v>
      </c>
    </row>
    <row r="278" spans="1:25" ht="22.5" customHeight="1" ph="1" x14ac:dyDescent="0.35">
      <c r="C278" s="13" t="s" ph="1">
        <v>707</v>
      </c>
      <c r="G278" s="13" t="s" ph="1">
        <v>2005</v>
      </c>
      <c r="H278" s="13" t="s" ph="1">
        <v>716</v>
      </c>
      <c r="I278" s="13" t="s" ph="1">
        <v>4417</v>
      </c>
      <c r="M278" s="14" t="str" ph="1">
        <f>IFERROR(INDEX([1]!_born[生没年],
MATCH(I278,[1]!_born[作],0)),"")</f>
        <v/>
      </c>
      <c r="N278" s="14" t="str" ph="1">
        <f>IFERROR(INDEX([1]!_born[生没年],
MATCH(K278,[1]!_born[作],0)),"")</f>
        <v/>
      </c>
      <c r="O278" s="13" t="s" ph="1">
        <v>4418</v>
      </c>
      <c r="R278" s="16" t="s" ph="1">
        <v>927</v>
      </c>
      <c r="T278" s="13" t="s" ph="1">
        <v>4393</v>
      </c>
      <c r="V278" s="17" ph="1">
        <v>1990</v>
      </c>
    </row>
    <row r="279" spans="1:25" ht="22.5" customHeight="1" ph="1" x14ac:dyDescent="0.35">
      <c r="C279" s="13" t="s" ph="1">
        <v>707</v>
      </c>
      <c r="G279" s="13" t="s" ph="1">
        <v>2005</v>
      </c>
      <c r="H279" s="13" t="s" ph="1">
        <v>716</v>
      </c>
      <c r="I279" s="13" t="s" ph="1">
        <v>4419</v>
      </c>
      <c r="M279" s="14" t="str" ph="1">
        <f>IFERROR(INDEX([1]!_born[生没年],
MATCH(I279,[1]!_born[作],0)),"")</f>
        <v/>
      </c>
      <c r="N279" s="14" t="str" ph="1">
        <f>IFERROR(INDEX([1]!_born[生没年],
MATCH(K279,[1]!_born[作],0)),"")</f>
        <v/>
      </c>
      <c r="O279" s="13" t="s" ph="1">
        <v>288</v>
      </c>
      <c r="R279" s="16" t="s" ph="1">
        <v>1488</v>
      </c>
      <c r="T279" s="13" t="s" ph="1">
        <v>4420</v>
      </c>
      <c r="V279" s="17" ph="1">
        <v>2700</v>
      </c>
    </row>
    <row r="280" spans="1:25" ht="22.5" customHeight="1" ph="1" x14ac:dyDescent="0.35">
      <c r="C280" s="13" t="s" ph="1">
        <v>2013</v>
      </c>
      <c r="G280" s="13" t="s" ph="1">
        <v>2005</v>
      </c>
      <c r="H280" s="13" t="s" ph="1">
        <v>716</v>
      </c>
      <c r="I280" s="13" t="s" ph="1">
        <v>4421</v>
      </c>
      <c r="M280" s="14" t="str" ph="1">
        <f>IFERROR(INDEX([1]!_born[生没年],
MATCH(I280,[1]!_born[作],0)),"")</f>
        <v/>
      </c>
      <c r="N280" s="14" t="str" ph="1">
        <f>IFERROR(INDEX([1]!_born[生没年],
MATCH(K280,[1]!_born[作],0)),"")</f>
        <v/>
      </c>
      <c r="O280" s="13" t="s" ph="1">
        <v>4422</v>
      </c>
      <c r="T280" s="13" t="s" ph="1">
        <v>2014</v>
      </c>
      <c r="V280" s="17" ph="1">
        <f>1000*1.05</f>
        <v>1050</v>
      </c>
    </row>
    <row r="281" spans="1:25" ht="22.5" customHeight="1" ph="1" x14ac:dyDescent="0.35">
      <c r="C281" s="13" t="s" ph="1">
        <v>707</v>
      </c>
      <c r="G281" s="13" t="s" ph="1">
        <v>2015</v>
      </c>
      <c r="H281" s="13" t="s" ph="1">
        <v>4423</v>
      </c>
      <c r="I281" s="13" t="s" ph="1">
        <v>4424</v>
      </c>
      <c r="K281" s="13" t="s" ph="1">
        <v>4425</v>
      </c>
      <c r="L281" s="13" t="s" ph="1">
        <v>2016</v>
      </c>
      <c r="M281" s="14" t="str" ph="1">
        <f>IFERROR(INDEX([1]!_born[生没年],
MATCH(I281,[1]!_born[作],0)),"")</f>
        <v/>
      </c>
      <c r="N281" s="14" t="str" ph="1">
        <f>IFERROR(INDEX([1]!_born[生没年],
MATCH(K281,[1]!_born[作],0)),"")</f>
        <v/>
      </c>
      <c r="O281" s="13" t="s" ph="1">
        <v>4426</v>
      </c>
      <c r="S281" s="13" t="s" ph="1">
        <v>4427</v>
      </c>
      <c r="T281" s="13" t="s" ph="1">
        <v>4428</v>
      </c>
      <c r="U281" s="16" t="s" ph="1">
        <v>706</v>
      </c>
      <c r="V281" s="17" ph="1">
        <v>1442</v>
      </c>
      <c r="W281" s="17" ph="1">
        <v>1442</v>
      </c>
    </row>
    <row r="282" spans="1:25" ht="22.5" customHeight="1" ph="1" x14ac:dyDescent="0.35">
      <c r="A282" s="106" t="s" ph="1">
        <v>2515</v>
      </c>
      <c r="B282" s="5" t="s" ph="1">
        <v>2516</v>
      </c>
      <c r="C282" s="13" t="s" ph="1">
        <v>25</v>
      </c>
      <c r="G282" s="13" t="s" ph="1">
        <v>1260</v>
      </c>
      <c r="H282" s="13" t="s" ph="1">
        <v>61</v>
      </c>
      <c r="I282" s="13" t="s" ph="1">
        <v>4429</v>
      </c>
      <c r="J282" s="13" t="s" ph="1">
        <v>3752</v>
      </c>
      <c r="K282" s="13" t="s" ph="1">
        <v>4430</v>
      </c>
      <c r="L282" s="13" t="s" ph="1">
        <v>3664</v>
      </c>
      <c r="M282" s="14" t="str" ph="1">
        <f>IFERROR(INDEX([1]!_born[生没年],
MATCH(I282,[1]!_born[作],0)),"")</f>
        <v/>
      </c>
      <c r="N282" s="14" t="str" ph="1">
        <f>IFERROR(INDEX([1]!_born[生没年],
MATCH(K282,[1]!_born[作],0)),"")</f>
        <v/>
      </c>
      <c r="O282" s="13" t="s" ph="1">
        <v>4431</v>
      </c>
      <c r="R282" s="16" ph="1">
        <v>36524</v>
      </c>
      <c r="S282" s="13" t="s" ph="1">
        <v>4432</v>
      </c>
      <c r="T282" s="13" t="s" ph="1">
        <v>3739</v>
      </c>
      <c r="U282" s="16" ph="1">
        <v>40503</v>
      </c>
      <c r="V282" s="17" ph="1">
        <f>1600*1.05</f>
        <v>1680</v>
      </c>
      <c r="W282" s="17" ph="1">
        <v>800</v>
      </c>
      <c r="X282" s="13" t="s" ph="1">
        <v>4433</v>
      </c>
    </row>
    <row r="283" spans="1:25" ht="22.5" customHeight="1" ph="1" x14ac:dyDescent="0.35">
      <c r="A283" s="106" t="s" ph="1">
        <v>2517</v>
      </c>
      <c r="B283" s="5" t="s" ph="1">
        <v>2518</v>
      </c>
      <c r="C283" s="13" t="s" ph="1">
        <v>25</v>
      </c>
      <c r="G283" s="13" t="s" ph="1">
        <v>46</v>
      </c>
      <c r="I283" s="13" t="s" ph="1">
        <v>4434</v>
      </c>
      <c r="J283" s="13" t="s" ph="1">
        <v>3664</v>
      </c>
      <c r="M283" s="14" t="str" ph="1">
        <f>IFERROR(INDEX([1]!_born[生没年],
MATCH(I283,[1]!_born[作],0)),"")</f>
        <v/>
      </c>
      <c r="N283" s="14" t="str" ph="1">
        <f>IFERROR(INDEX([1]!_born[生没年],
MATCH(K283,[1]!_born[作],0)),"")</f>
        <v/>
      </c>
      <c r="O283" s="13" t="s" ph="1">
        <v>4435</v>
      </c>
      <c r="R283" s="16" ph="1">
        <v>36356</v>
      </c>
      <c r="T283" s="13" t="s" ph="1">
        <v>4436</v>
      </c>
      <c r="U283" s="16" ph="1">
        <v>40503</v>
      </c>
      <c r="V283" s="17" ph="1">
        <f>1500*1.05</f>
        <v>1575</v>
      </c>
      <c r="W283" s="17" ph="1">
        <v>500</v>
      </c>
      <c r="X283" s="13" t="s" ph="1">
        <v>4433</v>
      </c>
    </row>
    <row r="284" spans="1:25" ht="22.5" customHeight="1" ph="1" x14ac:dyDescent="0.35">
      <c r="C284" s="13" t="s" ph="1">
        <v>707</v>
      </c>
      <c r="G284" s="13" t="s" ph="1">
        <v>708</v>
      </c>
      <c r="I284" s="13" t="s" ph="1">
        <v>4437</v>
      </c>
      <c r="M284" s="14" t="str" ph="1">
        <f>IFERROR(INDEX([1]!_born[生没年],
MATCH(I284,[1]!_born[作],0)),"")</f>
        <v/>
      </c>
      <c r="N284" s="14" t="str" ph="1">
        <f>IFERROR(INDEX([1]!_born[生没年],
MATCH(K284,[1]!_born[作],0)),"")</f>
        <v/>
      </c>
      <c r="O284" s="13" t="s" ph="1">
        <v>4438</v>
      </c>
      <c r="R284" s="16" t="s" ph="1">
        <v>966</v>
      </c>
      <c r="T284" s="13" t="s" ph="1">
        <v>4439</v>
      </c>
      <c r="U284" s="16" ph="1">
        <v>37580</v>
      </c>
      <c r="V284" s="17" ph="1">
        <f>1460*1.05</f>
        <v>1533</v>
      </c>
      <c r="W284" s="17" ph="1">
        <v>450</v>
      </c>
      <c r="X284" s="13" t="s" ph="1">
        <v>3632</v>
      </c>
      <c r="Y284" s="13" t="s" ph="1">
        <v>4440</v>
      </c>
    </row>
    <row r="285" spans="1:25" ht="22.5" customHeight="1" ph="1" x14ac:dyDescent="0.35">
      <c r="C285" s="13" t="s" ph="1">
        <v>707</v>
      </c>
      <c r="G285" s="13" t="s" ph="1">
        <v>708</v>
      </c>
      <c r="H285" s="13" t="s" ph="1">
        <v>709</v>
      </c>
      <c r="I285" s="13" t="s" ph="1">
        <v>229</v>
      </c>
      <c r="K285" s="13" t="s" ph="1">
        <v>4441</v>
      </c>
      <c r="L285" s="13" t="s" ph="1">
        <v>3628</v>
      </c>
      <c r="M285" s="14" t="str" ph="1">
        <f>IFERROR(INDEX([1]!_born[生没年],
MATCH(I285,[1]!_born[作],0)),"")</f>
        <v/>
      </c>
      <c r="N285" s="14" t="str" ph="1">
        <f>IFERROR(INDEX([1]!_born[生没年],
MATCH(K285,[1]!_born[作],0)),"")</f>
        <v/>
      </c>
      <c r="O285" s="13" t="s" ph="1">
        <v>4442</v>
      </c>
      <c r="T285" s="13" t="s" ph="1">
        <v>3772</v>
      </c>
      <c r="U285" s="16" ph="1">
        <v>36471</v>
      </c>
      <c r="V285" s="17" ph="1">
        <f>3600*1.05</f>
        <v>3780</v>
      </c>
      <c r="Y285" s="13" t="s" ph="1">
        <v>4443</v>
      </c>
    </row>
    <row r="286" spans="1:25" ht="22.5" customHeight="1" ph="1" x14ac:dyDescent="0.35">
      <c r="C286" s="13" t="s" ph="1">
        <v>707</v>
      </c>
      <c r="G286" s="13" t="s" ph="1">
        <v>708</v>
      </c>
      <c r="H286" s="13" t="s" ph="1">
        <v>709</v>
      </c>
      <c r="I286" s="13" t="s" ph="1">
        <v>4444</v>
      </c>
      <c r="K286" s="13" t="s" ph="1">
        <v>4445</v>
      </c>
      <c r="L286" s="13" t="s" ph="1">
        <v>3628</v>
      </c>
      <c r="M286" s="14" t="str" ph="1">
        <f>IFERROR(INDEX([1]!_born[生没年],
MATCH(I286,[1]!_born[作],0)),"")</f>
        <v/>
      </c>
      <c r="N286" s="14" t="str" ph="1">
        <f>IFERROR(INDEX([1]!_born[生没年],
MATCH(K286,[1]!_born[作],0)),"")</f>
        <v/>
      </c>
      <c r="O286" s="15" t="s" ph="1">
        <v>4446</v>
      </c>
      <c r="T286" s="13" t="s" ph="1">
        <v>4447</v>
      </c>
      <c r="U286" s="16" t="s" ph="1">
        <v>706</v>
      </c>
      <c r="V286" s="17" ph="1">
        <v>1545</v>
      </c>
    </row>
    <row r="287" spans="1:25" ht="22.5" customHeight="1" ph="1" x14ac:dyDescent="0.35">
      <c r="C287" s="13" t="s" ph="1">
        <v>707</v>
      </c>
      <c r="G287" s="13" t="s" ph="1">
        <v>708</v>
      </c>
      <c r="I287" s="13" t="s" ph="1">
        <v>4448</v>
      </c>
      <c r="J287" s="13" t="s" ph="1">
        <v>4449</v>
      </c>
      <c r="M287" s="14" t="str" ph="1">
        <f>IFERROR(INDEX([1]!_born[生没年],
MATCH(I287,[1]!_born[作],0)),"")</f>
        <v/>
      </c>
      <c r="N287" s="14" t="str" ph="1">
        <f>IFERROR(INDEX([1]!_born[生没年],
MATCH(K287,[1]!_born[作],0)),"")</f>
        <v/>
      </c>
      <c r="O287" s="13" t="s" ph="1">
        <v>4450</v>
      </c>
      <c r="T287" s="13" t="s" ph="1">
        <v>4447</v>
      </c>
      <c r="V287" s="17" ph="1">
        <v>1545</v>
      </c>
      <c r="W287" s="17"/>
      <c r="X287" s="5" ph="1"/>
      <c r="Y287" s="5" t="s" ph="1">
        <v>3635</v>
      </c>
    </row>
    <row r="288" spans="1:25" ht="22.5" customHeight="1" ph="1" x14ac:dyDescent="0.35">
      <c r="C288" s="13" t="s" ph="1">
        <v>707</v>
      </c>
      <c r="G288" s="13" t="s" ph="1">
        <v>708</v>
      </c>
      <c r="I288" s="13" t="s" ph="1">
        <v>4451</v>
      </c>
      <c r="M288" s="14" t="str" ph="1">
        <f>IFERROR(INDEX([1]!_born[生没年],
MATCH(I288,[1]!_born[作],0)),"")</f>
        <v/>
      </c>
      <c r="N288" s="14" t="str" ph="1">
        <f>IFERROR(INDEX([1]!_born[生没年],
MATCH(K288,[1]!_born[作],0)),"")</f>
        <v/>
      </c>
      <c r="O288" s="13" t="s" ph="1">
        <v>60</v>
      </c>
      <c r="T288" s="13" t="s" ph="1">
        <v>4447</v>
      </c>
      <c r="V288" s="17" ph="1">
        <v>1957</v>
      </c>
      <c r="W288" s="17" ph="1">
        <v>1400</v>
      </c>
    </row>
    <row r="289" spans="1:25" ht="22.5" customHeight="1" ph="1" x14ac:dyDescent="0.35">
      <c r="C289" s="13" t="s" ph="1">
        <v>707</v>
      </c>
      <c r="G289" s="13" t="s" ph="1">
        <v>708</v>
      </c>
      <c r="I289" s="13" t="s" ph="1">
        <v>4452</v>
      </c>
      <c r="M289" s="14" t="str" ph="1">
        <f>IFERROR(INDEX([1]!_born[生没年],
MATCH(I289,[1]!_born[作],0)),"")</f>
        <v/>
      </c>
      <c r="N289" s="14" t="str" ph="1">
        <f>IFERROR(INDEX([1]!_born[生没年],
MATCH(K289,[1]!_born[作],0)),"")</f>
        <v/>
      </c>
      <c r="O289" s="13" t="s" ph="1">
        <v>4453</v>
      </c>
      <c r="S289" s="13" t="s" ph="1">
        <v>4454</v>
      </c>
      <c r="T289" s="13" t="s" ph="1">
        <v>4455</v>
      </c>
      <c r="U289" s="16" t="s" ph="1">
        <v>706</v>
      </c>
    </row>
    <row r="290" spans="1:25" s="19" customFormat="1" ht="22.5" customHeight="1" ph="1" x14ac:dyDescent="0.35">
      <c r="A290" s="107" ph="1"/>
      <c r="B290" s="18" ph="1"/>
      <c r="C290" s="19" t="s" ph="1">
        <v>707</v>
      </c>
      <c r="D290" s="124" ph="1"/>
      <c r="E290" s="124" ph="1"/>
      <c r="G290" s="19" t="s" ph="1">
        <v>708</v>
      </c>
      <c r="H290" s="19" t="s" ph="1">
        <v>709</v>
      </c>
      <c r="I290" s="19" t="s" ph="1">
        <v>4456</v>
      </c>
      <c r="M290" s="14" t="str" ph="1">
        <f>IFERROR(INDEX([1]!_born[生没年],
MATCH(I290,[1]!_born[作],0)),"")</f>
        <v/>
      </c>
      <c r="N290" s="27" t="str" ph="1">
        <f>IFERROR(INDEX([1]!_born[生没年],
MATCH(K290,[1]!_born[作],0)),"")</f>
        <v/>
      </c>
      <c r="O290" s="19" t="s" ph="1">
        <v>4457</v>
      </c>
      <c r="R290" s="20" ph="1"/>
      <c r="T290" s="19" t="s" ph="1">
        <v>4458</v>
      </c>
      <c r="U290" s="20" t="s" ph="1">
        <v>706</v>
      </c>
      <c r="V290" s="21" ph="1">
        <v>1950</v>
      </c>
      <c r="W290" s="21" ph="1"/>
      <c r="Y290" s="19" t="s" ph="1">
        <v>4459</v>
      </c>
    </row>
    <row r="291" spans="1:25" s="19" customFormat="1" ht="22.5" customHeight="1" ph="1" x14ac:dyDescent="0.35">
      <c r="A291" s="107" ph="1"/>
      <c r="B291" s="18" ph="1"/>
      <c r="C291" s="19" t="s" ph="1">
        <v>707</v>
      </c>
      <c r="D291" s="124" ph="1"/>
      <c r="E291" s="124" ph="1"/>
      <c r="G291" s="19" t="s" ph="1">
        <v>708</v>
      </c>
      <c r="H291" s="19" t="s" ph="1">
        <v>709</v>
      </c>
      <c r="I291" s="19" t="s" ph="1">
        <v>4456</v>
      </c>
      <c r="M291" s="14" t="str" ph="1">
        <f>IFERROR(INDEX([1]!_born[生没年],
MATCH(I291,[1]!_born[作],0)),"")</f>
        <v/>
      </c>
      <c r="N291" s="27" t="str" ph="1">
        <f>IFERROR(INDEX([1]!_born[生没年],
MATCH(K291,[1]!_born[作],0)),"")</f>
        <v/>
      </c>
      <c r="O291" s="19" t="s" ph="1">
        <v>4460</v>
      </c>
      <c r="R291" s="20" ph="1"/>
      <c r="T291" s="19" t="s" ph="1">
        <v>4458</v>
      </c>
      <c r="U291" s="20" t="s" ph="1">
        <v>706</v>
      </c>
      <c r="V291" s="21" ph="1">
        <v>1950</v>
      </c>
      <c r="W291" s="21" ph="1"/>
      <c r="Y291" s="19" t="s" ph="1">
        <v>4364</v>
      </c>
    </row>
    <row r="292" spans="1:25" ht="22.5" customHeight="1" ph="1" x14ac:dyDescent="0.35">
      <c r="C292" s="13" t="s" ph="1">
        <v>707</v>
      </c>
      <c r="G292" s="13" t="s" ph="1">
        <v>708</v>
      </c>
      <c r="I292" s="13" t="s" ph="1">
        <v>4461</v>
      </c>
      <c r="M292" s="14" t="str" ph="1">
        <f>IFERROR(INDEX([1]!_born[生没年],
MATCH(I292,[1]!_born[作],0)),"")</f>
        <v/>
      </c>
      <c r="N292" s="14" t="str" ph="1">
        <f>IFERROR(INDEX([1]!_born[生没年],
MATCH(K292,[1]!_born[作],0)),"")</f>
        <v/>
      </c>
      <c r="O292" s="15" t="s" ph="1">
        <v>4462</v>
      </c>
      <c r="T292" s="13" t="s" ph="1">
        <v>4463</v>
      </c>
      <c r="U292" s="16" t="s" ph="1">
        <v>706</v>
      </c>
      <c r="V292" s="17" ph="1">
        <v>1200</v>
      </c>
    </row>
    <row r="293" spans="1:25" ht="22.5" customHeight="1" ph="1" x14ac:dyDescent="0.35">
      <c r="C293" s="13" t="s" ph="1">
        <v>707</v>
      </c>
      <c r="G293" s="13" t="s" ph="1">
        <v>708</v>
      </c>
      <c r="M293" s="14" t="str" ph="1">
        <f>IFERROR(INDEX([1]!_born[生没年],
MATCH(I293,[1]!_born[作],0)),"")</f>
        <v/>
      </c>
      <c r="N293" s="14" t="str" ph="1">
        <f>IFERROR(INDEX([1]!_born[生没年],
MATCH(K293,[1]!_born[作],0)),"")</f>
        <v/>
      </c>
      <c r="O293" s="13" t="s" ph="1">
        <v>4464</v>
      </c>
      <c r="T293" s="13" t="s" ph="1">
        <v>4463</v>
      </c>
    </row>
    <row r="294" spans="1:25" ht="22.5" customHeight="1" ph="1" x14ac:dyDescent="0.35">
      <c r="C294" s="13" t="s" ph="1">
        <v>707</v>
      </c>
      <c r="G294" s="13" t="s" ph="1">
        <v>708</v>
      </c>
      <c r="I294" s="13" t="s" ph="1">
        <v>4465</v>
      </c>
      <c r="M294" s="14" t="str" ph="1">
        <f>IFERROR(INDEX([1]!_born[生没年],
MATCH(I294,[1]!_born[作],0)),"")</f>
        <v/>
      </c>
      <c r="N294" s="14" t="str" ph="1">
        <f>IFERROR(INDEX([1]!_born[生没年],
MATCH(K294,[1]!_born[作],0)),"")</f>
        <v/>
      </c>
      <c r="O294" s="13" t="s" ph="1">
        <v>4466</v>
      </c>
      <c r="T294" s="13" t="s" ph="1">
        <v>4463</v>
      </c>
      <c r="U294" s="16" t="s" ph="1">
        <v>706</v>
      </c>
      <c r="V294" s="17" ph="1">
        <v>1200</v>
      </c>
      <c r="W294" s="17" ph="1">
        <v>400</v>
      </c>
    </row>
    <row r="295" spans="1:25" ht="22.5" customHeight="1" ph="1" x14ac:dyDescent="0.35">
      <c r="C295" s="13" t="s" ph="1">
        <v>707</v>
      </c>
      <c r="G295" s="13" t="s" ph="1">
        <v>708</v>
      </c>
      <c r="M295" s="14" t="str" ph="1">
        <f>IFERROR(INDEX([1]!_born[生没年],
MATCH(I295,[1]!_born[作],0)),"")</f>
        <v/>
      </c>
      <c r="N295" s="14" t="str" ph="1">
        <f>IFERROR(INDEX([1]!_born[生没年],
MATCH(K295,[1]!_born[作],0)),"")</f>
        <v/>
      </c>
      <c r="O295" s="13" t="s" ph="1">
        <v>4467</v>
      </c>
      <c r="T295" s="13" t="s" ph="1">
        <v>4463</v>
      </c>
    </row>
    <row r="296" spans="1:25" ht="22.5" customHeight="1" ph="1" x14ac:dyDescent="0.35">
      <c r="A296" s="106" t="s" ph="1">
        <v>2017</v>
      </c>
      <c r="B296" s="5" t="s" ph="1">
        <v>2018</v>
      </c>
      <c r="C296" s="13" t="s" ph="1">
        <v>707</v>
      </c>
      <c r="G296" s="13" t="s" ph="1">
        <v>708</v>
      </c>
      <c r="I296" s="13" t="s" ph="1">
        <v>4468</v>
      </c>
      <c r="J296" s="13" t="s" ph="1">
        <v>3752</v>
      </c>
      <c r="M296" s="14" t="str" ph="1">
        <f>IFERROR(INDEX([1]!_born[生没年],
MATCH(I296,[1]!_born[作],0)),"")</f>
        <v/>
      </c>
      <c r="N296" s="14" t="str" ph="1">
        <f>IFERROR(INDEX([1]!_born[生没年],
MATCH(K296,[1]!_born[作],0)),"")</f>
        <v/>
      </c>
      <c r="O296" s="13" t="s" ph="1">
        <v>4469</v>
      </c>
      <c r="R296" s="16" t="s" ph="1">
        <v>988</v>
      </c>
      <c r="T296" s="13" t="s" ph="1">
        <v>4463</v>
      </c>
      <c r="V296" s="17" ph="1">
        <f>1165*1.03</f>
        <v>1199.95</v>
      </c>
    </row>
    <row r="297" spans="1:25" ht="22.5" customHeight="1" ph="1" x14ac:dyDescent="0.35">
      <c r="A297" s="106" t="s" ph="1">
        <v>2019</v>
      </c>
      <c r="B297" s="5" t="s" ph="1">
        <v>2018</v>
      </c>
      <c r="C297" s="13" t="s" ph="1">
        <v>707</v>
      </c>
      <c r="G297" s="13" t="s" ph="1">
        <v>708</v>
      </c>
      <c r="I297" s="13" t="s" ph="1">
        <v>4470</v>
      </c>
      <c r="J297" s="13" t="s" ph="1">
        <v>3664</v>
      </c>
      <c r="M297" s="14" t="str" ph="1">
        <f>IFERROR(INDEX([1]!_born[生没年],
MATCH(I297,[1]!_born[作],0)),"")</f>
        <v/>
      </c>
      <c r="N297" s="14" t="str" ph="1">
        <f>IFERROR(INDEX([1]!_born[生没年],
MATCH(K297,[1]!_born[作],0)),"")</f>
        <v/>
      </c>
      <c r="O297" s="13" t="s" ph="1">
        <v>4471</v>
      </c>
      <c r="R297" s="16" t="s" ph="1">
        <v>743</v>
      </c>
      <c r="T297" s="13" t="s" ph="1">
        <v>4463</v>
      </c>
      <c r="U297" s="16" ph="1">
        <v>36517</v>
      </c>
      <c r="V297" s="17" ph="1">
        <f>1400*1.05</f>
        <v>1470</v>
      </c>
      <c r="Y297" s="13" t="s" ph="1">
        <v>1872</v>
      </c>
    </row>
    <row r="298" spans="1:25" s="19" customFormat="1" ht="22.5" customHeight="1" ph="1" x14ac:dyDescent="0.35">
      <c r="A298" s="107" ph="1"/>
      <c r="B298" s="18" ph="1"/>
      <c r="C298" s="19" t="s" ph="1">
        <v>707</v>
      </c>
      <c r="D298" s="124" ph="1"/>
      <c r="E298" s="124" ph="1"/>
      <c r="G298" s="19" t="s" ph="1">
        <v>708</v>
      </c>
      <c r="H298" s="19" t="s" ph="1">
        <v>4472</v>
      </c>
      <c r="I298" s="19" t="s" ph="1">
        <v>4473</v>
      </c>
      <c r="K298" s="19" t="s" ph="1">
        <v>4474</v>
      </c>
      <c r="L298" s="19" t="s" ph="1">
        <v>2020</v>
      </c>
      <c r="M298" s="14" t="str" ph="1">
        <f>IFERROR(INDEX([1]!_born[生没年],
MATCH(I298,[1]!_born[作],0)),"")</f>
        <v/>
      </c>
      <c r="N298" s="27" t="str" ph="1">
        <f>IFERROR(INDEX([1]!_born[生没年],
MATCH(K298,[1]!_born[作],0)),"")</f>
        <v/>
      </c>
      <c r="O298" s="19" t="s" ph="1">
        <v>4475</v>
      </c>
      <c r="R298" s="20" t="s" ph="1">
        <v>966</v>
      </c>
      <c r="T298" s="19" t="s" ph="1">
        <v>4476</v>
      </c>
      <c r="U298" s="20" ph="1">
        <v>36517</v>
      </c>
      <c r="V298" s="21" ph="1">
        <f>1400*1.05</f>
        <v>1470</v>
      </c>
      <c r="W298" s="21" ph="1"/>
      <c r="Y298" s="19" t="s" ph="1">
        <v>2021</v>
      </c>
    </row>
    <row r="299" spans="1:25" ht="22.5" customHeight="1" ph="1" x14ac:dyDescent="0.35">
      <c r="C299" s="13" t="s" ph="1">
        <v>707</v>
      </c>
      <c r="D299" s="123" ph="1">
        <v>1</v>
      </c>
      <c r="E299" s="123" ph="1">
        <v>2</v>
      </c>
      <c r="G299" s="13" t="s" ph="1">
        <v>708</v>
      </c>
      <c r="M299" s="14" t="str" ph="1">
        <f>IFERROR(INDEX([1]!_born[生没年],
MATCH(I299,[1]!_born[作],0)),"")</f>
        <v/>
      </c>
      <c r="N299" s="14" t="str" ph="1">
        <f>IFERROR(INDEX([1]!_born[生没年],
MATCH(K299,[1]!_born[作],0)),"")</f>
        <v/>
      </c>
      <c r="O299" s="13" t="s" ph="1">
        <v>4477</v>
      </c>
      <c r="S299" s="13" t="s" ph="1">
        <v>4478</v>
      </c>
      <c r="T299" s="13" t="s" ph="1">
        <v>4479</v>
      </c>
      <c r="U299" s="16" t="s" ph="1">
        <v>706</v>
      </c>
      <c r="V299" s="17" ph="1">
        <v>1300</v>
      </c>
    </row>
    <row r="300" spans="1:25" ht="22.5" customHeight="1" ph="1" x14ac:dyDescent="0.35">
      <c r="C300" s="13" t="s" ph="1">
        <v>707</v>
      </c>
      <c r="D300" s="123" ph="1">
        <v>2</v>
      </c>
      <c r="E300" s="123" ph="1">
        <v>2</v>
      </c>
      <c r="G300" s="13" t="s" ph="1">
        <v>708</v>
      </c>
      <c r="M300" s="14" t="str" ph="1">
        <f>IFERROR(INDEX([1]!_born[生没年],
MATCH(I300,[1]!_born[作],0)),"")</f>
        <v/>
      </c>
      <c r="N300" s="14" t="str" ph="1">
        <f>IFERROR(INDEX([1]!_born[生没年],
MATCH(K300,[1]!_born[作],0)),"")</f>
        <v/>
      </c>
      <c r="O300" s="13" t="s" ph="1">
        <v>4477</v>
      </c>
      <c r="S300" s="13" t="s" ph="1">
        <v>4478</v>
      </c>
      <c r="T300" s="13" t="s" ph="1">
        <v>4479</v>
      </c>
      <c r="U300" s="16" t="s" ph="1">
        <v>706</v>
      </c>
      <c r="V300" s="17" ph="1">
        <v>1300</v>
      </c>
    </row>
    <row r="301" spans="1:25" ht="22.5" customHeight="1" ph="1" x14ac:dyDescent="0.35">
      <c r="C301" s="13" t="s" ph="1">
        <v>707</v>
      </c>
      <c r="G301" s="13" t="s" ph="1">
        <v>708</v>
      </c>
      <c r="I301" s="13" t="s" ph="1">
        <v>4480</v>
      </c>
      <c r="M301" s="14" t="str" ph="1">
        <f>IFERROR(INDEX([1]!_born[生没年],
MATCH(I301,[1]!_born[作],0)),"")</f>
        <v/>
      </c>
      <c r="N301" s="14" t="str" ph="1">
        <f>IFERROR(INDEX([1]!_born[生没年],
MATCH(K301,[1]!_born[作],0)),"")</f>
        <v/>
      </c>
      <c r="O301" s="13" t="s" ph="1">
        <v>4481</v>
      </c>
      <c r="T301" s="13" t="s" ph="1">
        <v>4482</v>
      </c>
      <c r="U301" s="16" t="s" ph="1">
        <v>706</v>
      </c>
      <c r="V301" s="17" ph="1">
        <v>1200</v>
      </c>
    </row>
    <row r="302" spans="1:25" ht="22.5" customHeight="1" ph="1" x14ac:dyDescent="0.35">
      <c r="C302" s="13" t="s" ph="1">
        <v>707</v>
      </c>
      <c r="G302" s="13" t="s" ph="1">
        <v>708</v>
      </c>
      <c r="M302" s="14" t="str" ph="1">
        <f>IFERROR(INDEX([1]!_born[生没年],
MATCH(I302,[1]!_born[作],0)),"")</f>
        <v/>
      </c>
      <c r="N302" s="14" t="str" ph="1">
        <f>IFERROR(INDEX([1]!_born[生没年],
MATCH(K302,[1]!_born[作],0)),"")</f>
        <v/>
      </c>
      <c r="O302" s="13" t="s" ph="1">
        <v>4483</v>
      </c>
      <c r="U302" s="16" t="s" ph="1">
        <v>706</v>
      </c>
      <c r="V302" s="17" ph="1">
        <v>750</v>
      </c>
    </row>
    <row r="303" spans="1:25" ht="22.5" customHeight="1" ph="1" x14ac:dyDescent="0.35">
      <c r="C303" s="13" t="s" ph="1">
        <v>707</v>
      </c>
      <c r="G303" s="13" t="s" ph="1">
        <v>708</v>
      </c>
      <c r="I303" s="13" t="s" ph="1">
        <v>4484</v>
      </c>
      <c r="K303" s="13" t="s" ph="1">
        <v>4485</v>
      </c>
      <c r="L303" s="13" t="s" ph="1">
        <v>4486</v>
      </c>
      <c r="M303" s="14" t="str" ph="1">
        <f>IFERROR(INDEX([1]!_born[生没年],
MATCH(I303,[1]!_born[作],0)),"")</f>
        <v/>
      </c>
      <c r="N303" s="14" t="str" ph="1">
        <f>IFERROR(INDEX([1]!_born[生没年],
MATCH(K303,[1]!_born[作],0)),"")</f>
        <v/>
      </c>
      <c r="O303" s="13" t="s" ph="1">
        <v>4487</v>
      </c>
      <c r="T303" s="13" t="s" ph="1">
        <v>4488</v>
      </c>
      <c r="U303" s="16" t="s" ph="1">
        <v>706</v>
      </c>
      <c r="V303" s="17" ph="1">
        <v>750</v>
      </c>
    </row>
    <row r="304" spans="1:25" ht="22.5" customHeight="1" ph="1" x14ac:dyDescent="0.35">
      <c r="C304" s="13" t="s" ph="1">
        <v>707</v>
      </c>
      <c r="G304" s="13" t="s" ph="1">
        <v>1997</v>
      </c>
      <c r="I304" s="13" t="s" ph="1">
        <v>4489</v>
      </c>
      <c r="M304" s="14" t="str" ph="1">
        <f>IFERROR(INDEX([1]!_born[生没年],
MATCH(I304,[1]!_born[作],0)),"")</f>
        <v/>
      </c>
      <c r="N304" s="14" t="str" ph="1">
        <f>IFERROR(INDEX([1]!_born[生没年],
MATCH(K304,[1]!_born[作],0)),"")</f>
        <v/>
      </c>
      <c r="O304" s="13" t="s" ph="1">
        <v>4490</v>
      </c>
      <c r="U304" s="16" t="s" ph="1">
        <v>706</v>
      </c>
    </row>
    <row r="305" spans="1:25" ht="22.5" customHeight="1" ph="1" x14ac:dyDescent="0.35">
      <c r="C305" s="13" t="s" ph="1">
        <v>707</v>
      </c>
      <c r="G305" s="13" t="s" ph="1">
        <v>1997</v>
      </c>
      <c r="I305" s="13" t="s" ph="1">
        <v>4491</v>
      </c>
      <c r="M305" s="14" t="str" ph="1">
        <f>IFERROR(INDEX([1]!_born[生没年],
MATCH(I305,[1]!_born[作],0)),"")</f>
        <v/>
      </c>
      <c r="N305" s="14" t="str" ph="1">
        <f>IFERROR(INDEX([1]!_born[生没年],
MATCH(K305,[1]!_born[作],0)),"")</f>
        <v/>
      </c>
      <c r="O305" s="13" t="s" ph="1">
        <v>4492</v>
      </c>
      <c r="R305" s="16" t="s" ph="1">
        <v>789</v>
      </c>
      <c r="T305" s="13" t="s" ph="1">
        <v>4493</v>
      </c>
      <c r="U305" s="16" t="s" ph="1">
        <v>706</v>
      </c>
      <c r="V305" s="17" ph="1">
        <v>5800</v>
      </c>
      <c r="W305" s="17" ph="1">
        <v>5800</v>
      </c>
    </row>
    <row r="306" spans="1:25" ht="22.5" customHeight="1" ph="1" x14ac:dyDescent="0.35">
      <c r="C306" s="13" t="s" ph="1">
        <v>707</v>
      </c>
      <c r="G306" s="13" t="s" ph="1">
        <v>1997</v>
      </c>
      <c r="I306" s="13" t="s" ph="1">
        <v>4494</v>
      </c>
      <c r="M306" s="14" t="str" ph="1">
        <f>IFERROR(INDEX([1]!_born[生没年],
MATCH(I306,[1]!_born[作],0)),"")</f>
        <v/>
      </c>
      <c r="N306" s="14" t="str" ph="1">
        <f>IFERROR(INDEX([1]!_born[生没年],
MATCH(K306,[1]!_born[作],0)),"")</f>
        <v/>
      </c>
      <c r="O306" s="13" t="s" ph="1">
        <v>4495</v>
      </c>
      <c r="T306" s="13" t="s" ph="1">
        <v>4496</v>
      </c>
      <c r="U306" s="16" t="s" ph="1">
        <v>706</v>
      </c>
      <c r="V306" s="17" ph="1">
        <v>2500</v>
      </c>
    </row>
    <row r="307" spans="1:25" ht="22.5" customHeight="1" ph="1" x14ac:dyDescent="0.35">
      <c r="C307" s="13" t="s" ph="1">
        <v>707</v>
      </c>
      <c r="G307" s="13" t="s" ph="1">
        <v>1997</v>
      </c>
      <c r="I307" s="13" t="s" ph="1">
        <v>4497</v>
      </c>
      <c r="M307" s="14" t="str" ph="1">
        <f>IFERROR(INDEX([1]!_born[生没年],
MATCH(I307,[1]!_born[作],0)),"")</f>
        <v/>
      </c>
      <c r="N307" s="14" t="str" ph="1">
        <f>IFERROR(INDEX([1]!_born[生没年],
MATCH(K307,[1]!_born[作],0)),"")</f>
        <v/>
      </c>
      <c r="O307" s="13" t="s" ph="1">
        <v>4498</v>
      </c>
      <c r="T307" s="13" t="s" ph="1">
        <v>4499</v>
      </c>
      <c r="V307" s="17" ph="1">
        <v>1100</v>
      </c>
    </row>
    <row r="308" spans="1:25" ht="22.5" customHeight="1" ph="1" x14ac:dyDescent="0.35">
      <c r="C308" s="13" t="s" ph="1">
        <v>707</v>
      </c>
      <c r="G308" s="13" t="s" ph="1">
        <v>1997</v>
      </c>
      <c r="I308" s="13" t="s" ph="1">
        <v>4500</v>
      </c>
      <c r="M308" s="14" t="str" ph="1">
        <f>IFERROR(INDEX([1]!_born[生没年],
MATCH(I308,[1]!_born[作],0)),"")</f>
        <v/>
      </c>
      <c r="N308" s="14" t="str" ph="1">
        <f>IFERROR(INDEX([1]!_born[生没年],
MATCH(K308,[1]!_born[作],0)),"")</f>
        <v/>
      </c>
      <c r="O308" s="13" t="s" ph="1">
        <v>4501</v>
      </c>
      <c r="T308" s="13" t="s" ph="1">
        <v>4502</v>
      </c>
      <c r="U308" s="16" t="s" ph="1">
        <v>706</v>
      </c>
      <c r="V308" s="17" ph="1">
        <v>1600</v>
      </c>
    </row>
    <row r="309" spans="1:25" ht="22.5" customHeight="1" ph="1" x14ac:dyDescent="0.35">
      <c r="C309" s="13" t="s" ph="1">
        <v>707</v>
      </c>
      <c r="G309" s="13" t="s" ph="1">
        <v>1997</v>
      </c>
      <c r="H309" s="13" t="s" ph="1">
        <v>709</v>
      </c>
      <c r="I309" s="13" t="s" ph="1">
        <v>4503</v>
      </c>
      <c r="J309" s="13" t="s" ph="1">
        <v>3616</v>
      </c>
      <c r="K309" s="13" t="s" ph="1">
        <v>4504</v>
      </c>
      <c r="L309" s="13" t="s" ph="1">
        <v>3628</v>
      </c>
      <c r="M309" s="14" t="str" ph="1">
        <f>IFERROR(INDEX([1]!_born[生没年],
MATCH(I309,[1]!_born[作],0)),"")</f>
        <v/>
      </c>
      <c r="N309" s="14" t="str" ph="1">
        <f>IFERROR(INDEX([1]!_born[生没年],
MATCH(K309,[1]!_born[作],0)),"")</f>
        <v/>
      </c>
      <c r="O309" s="13" t="s" ph="1">
        <v>4505</v>
      </c>
      <c r="R309" s="16" t="s" ph="1">
        <v>2022</v>
      </c>
      <c r="T309" s="13" t="s" ph="1">
        <v>4493</v>
      </c>
      <c r="U309" s="16" t="s" ph="1">
        <v>706</v>
      </c>
      <c r="V309" s="17" ph="1">
        <v>2000</v>
      </c>
    </row>
    <row r="310" spans="1:25" ht="22.5" customHeight="1" ph="1" x14ac:dyDescent="0.35">
      <c r="A310" s="106" t="s" ph="1">
        <v>3163</v>
      </c>
      <c r="B310" s="5" t="s" ph="1">
        <v>3162</v>
      </c>
      <c r="C310" s="13" t="s" ph="1">
        <v>25</v>
      </c>
      <c r="G310" s="13" t="s" ph="1">
        <v>112</v>
      </c>
      <c r="I310" s="13" t="s" ph="1">
        <v>4506</v>
      </c>
      <c r="M310" s="14" t="str" ph="1">
        <f>IFERROR(INDEX([1]!_born[生没年],
MATCH(I310,[1]!_born[作],0)),"")</f>
        <v/>
      </c>
      <c r="N310" s="14" t="str" ph="1">
        <f>IFERROR(INDEX([1]!_born[生没年],
MATCH(K310,[1]!_born[作],0)),"")</f>
        <v/>
      </c>
      <c r="O310" s="13" t="s" ph="1">
        <v>4507</v>
      </c>
      <c r="R310" s="16" ph="1">
        <v>29158</v>
      </c>
      <c r="T310" s="13" t="s" ph="1">
        <v>4493</v>
      </c>
      <c r="U310" s="16" ph="1">
        <v>44793</v>
      </c>
      <c r="V310" s="17" ph="1">
        <f>1700*1.1</f>
        <v>1870.0000000000002</v>
      </c>
      <c r="W310" s="17" ph="1">
        <f>340+350</f>
        <v>690</v>
      </c>
      <c r="X310" s="13" t="s" ph="1">
        <v>4508</v>
      </c>
      <c r="Y310" s="13" t="s" ph="1">
        <v>4509</v>
      </c>
    </row>
    <row r="311" spans="1:25" s="19" customFormat="1" ht="22.5" customHeight="1" ph="1" x14ac:dyDescent="0.35">
      <c r="A311" s="107" ph="1"/>
      <c r="B311" s="18" ph="1"/>
      <c r="C311" s="19" t="s" ph="1">
        <v>25</v>
      </c>
      <c r="D311" s="124" ph="1"/>
      <c r="E311" s="124" ph="1"/>
      <c r="G311" s="19" t="s" ph="1">
        <v>112</v>
      </c>
      <c r="I311" s="19" t="s" ph="1">
        <v>4510</v>
      </c>
      <c r="M311" s="14" t="str" ph="1">
        <f>IFERROR(INDEX([1]!_born[生没年],
MATCH(I311,[1]!_born[作],0)),"")</f>
        <v/>
      </c>
      <c r="N311" s="27" t="str" ph="1">
        <f>IFERROR(INDEX([1]!_born[生没年],
MATCH(K311,[1]!_born[作],0)),"")</f>
        <v/>
      </c>
      <c r="O311" s="19" t="s" ph="1">
        <v>4511</v>
      </c>
      <c r="R311" s="20" ph="1"/>
      <c r="T311" s="19" t="s" ph="1">
        <v>4512</v>
      </c>
      <c r="U311" s="20" t="s" ph="1">
        <v>50</v>
      </c>
      <c r="V311" s="21" ph="1"/>
      <c r="W311" s="21" ph="1"/>
      <c r="Y311" s="19" t="s" ph="1">
        <v>4513</v>
      </c>
    </row>
    <row r="312" spans="1:25" ht="22.5" customHeight="1" ph="1" x14ac:dyDescent="0.35">
      <c r="C312" s="13" t="s" ph="1">
        <v>707</v>
      </c>
      <c r="G312" s="13" t="s" ph="1">
        <v>1997</v>
      </c>
      <c r="H312" s="13" t="s" ph="1">
        <v>709</v>
      </c>
      <c r="I312" s="13" t="s" ph="1">
        <v>4514</v>
      </c>
      <c r="K312" s="13" t="s" ph="1">
        <v>4515</v>
      </c>
      <c r="L312" s="13" t="s" ph="1">
        <v>4024</v>
      </c>
      <c r="M312" s="14" t="str" ph="1">
        <f>IFERROR(INDEX([1]!_born[生没年],
MATCH(I312,[1]!_born[作],0)),"")</f>
        <v/>
      </c>
      <c r="N312" s="14" t="str" ph="1">
        <f>IFERROR(INDEX([1]!_born[生没年],
MATCH(K312,[1]!_born[作],0)),"")</f>
        <v/>
      </c>
      <c r="O312" s="13" t="s" ph="1">
        <v>4516</v>
      </c>
      <c r="T312" s="13" t="s" ph="1">
        <v>4517</v>
      </c>
      <c r="U312" s="16" t="s" ph="1">
        <v>706</v>
      </c>
      <c r="V312" s="17" ph="1">
        <v>2800</v>
      </c>
    </row>
    <row r="313" spans="1:25" ht="22.5" customHeight="1" ph="1" x14ac:dyDescent="0.35">
      <c r="C313" s="13" t="s" ph="1">
        <v>707</v>
      </c>
      <c r="G313" s="13" t="s" ph="1">
        <v>1997</v>
      </c>
      <c r="I313" s="13" t="s" ph="1">
        <v>4518</v>
      </c>
      <c r="M313" s="14" t="str" ph="1">
        <f>IFERROR(INDEX([1]!_born[生没年],
MATCH(I313,[1]!_born[作],0)),"")</f>
        <v/>
      </c>
      <c r="N313" s="14" t="str" ph="1">
        <f>IFERROR(INDEX([1]!_born[生没年],
MATCH(K313,[1]!_born[作],0)),"")</f>
        <v/>
      </c>
      <c r="O313" s="13" t="s" ph="1">
        <v>4519</v>
      </c>
      <c r="R313" s="16" t="s" ph="1">
        <v>809</v>
      </c>
      <c r="T313" s="13" t="s" ph="1">
        <v>4520</v>
      </c>
      <c r="U313" s="16" t="s" ph="1">
        <v>706</v>
      </c>
      <c r="V313" s="17"/>
      <c r="W313" s="17" ph="1">
        <v>700</v>
      </c>
      <c r="X313" s="5" ph="1"/>
      <c r="Y313" s="5" t="s" ph="1">
        <v>4521</v>
      </c>
    </row>
    <row r="314" spans="1:25" ht="22.5" customHeight="1" ph="1" x14ac:dyDescent="0.35">
      <c r="C314" s="13" t="s" ph="1">
        <v>25</v>
      </c>
      <c r="G314" s="13" t="s" ph="1">
        <v>46</v>
      </c>
      <c r="H314" s="13" t="s" ph="1">
        <v>61</v>
      </c>
      <c r="I314" s="13" t="s" ph="1">
        <v>4522</v>
      </c>
      <c r="M314" s="14" t="str" ph="1">
        <f>IFERROR(INDEX([1]!_born[生没年],
MATCH(I314,[1]!_born[作],0)),"")</f>
        <v/>
      </c>
      <c r="N314" s="14" t="str" ph="1">
        <f>IFERROR(INDEX([1]!_born[生没年],
MATCH(K314,[1]!_born[作],0)),"")</f>
        <v/>
      </c>
      <c r="O314" s="13" t="s" ph="1">
        <v>4523</v>
      </c>
      <c r="R314" s="16" t="s" ph="1">
        <v>2559</v>
      </c>
      <c r="T314" s="13" t="s" ph="1">
        <v>4524</v>
      </c>
      <c r="U314" s="16" t="s" ph="1">
        <v>2835</v>
      </c>
      <c r="V314" s="17" ph="1">
        <v>250</v>
      </c>
      <c r="W314" s="17" ph="1">
        <v>0</v>
      </c>
      <c r="X314" s="13" t="s" ph="1">
        <v>4525</v>
      </c>
    </row>
    <row r="315" spans="1:25" ht="22.5" customHeight="1" ph="1" x14ac:dyDescent="0.35">
      <c r="A315" s="106" t="s" ph="1">
        <v>2837</v>
      </c>
      <c r="C315" s="13" t="s" ph="1">
        <v>25</v>
      </c>
      <c r="G315" s="13" t="s" ph="1">
        <v>46</v>
      </c>
      <c r="H315" s="13" t="s" ph="1">
        <v>61</v>
      </c>
      <c r="I315" s="13" t="s" ph="1">
        <v>4526</v>
      </c>
      <c r="M315" s="14" t="str" ph="1">
        <f>IFERROR(INDEX([1]!_born[生没年],
MATCH(I315,[1]!_born[作],0)),"")</f>
        <v/>
      </c>
      <c r="N315" s="14" t="str" ph="1">
        <f>IFERROR(INDEX([1]!_born[生没年],
MATCH(K315,[1]!_born[作],0)),"")</f>
        <v/>
      </c>
      <c r="O315" s="13" t="s" ph="1">
        <v>4527</v>
      </c>
      <c r="R315" s="16" t="s" ph="1">
        <v>2836</v>
      </c>
      <c r="T315" s="13" t="s" ph="1">
        <v>4124</v>
      </c>
      <c r="U315" s="16" t="s" ph="1">
        <v>2835</v>
      </c>
      <c r="V315" s="17" ph="1">
        <f>980*1.03</f>
        <v>1009.4</v>
      </c>
      <c r="W315" s="17" ph="1">
        <v>0</v>
      </c>
      <c r="X315" s="13" t="s" ph="1">
        <v>4525</v>
      </c>
    </row>
    <row r="316" spans="1:25" ht="22.5" customHeight="1" ph="1" x14ac:dyDescent="0.35">
      <c r="A316" s="106" t="s" ph="1">
        <v>2023</v>
      </c>
      <c r="B316" s="5" t="s" ph="1">
        <v>2024</v>
      </c>
      <c r="C316" s="13" t="s" ph="1">
        <v>707</v>
      </c>
      <c r="G316" s="13" t="s" ph="1">
        <v>1997</v>
      </c>
      <c r="I316" s="13" t="s" ph="1">
        <v>4528</v>
      </c>
      <c r="M316" s="14" t="str" ph="1">
        <f>IFERROR(INDEX([1]!_born[生没年],
MATCH(I316,[1]!_born[作],0)),"")</f>
        <v/>
      </c>
      <c r="N316" s="14" t="str" ph="1">
        <f>IFERROR(INDEX([1]!_born[生没年],
MATCH(K316,[1]!_born[作],0)),"")</f>
        <v/>
      </c>
      <c r="O316" s="13" t="s" ph="1">
        <v>4529</v>
      </c>
      <c r="R316" s="16" t="s" ph="1">
        <v>2025</v>
      </c>
      <c r="T316" s="13" t="s" ph="1">
        <v>4530</v>
      </c>
      <c r="U316" s="16" t="s" ph="1">
        <v>1083</v>
      </c>
      <c r="V316" s="17" ph="1">
        <f>1700*1.05</f>
        <v>1785</v>
      </c>
      <c r="W316" s="17" ph="1">
        <v>600</v>
      </c>
      <c r="X316" s="5" t="s" ph="1">
        <v>3792</v>
      </c>
      <c r="Y316" s="5" ph="1"/>
    </row>
    <row r="317" spans="1:25" ht="22.5" customHeight="1" ph="1" x14ac:dyDescent="0.35">
      <c r="C317" s="13" t="s" ph="1">
        <v>707</v>
      </c>
      <c r="G317" s="13" t="s" ph="1">
        <v>1997</v>
      </c>
      <c r="I317" s="13" t="s" ph="1">
        <v>575</v>
      </c>
      <c r="K317" s="13" t="s" ph="1">
        <v>4531</v>
      </c>
      <c r="L317" s="13" t="s" ph="1">
        <v>3628</v>
      </c>
      <c r="M317" s="14" t="str" ph="1">
        <f>IFERROR(INDEX([1]!_born[生没年],
MATCH(I317,[1]!_born[作],0)),"")</f>
        <v/>
      </c>
      <c r="N317" s="14" t="str" ph="1">
        <f>IFERROR(INDEX([1]!_born[生没年],
MATCH(K317,[1]!_born[作],0)),"")</f>
        <v/>
      </c>
      <c r="O317" s="13" t="s" ph="1">
        <v>4532</v>
      </c>
      <c r="R317" s="16" t="s" ph="1">
        <v>2026</v>
      </c>
      <c r="T317" s="13" t="s" ph="1">
        <v>4533</v>
      </c>
      <c r="U317" s="16" ph="1">
        <v>37564</v>
      </c>
      <c r="V317" s="17" ph="1">
        <f>1524*1.05</f>
        <v>1600.2</v>
      </c>
      <c r="X317" s="13" t="s" ph="1">
        <v>3786</v>
      </c>
      <c r="Y317" s="13" t="s" ph="1">
        <v>1872</v>
      </c>
    </row>
    <row r="318" spans="1:25" s="19" customFormat="1" ht="22.5" customHeight="1" ph="1" x14ac:dyDescent="0.35">
      <c r="A318" s="107" ph="1"/>
      <c r="B318" s="18" ph="1"/>
      <c r="C318" s="19" t="s" ph="1">
        <v>707</v>
      </c>
      <c r="D318" s="124" ph="1"/>
      <c r="E318" s="124" ph="1"/>
      <c r="G318" s="19" t="s" ph="1">
        <v>1997</v>
      </c>
      <c r="I318" s="19" t="s" ph="1">
        <v>655</v>
      </c>
      <c r="K318" s="19" t="s" ph="1">
        <v>4534</v>
      </c>
      <c r="L318" s="19" t="s" ph="1">
        <v>4535</v>
      </c>
      <c r="M318" s="14" t="str" ph="1">
        <f>IFERROR(INDEX([1]!_born[生没年],
MATCH(I318,[1]!_born[作],0)),"")</f>
        <v/>
      </c>
      <c r="N318" s="27" t="str" ph="1">
        <f>IFERROR(INDEX([1]!_born[生没年],
MATCH(K318,[1]!_born[作],0)),"")</f>
        <v/>
      </c>
      <c r="O318" s="19" t="s" ph="1">
        <v>4536</v>
      </c>
      <c r="R318" s="20" ph="1"/>
      <c r="T318" s="19" t="s" ph="1">
        <v>4537</v>
      </c>
      <c r="U318" s="20" ph="1"/>
      <c r="V318" s="21" ph="1">
        <f>2200*1.05</f>
        <v>2310</v>
      </c>
      <c r="W318" s="21" ph="1">
        <v>1000</v>
      </c>
      <c r="X318" s="18" t="s" ph="1">
        <v>4538</v>
      </c>
      <c r="Y318" s="18" t="s" ph="1">
        <v>1965</v>
      </c>
    </row>
    <row r="319" spans="1:25" s="19" customFormat="1" ht="22.5" customHeight="1" ph="1" x14ac:dyDescent="0.35">
      <c r="A319" s="107" ph="1"/>
      <c r="B319" s="18" ph="1"/>
      <c r="C319" s="19" t="s" ph="1">
        <v>707</v>
      </c>
      <c r="D319" s="124" ph="1"/>
      <c r="E319" s="124" ph="1"/>
      <c r="G319" s="19" t="s" ph="1">
        <v>1997</v>
      </c>
      <c r="M319" s="14" t="str" ph="1">
        <f>IFERROR(INDEX([1]!_born[生没年],
MATCH(I319,[1]!_born[作],0)),"")</f>
        <v/>
      </c>
      <c r="N319" s="27" t="str" ph="1">
        <f>IFERROR(INDEX([1]!_born[生没年],
MATCH(K319,[1]!_born[作],0)),"")</f>
        <v/>
      </c>
      <c r="O319" s="19" t="s" ph="1">
        <v>4539</v>
      </c>
      <c r="R319" s="20" ph="1"/>
      <c r="U319" s="20" t="s" ph="1">
        <v>706</v>
      </c>
      <c r="V319" s="21" ph="1"/>
      <c r="W319" s="21"/>
      <c r="X319" s="18" ph="1"/>
      <c r="Y319" s="18" t="s" ph="1">
        <v>4540</v>
      </c>
    </row>
    <row r="320" spans="1:25" ht="22.5" customHeight="1" ph="1" x14ac:dyDescent="0.35">
      <c r="C320" s="13" t="s" ph="1">
        <v>707</v>
      </c>
      <c r="G320" s="13" t="s" ph="1">
        <v>1997</v>
      </c>
      <c r="I320" s="13" t="s" ph="1">
        <v>4541</v>
      </c>
      <c r="J320" s="13" t="s" ph="1">
        <v>3616</v>
      </c>
      <c r="K320" s="13" t="s" ph="1">
        <v>4542</v>
      </c>
      <c r="L320" s="13" t="s" ph="1">
        <v>4543</v>
      </c>
      <c r="M320" s="14" t="str" ph="1">
        <f>IFERROR(INDEX([1]!_born[生没年],
MATCH(I320,[1]!_born[作],0)),"")</f>
        <v/>
      </c>
      <c r="N320" s="14" t="str" ph="1">
        <f>IFERROR(INDEX([1]!_born[生没年],
MATCH(K320,[1]!_born[作],0)),"")</f>
        <v/>
      </c>
      <c r="O320" s="13" t="s" ph="1">
        <v>4544</v>
      </c>
      <c r="T320" s="13" t="s" ph="1">
        <v>4479</v>
      </c>
      <c r="V320" s="17" ph="1">
        <v>1300</v>
      </c>
      <c r="W320" s="17" ph="1">
        <v>100</v>
      </c>
    </row>
    <row r="321" spans="1:25" ht="22.5" customHeight="1" ph="1" x14ac:dyDescent="0.35">
      <c r="C321" s="13" t="s" ph="1">
        <v>707</v>
      </c>
      <c r="G321" s="13" t="s" ph="1">
        <v>1997</v>
      </c>
      <c r="H321" s="13" t="s" ph="1">
        <v>709</v>
      </c>
      <c r="I321" s="13" t="s" ph="1">
        <v>4545</v>
      </c>
      <c r="M321" s="14" t="str" ph="1">
        <f>IFERROR(INDEX([1]!_born[生没年],
MATCH(I321,[1]!_born[作],0)),"")</f>
        <v/>
      </c>
      <c r="N321" s="14" t="str" ph="1">
        <f>IFERROR(INDEX([1]!_born[生没年],
MATCH(K321,[1]!_born[作],0)),"")</f>
        <v/>
      </c>
      <c r="O321" s="13" t="s" ph="1">
        <v>4546</v>
      </c>
      <c r="U321" s="16" t="s" ph="1">
        <v>706</v>
      </c>
    </row>
    <row r="322" spans="1:25" ht="22.5" customHeight="1" ph="1" x14ac:dyDescent="0.35">
      <c r="C322" s="13" t="s" ph="1">
        <v>1932</v>
      </c>
      <c r="G322" s="13" t="s" ph="1">
        <v>112</v>
      </c>
      <c r="H322" s="13" t="s" ph="1">
        <v>43</v>
      </c>
      <c r="I322" s="13" t="s" ph="1">
        <v>4545</v>
      </c>
      <c r="M322" s="14" t="str" ph="1">
        <f>IFERROR(INDEX([1]!_born[生没年],
MATCH(I322,[1]!_born[作],0)),"")</f>
        <v/>
      </c>
      <c r="N322" s="14" t="str" ph="1">
        <f>IFERROR(INDEX([1]!_born[生没年],
MATCH(K322,[1]!_born[作],0)),"")</f>
        <v/>
      </c>
      <c r="U322" s="16" t="s" ph="1">
        <v>50</v>
      </c>
    </row>
    <row r="323" spans="1:25" ht="22.5" customHeight="1" ph="1" x14ac:dyDescent="0.25">
      <c r="C323" s="13" t="s" ph="1">
        <v>1932</v>
      </c>
      <c r="G323" s="13" t="s" ph="1">
        <v>112</v>
      </c>
      <c r="H323" s="13" t="s" ph="1">
        <v>43</v>
      </c>
      <c r="I323" s="13" t="s" ph="1">
        <v>3031</v>
      </c>
      <c r="K323" s="13" t="s" ph="1">
        <v>3032</v>
      </c>
      <c r="M323" s="14" t="str" ph="1">
        <f>IFERROR(INDEX([1]!_born[生没年],
MATCH(I323,[1]!_born[作],0)),"")</f>
        <v/>
      </c>
      <c r="N323" s="14" t="str" ph="1">
        <f>IFERROR(INDEX([1]!_born[生没年],
MATCH(K323,[1]!_born[作],0)),"")</f>
        <v/>
      </c>
      <c r="O323" s="13" t="s" ph="1">
        <v>3030</v>
      </c>
      <c r="U323" s="16" t="s" ph="1">
        <v>50</v>
      </c>
    </row>
    <row r="324" spans="1:25" ht="22.5" customHeight="1" ph="1" x14ac:dyDescent="0.25">
      <c r="C324" s="13" t="s" ph="1">
        <v>3029</v>
      </c>
      <c r="G324" s="13" t="s" ph="1">
        <v>112</v>
      </c>
      <c r="H324" s="13" t="s" ph="1">
        <v>43</v>
      </c>
      <c r="I324" s="13" t="s" ph="1">
        <v>3034</v>
      </c>
      <c r="K324" s="13" t="s" ph="1">
        <v>3032</v>
      </c>
      <c r="M324" s="14" t="str" ph="1">
        <f>IFERROR(INDEX([1]!_born[生没年],
MATCH(I324,[1]!_born[作],0)),"")</f>
        <v/>
      </c>
      <c r="N324" s="14" t="str" ph="1">
        <f>IFERROR(INDEX([1]!_born[生没年],
MATCH(K324,[1]!_born[作],0)),"")</f>
        <v/>
      </c>
      <c r="O324" s="13" t="s" ph="1">
        <v>3033</v>
      </c>
      <c r="U324" s="16" t="s" ph="1">
        <v>50</v>
      </c>
    </row>
    <row r="325" spans="1:25" ht="22.5" customHeight="1" ph="1" x14ac:dyDescent="0.25">
      <c r="C325" s="13" t="s" ph="1">
        <v>3029</v>
      </c>
      <c r="G325" s="13" t="s" ph="1">
        <v>1260</v>
      </c>
      <c r="H325" s="13" t="s" ph="1">
        <v>709</v>
      </c>
      <c r="I325" s="13" t="s" ph="1">
        <v>3035</v>
      </c>
      <c r="M325" s="14" t="str" ph="1">
        <f>IFERROR(INDEX([1]!_born[生没年],
MATCH(I325,[1]!_born[作],0)),"")</f>
        <v/>
      </c>
      <c r="N325" s="14" t="str" ph="1">
        <f>IFERROR(INDEX([1]!_born[生没年],
MATCH(K325,[1]!_born[作],0)),"")</f>
        <v/>
      </c>
      <c r="U325" s="16" t="s" ph="1">
        <v>706</v>
      </c>
    </row>
    <row r="326" spans="1:25" ht="22.5" customHeight="1" ph="1" x14ac:dyDescent="0.35">
      <c r="C326" s="13" t="s" ph="1">
        <v>707</v>
      </c>
      <c r="G326" s="13" t="s" ph="1">
        <v>2027</v>
      </c>
      <c r="H326" s="13" t="s" ph="1">
        <v>716</v>
      </c>
      <c r="I326" s="13" t="s" ph="1">
        <v>4547</v>
      </c>
      <c r="M326" s="14" t="str" ph="1">
        <f>IFERROR(INDEX([1]!_born[生没年],
MATCH(I326,[1]!_born[作],0)),"")</f>
        <v/>
      </c>
      <c r="N326" s="14" t="str" ph="1">
        <f>IFERROR(INDEX([1]!_born[生没年],
MATCH(K326,[1]!_born[作],0)),"")</f>
        <v/>
      </c>
      <c r="O326" s="13" t="s" ph="1">
        <v>4548</v>
      </c>
      <c r="R326" s="16" t="s" ph="1">
        <v>2028</v>
      </c>
      <c r="T326" s="13" t="s" ph="1">
        <v>4351</v>
      </c>
      <c r="U326" s="16" ph="1">
        <v>36863</v>
      </c>
      <c r="V326" s="17" ph="1">
        <v>1854</v>
      </c>
      <c r="W326" s="17" t="s" ph="1">
        <v>1869</v>
      </c>
      <c r="X326" s="13" t="s" ph="1">
        <v>3934</v>
      </c>
    </row>
    <row r="327" spans="1:25" ht="22.5" customHeight="1" ph="1" x14ac:dyDescent="0.35">
      <c r="C327" s="13" t="s" ph="1">
        <v>4106</v>
      </c>
      <c r="G327" s="13" t="s" ph="1">
        <v>1997</v>
      </c>
      <c r="H327" s="13" t="s" ph="1">
        <v>716</v>
      </c>
      <c r="I327" s="13" t="s" ph="1">
        <v>4547</v>
      </c>
      <c r="M327" s="14" t="str" ph="1">
        <f>IFERROR(INDEX([1]!_born[生没年],
MATCH(I327,[1]!_born[作],0)),"")</f>
        <v/>
      </c>
      <c r="N327" s="14" t="str" ph="1">
        <f>IFERROR(INDEX([1]!_born[生没年],
MATCH(K327,[1]!_born[作],0)),"")</f>
        <v/>
      </c>
      <c r="O327" s="13" t="s" ph="1">
        <v>4549</v>
      </c>
      <c r="R327" s="16" t="s" ph="1">
        <v>776</v>
      </c>
      <c r="S327" s="13" t="s" ph="1">
        <v>4550</v>
      </c>
      <c r="T327" s="13" t="s" ph="1">
        <v>4402</v>
      </c>
      <c r="W327" s="17" ph="1">
        <v>800</v>
      </c>
      <c r="X327" s="5" t="s" ph="1">
        <v>4551</v>
      </c>
      <c r="Y327" s="5" ph="1"/>
    </row>
    <row r="328" spans="1:25" ht="22.5" customHeight="1" ph="1" x14ac:dyDescent="0.35">
      <c r="A328" s="106" t="s" ph="1">
        <v>2029</v>
      </c>
      <c r="B328" s="5" t="s" ph="1">
        <v>2030</v>
      </c>
      <c r="C328" s="13" t="s" ph="1">
        <v>4106</v>
      </c>
      <c r="G328" s="13" t="s" ph="1">
        <v>1125</v>
      </c>
      <c r="H328" s="13" t="s" ph="1">
        <v>709</v>
      </c>
      <c r="I328" s="13" t="s" ph="1">
        <v>4552</v>
      </c>
      <c r="M328" s="14" t="str" ph="1">
        <f>IFERROR(INDEX([1]!_born[生没年],
MATCH(I328,[1]!_born[作],0)),"")</f>
        <v/>
      </c>
      <c r="N328" s="14" t="str" ph="1">
        <f>IFERROR(INDEX([1]!_born[生没年],
MATCH(K328,[1]!_born[作],0)),"")</f>
        <v/>
      </c>
      <c r="O328" s="13" t="s" ph="1">
        <v>4553</v>
      </c>
      <c r="R328" s="16" t="s" ph="1">
        <v>966</v>
      </c>
      <c r="S328" s="13" t="s" ph="1">
        <v>2031</v>
      </c>
      <c r="T328" s="13" t="s" ph="1">
        <v>3988</v>
      </c>
      <c r="U328" s="16" ph="1">
        <v>38563</v>
      </c>
      <c r="V328" s="17" ph="1">
        <f>1200*1.05</f>
        <v>1260</v>
      </c>
      <c r="W328" s="17" ph="1">
        <f>200/3</f>
        <v>66.666666666666671</v>
      </c>
      <c r="X328" s="13" t="s" ph="1">
        <v>3792</v>
      </c>
    </row>
    <row r="329" spans="1:25" ht="22.5" customHeight="1" ph="1" x14ac:dyDescent="0.35">
      <c r="A329" s="106" t="s" ph="1">
        <v>2032</v>
      </c>
      <c r="B329" s="5" t="s" ph="1">
        <v>2033</v>
      </c>
      <c r="C329" s="13" t="s" ph="1">
        <v>4106</v>
      </c>
      <c r="G329" s="13" t="s" ph="1">
        <v>2027</v>
      </c>
      <c r="H329" s="13" t="s" ph="1">
        <v>709</v>
      </c>
      <c r="I329" s="13" t="s" ph="1">
        <v>110</v>
      </c>
      <c r="K329" s="13" t="s" ph="1">
        <v>4554</v>
      </c>
      <c r="L329" s="13" t="s" ph="1">
        <v>4024</v>
      </c>
      <c r="M329" s="14" t="str" ph="1">
        <f>IFERROR(INDEX([1]!_born[生没年],
MATCH(I329,[1]!_born[作],0)),"")</f>
        <v/>
      </c>
      <c r="N329" s="14" t="str" ph="1">
        <f>IFERROR(INDEX([1]!_born[生没年],
MATCH(K329,[1]!_born[作],0)),"")</f>
        <v/>
      </c>
      <c r="O329" s="13" t="s" ph="1">
        <v>4555</v>
      </c>
      <c r="R329" s="16" t="s" ph="1">
        <v>915</v>
      </c>
      <c r="T329" s="13" t="s" ph="1">
        <v>3988</v>
      </c>
      <c r="U329" s="16" ph="1">
        <v>38563</v>
      </c>
      <c r="V329" s="17" ph="1">
        <v>850</v>
      </c>
      <c r="W329" s="17" ph="1">
        <f>200/3</f>
        <v>66.666666666666671</v>
      </c>
      <c r="X329" s="13" t="s" ph="1">
        <v>3792</v>
      </c>
    </row>
    <row r="330" spans="1:25" ht="22.5" customHeight="1" ph="1" x14ac:dyDescent="0.35">
      <c r="A330" s="106" t="s" ph="1">
        <v>2034</v>
      </c>
      <c r="B330" s="5" t="s" ph="1">
        <v>2035</v>
      </c>
      <c r="C330" s="13" t="s" ph="1">
        <v>4106</v>
      </c>
      <c r="G330" s="13" t="s" ph="1">
        <v>1125</v>
      </c>
      <c r="H330" s="13" t="s" ph="1">
        <v>709</v>
      </c>
      <c r="I330" s="13" t="s" ph="1">
        <v>4556</v>
      </c>
      <c r="M330" s="14" t="str" ph="1">
        <f>IFERROR(INDEX([1]!_born[生没年],
MATCH(I330,[1]!_born[作],0)),"")</f>
        <v/>
      </c>
      <c r="N330" s="14" t="str" ph="1">
        <f>IFERROR(INDEX([1]!_born[生没年],
MATCH(K330,[1]!_born[作],0)),"")</f>
        <v/>
      </c>
      <c r="O330" s="13" t="s" ph="1">
        <v>4557</v>
      </c>
      <c r="R330" s="16" t="s" ph="1">
        <v>1514</v>
      </c>
      <c r="S330" s="13" t="s" ph="1">
        <v>4558</v>
      </c>
      <c r="T330" s="13" t="s" ph="1">
        <v>4559</v>
      </c>
      <c r="U330" s="16" ph="1">
        <v>38563</v>
      </c>
      <c r="V330" s="17" ph="1">
        <f>835*1.03</f>
        <v>860.05000000000007</v>
      </c>
      <c r="W330" s="17" ph="1">
        <f>200/3</f>
        <v>66.666666666666671</v>
      </c>
      <c r="X330" s="13" t="s" ph="1">
        <v>3792</v>
      </c>
    </row>
    <row r="331" spans="1:25" ht="22.5" customHeight="1" ph="1" x14ac:dyDescent="0.35">
      <c r="A331" s="106" t="s" ph="1">
        <v>2036</v>
      </c>
      <c r="B331" s="5" t="s" ph="1">
        <v>2037</v>
      </c>
      <c r="C331" s="13" t="s" ph="1">
        <v>707</v>
      </c>
      <c r="G331" s="13" t="s" ph="1">
        <v>746</v>
      </c>
      <c r="I331" s="13" t="s" ph="1">
        <v>133</v>
      </c>
      <c r="K331" s="13" t="s" ph="1">
        <v>4560</v>
      </c>
      <c r="M331" s="14" t="str" ph="1">
        <f>IFERROR(INDEX([1]!_born[生没年],
MATCH(I331,[1]!_born[作],0)),"")</f>
        <v/>
      </c>
      <c r="N331" s="14" t="str" ph="1">
        <f>IFERROR(INDEX([1]!_born[生没年],
MATCH(K331,[1]!_born[作],0)),"")</f>
        <v/>
      </c>
      <c r="O331" s="13" t="s" ph="1">
        <v>4561</v>
      </c>
      <c r="T331" s="13" t="s" ph="1">
        <v>4562</v>
      </c>
      <c r="U331" s="16" t="s" ph="1">
        <v>873</v>
      </c>
      <c r="V331" s="17" ph="1">
        <f>950*1.05</f>
        <v>997.5</v>
      </c>
      <c r="W331" s="17" ph="1">
        <f>2500*1.03</f>
        <v>2575</v>
      </c>
      <c r="X331" s="13" t="s" ph="1">
        <v>3802</v>
      </c>
      <c r="Y331" s="13" t="s" ph="1">
        <v>4021</v>
      </c>
    </row>
    <row r="332" spans="1:25" ht="22.5" customHeight="1" ph="1" x14ac:dyDescent="0.35">
      <c r="C332" s="13" t="s" ph="1">
        <v>4106</v>
      </c>
      <c r="G332" s="13" t="s" ph="1">
        <v>4563</v>
      </c>
      <c r="H332" s="13" t="s" ph="1">
        <v>716</v>
      </c>
      <c r="I332" s="13" t="s" ph="1">
        <v>4564</v>
      </c>
      <c r="M332" s="14" t="str" ph="1">
        <f>IFERROR(INDEX([1]!_born[生没年],
MATCH(I332,[1]!_born[作],0)),"")</f>
        <v/>
      </c>
      <c r="N332" s="14" t="str" ph="1">
        <f>IFERROR(INDEX([1]!_born[生没年],
MATCH(K332,[1]!_born[作],0)),"")</f>
        <v/>
      </c>
      <c r="O332" s="13" t="s" ph="1">
        <v>4565</v>
      </c>
      <c r="R332" s="16" t="s" ph="1">
        <v>924</v>
      </c>
      <c r="S332" s="13" t="s" ph="1">
        <v>4566</v>
      </c>
      <c r="T332" s="13" t="s" ph="1">
        <v>4559</v>
      </c>
      <c r="V332" s="17" ph="1">
        <v>773</v>
      </c>
    </row>
    <row r="333" spans="1:25" ht="22.5" customHeight="1" ph="1" x14ac:dyDescent="0.35">
      <c r="C333" s="13" t="s" ph="1">
        <v>4106</v>
      </c>
      <c r="G333" s="13" t="s" ph="1">
        <v>708</v>
      </c>
      <c r="I333" s="13" t="s" ph="1">
        <v>4567</v>
      </c>
      <c r="M333" s="14" t="str" ph="1">
        <f>IFERROR(INDEX([1]!_born[生没年],
MATCH(I333,[1]!_born[作],0)),"")</f>
        <v/>
      </c>
      <c r="N333" s="14" t="str" ph="1">
        <f>IFERROR(INDEX([1]!_born[生没年],
MATCH(K333,[1]!_born[作],0)),"")</f>
        <v/>
      </c>
      <c r="O333" s="13" t="s" ph="1">
        <v>203</v>
      </c>
      <c r="S333" s="13" t="s" ph="1">
        <v>2038</v>
      </c>
      <c r="T333" s="13" t="s" ph="1">
        <v>2039</v>
      </c>
      <c r="V333" s="17" ph="1">
        <v>500</v>
      </c>
      <c r="W333" s="17" ph="1">
        <v>500</v>
      </c>
    </row>
    <row r="334" spans="1:25" ht="22.5" customHeight="1" ph="1" x14ac:dyDescent="0.35">
      <c r="C334" s="13" t="s" ph="1">
        <v>4106</v>
      </c>
      <c r="G334" s="13" t="s" ph="1">
        <v>708</v>
      </c>
      <c r="I334" s="13" t="s" ph="1">
        <v>4567</v>
      </c>
      <c r="M334" s="14" t="str" ph="1">
        <f>IFERROR(INDEX([1]!_born[生没年],
MATCH(I334,[1]!_born[作],0)),"")</f>
        <v/>
      </c>
      <c r="N334" s="14" t="str" ph="1">
        <f>IFERROR(INDEX([1]!_born[生没年],
MATCH(K334,[1]!_born[作],0)),"")</f>
        <v/>
      </c>
      <c r="O334" s="13" t="s" ph="1">
        <v>4568</v>
      </c>
      <c r="R334" s="16" t="s" ph="1">
        <v>2040</v>
      </c>
      <c r="S334" s="13" t="s" ph="1">
        <v>2041</v>
      </c>
      <c r="T334" s="13" t="s" ph="1">
        <v>2039</v>
      </c>
      <c r="U334" s="16" ph="1">
        <v>37904</v>
      </c>
      <c r="V334" s="17" ph="1">
        <v>650</v>
      </c>
      <c r="W334" s="17" ph="1">
        <v>1000</v>
      </c>
      <c r="X334" s="13" t="s" ph="1">
        <v>3632</v>
      </c>
      <c r="Y334" s="13" t="s" ph="1">
        <v>4569</v>
      </c>
    </row>
    <row r="335" spans="1:25" ht="22.5" customHeight="1" ph="1" x14ac:dyDescent="0.35">
      <c r="C335" s="13" t="s" ph="1">
        <v>707</v>
      </c>
      <c r="G335" s="13" t="s" ph="1">
        <v>708</v>
      </c>
      <c r="H335" s="13" t="s" ph="1">
        <v>716</v>
      </c>
      <c r="I335" s="13" t="s" ph="1">
        <v>4570</v>
      </c>
      <c r="J335" s="13" t="s" ph="1">
        <v>4543</v>
      </c>
      <c r="K335" s="13" t="s" ph="1">
        <v>4571</v>
      </c>
      <c r="L335" s="13" t="s" ph="1">
        <v>3879</v>
      </c>
      <c r="M335" s="14" t="str" ph="1">
        <f>IFERROR(INDEX([1]!_born[生没年],
MATCH(I335,[1]!_born[作],0)),"")</f>
        <v/>
      </c>
      <c r="N335" s="14" t="str" ph="1">
        <f>IFERROR(INDEX([1]!_born[生没年],
MATCH(K335,[1]!_born[作],0)),"")</f>
        <v/>
      </c>
      <c r="O335" s="13" t="s" ph="1">
        <v>4572</v>
      </c>
      <c r="R335" s="16" t="s" ph="1">
        <v>802</v>
      </c>
      <c r="T335" s="13" t="s" ph="1">
        <v>4573</v>
      </c>
      <c r="V335" s="17" ph="1">
        <v>850</v>
      </c>
      <c r="W335" s="17" ph="1">
        <v>500</v>
      </c>
    </row>
    <row r="336" spans="1:25" ht="22.5" customHeight="1" ph="1" x14ac:dyDescent="0.35">
      <c r="C336" s="13" t="s" ph="1">
        <v>707</v>
      </c>
      <c r="G336" s="13" t="s" ph="1">
        <v>4563</v>
      </c>
      <c r="H336" s="13" t="s" ph="1">
        <v>716</v>
      </c>
      <c r="I336" s="13" t="s" ph="1">
        <v>4574</v>
      </c>
      <c r="M336" s="14" t="str" ph="1">
        <f>IFERROR(INDEX([1]!_born[生没年],
MATCH(I336,[1]!_born[作],0)),"")</f>
        <v/>
      </c>
      <c r="N336" s="14" t="str" ph="1">
        <f>IFERROR(INDEX([1]!_born[生没年],
MATCH(K336,[1]!_born[作],0)),"")</f>
        <v/>
      </c>
      <c r="O336" s="13" t="s" ph="1">
        <v>4575</v>
      </c>
      <c r="T336" s="13" t="s" ph="1">
        <v>4576</v>
      </c>
      <c r="V336" s="17" ph="1">
        <v>1450</v>
      </c>
    </row>
    <row r="337" spans="1:25" ht="22.5" customHeight="1" ph="1" x14ac:dyDescent="0.35">
      <c r="A337" s="106" t="s" ph="1">
        <v>2993</v>
      </c>
      <c r="B337" s="5" t="s" ph="1">
        <v>589</v>
      </c>
      <c r="C337" s="13" t="s" ph="1">
        <v>25</v>
      </c>
      <c r="G337" s="13" t="s" ph="1">
        <v>4563</v>
      </c>
      <c r="H337" s="13" t="s" ph="1">
        <v>61</v>
      </c>
      <c r="I337" s="13" t="s" ph="1">
        <v>4577</v>
      </c>
      <c r="M337" s="14" t="str" ph="1">
        <f>IFERROR(INDEX([1]!_born[生没年],
MATCH(I337,[1]!_born[作],0)),"")</f>
        <v/>
      </c>
      <c r="N337" s="14" t="str" ph="1">
        <f>IFERROR(INDEX([1]!_born[生没年],
MATCH(K337,[1]!_born[作],0)),"")</f>
        <v/>
      </c>
      <c r="O337" s="13" t="s" ph="1">
        <v>4578</v>
      </c>
      <c r="S337" s="13" t="s" ph="1">
        <v>2995</v>
      </c>
      <c r="T337" s="13" t="s" ph="1">
        <v>4579</v>
      </c>
      <c r="U337" s="16" t="s" ph="1">
        <v>2996</v>
      </c>
      <c r="V337" s="17" ph="1">
        <f>3200*1.03</f>
        <v>3296</v>
      </c>
      <c r="W337" s="17" t="s" ph="1">
        <v>2994</v>
      </c>
      <c r="X337" s="13" t="s" ph="1">
        <v>4580</v>
      </c>
      <c r="Y337" s="13" t="s" ph="1">
        <v>4581</v>
      </c>
    </row>
    <row r="338" spans="1:25" ht="22.5" customHeight="1" ph="1" x14ac:dyDescent="0.35">
      <c r="C338" s="13" t="s" ph="1">
        <v>707</v>
      </c>
      <c r="G338" s="13" t="s" ph="1">
        <v>3599</v>
      </c>
      <c r="H338" s="13" t="s" ph="1">
        <v>709</v>
      </c>
      <c r="I338" s="13" t="s" ph="1">
        <v>510</v>
      </c>
      <c r="K338" s="13" t="s" ph="1">
        <v>4582</v>
      </c>
      <c r="L338" s="13" t="s" ph="1">
        <v>3628</v>
      </c>
      <c r="M338" s="14" t="str" ph="1">
        <f>IFERROR(INDEX([1]!_born[生没年],
MATCH(I338,[1]!_born[作],0)),"")</f>
        <v/>
      </c>
      <c r="N338" s="14" t="str" ph="1">
        <f>IFERROR(INDEX([1]!_born[生没年],
MATCH(K338,[1]!_born[作],0)),"")</f>
        <v/>
      </c>
      <c r="O338" s="13" t="s" ph="1">
        <v>4583</v>
      </c>
      <c r="R338" s="16" t="s" ph="1">
        <v>2042</v>
      </c>
      <c r="T338" s="13" t="s" ph="1">
        <v>4584</v>
      </c>
      <c r="U338" s="16" ph="1">
        <v>37142</v>
      </c>
      <c r="V338" s="17" ph="1">
        <v>3500</v>
      </c>
      <c r="W338" s="17" ph="1">
        <v>2000</v>
      </c>
      <c r="X338" s="13" t="s" ph="1">
        <v>4585</v>
      </c>
    </row>
    <row r="339" spans="1:25" s="19" customFormat="1" ht="22.5" customHeight="1" ph="1" x14ac:dyDescent="0.35">
      <c r="A339" s="107" ph="1"/>
      <c r="B339" s="18" ph="1"/>
      <c r="C339" s="19" t="s" ph="1">
        <v>4586</v>
      </c>
      <c r="D339" s="124" ph="1"/>
      <c r="E339" s="124" ph="1"/>
      <c r="G339" s="19" t="s" ph="1">
        <v>4587</v>
      </c>
      <c r="H339" s="19" t="s" ph="1">
        <v>716</v>
      </c>
      <c r="I339" s="19" t="s" ph="1">
        <v>4588</v>
      </c>
      <c r="J339" s="19" t="s" ph="1">
        <v>109</v>
      </c>
      <c r="M339" s="14" t="str" ph="1">
        <f>IFERROR(INDEX([1]!_born[生没年],
MATCH(I339,[1]!_born[作],0)),"")</f>
        <v/>
      </c>
      <c r="N339" s="27" t="str" ph="1">
        <f>IFERROR(INDEX([1]!_born[生没年],
MATCH(K339,[1]!_born[作],0)),"")</f>
        <v/>
      </c>
      <c r="O339" s="19" t="s" ph="1">
        <v>4589</v>
      </c>
      <c r="R339" s="20" ph="1"/>
      <c r="T339" s="19" t="s" ph="1">
        <v>4590</v>
      </c>
      <c r="U339" s="20" ph="1">
        <v>36773</v>
      </c>
      <c r="V339" s="21" ph="1">
        <v>1350</v>
      </c>
      <c r="W339" s="21" ph="1">
        <v>500</v>
      </c>
      <c r="X339" s="19" t="s" ph="1">
        <v>4591</v>
      </c>
      <c r="Y339" s="19" t="s" ph="1">
        <v>1965</v>
      </c>
    </row>
    <row r="340" spans="1:25" s="19" customFormat="1" ht="22.5" customHeight="1" ph="1" x14ac:dyDescent="0.35">
      <c r="A340" s="107" ph="1"/>
      <c r="B340" s="18" ph="1"/>
      <c r="C340" s="19" t="s" ph="1">
        <v>4586</v>
      </c>
      <c r="D340" s="124" ph="1"/>
      <c r="E340" s="124" ph="1"/>
      <c r="G340" s="19" t="s" ph="1">
        <v>4587</v>
      </c>
      <c r="H340" s="19" t="s" ph="1">
        <v>716</v>
      </c>
      <c r="I340" s="19" t="s" ph="1">
        <v>4592</v>
      </c>
      <c r="M340" s="14" t="str" ph="1">
        <f>IFERROR(INDEX([1]!_born[生没年],
MATCH(I340,[1]!_born[作],0)),"")</f>
        <v/>
      </c>
      <c r="N340" s="27" t="str" ph="1">
        <f>IFERROR(INDEX([1]!_born[生没年],
MATCH(K340,[1]!_born[作],0)),"")</f>
        <v/>
      </c>
      <c r="O340" s="19" t="s" ph="1">
        <v>4593</v>
      </c>
      <c r="R340" s="20" ph="1"/>
      <c r="T340" s="19" t="s" ph="1">
        <v>4594</v>
      </c>
      <c r="U340" s="20" ph="1">
        <v>36773</v>
      </c>
      <c r="V340" s="21" ph="1">
        <v>1200</v>
      </c>
      <c r="W340" s="21" ph="1">
        <v>500</v>
      </c>
      <c r="X340" s="19" t="s" ph="1">
        <v>4591</v>
      </c>
      <c r="Y340" s="19" t="s" ph="1">
        <v>1965</v>
      </c>
    </row>
    <row r="341" spans="1:25" ht="22.5" customHeight="1" ph="1" x14ac:dyDescent="0.35">
      <c r="C341" s="13" t="s" ph="1">
        <v>707</v>
      </c>
      <c r="G341" s="13" t="s" ph="1">
        <v>1997</v>
      </c>
      <c r="M341" s="14" t="str" ph="1">
        <f>IFERROR(INDEX([1]!_born[生没年],
MATCH(I341,[1]!_born[作],0)),"")</f>
        <v/>
      </c>
      <c r="N341" s="14" t="str" ph="1">
        <f>IFERROR(INDEX([1]!_born[生没年],
MATCH(K341,[1]!_born[作],0)),"")</f>
        <v/>
      </c>
      <c r="O341" s="13" t="s" ph="1">
        <v>4595</v>
      </c>
      <c r="T341" s="13" t="s" ph="1">
        <v>4596</v>
      </c>
      <c r="U341" s="16" t="s" ph="1">
        <v>706</v>
      </c>
      <c r="V341" s="17" ph="1">
        <v>30</v>
      </c>
    </row>
    <row r="342" spans="1:25" ht="22.5" customHeight="1" ph="1" x14ac:dyDescent="0.35">
      <c r="C342" s="13" t="s" ph="1">
        <v>707</v>
      </c>
      <c r="G342" s="13" t="s" ph="1">
        <v>4597</v>
      </c>
      <c r="H342" s="13" t="s" ph="1">
        <v>4423</v>
      </c>
      <c r="I342" s="24" t="s" ph="1">
        <v>4598</v>
      </c>
      <c r="J342" s="24" ph="1"/>
      <c r="M342" s="14" t="str" ph="1">
        <f>IFERROR(INDEX([1]!_born[生没年],
MATCH(I342,[1]!_born[作],0)),"")</f>
        <v/>
      </c>
      <c r="N342" s="14" t="str" ph="1">
        <f>IFERROR(INDEX([1]!_born[生没年],
MATCH(K342,[1]!_born[作],0)),"")</f>
        <v/>
      </c>
      <c r="O342" s="24" t="s" ph="1">
        <v>4599</v>
      </c>
      <c r="T342" s="13" t="s" ph="1">
        <v>4600</v>
      </c>
      <c r="U342" s="16" t="s" ph="1">
        <v>706</v>
      </c>
      <c r="V342" s="17" ph="1">
        <v>2060</v>
      </c>
      <c r="W342" s="17" ph="1">
        <v>0</v>
      </c>
      <c r="Y342" s="24" t="s" ph="1">
        <v>4601</v>
      </c>
    </row>
    <row r="343" spans="1:25" ht="22.5" customHeight="1" ph="1" x14ac:dyDescent="0.35">
      <c r="C343" s="13" t="s" ph="1">
        <v>707</v>
      </c>
      <c r="G343" s="13" t="s" ph="1">
        <v>4597</v>
      </c>
      <c r="H343" s="13" t="s" ph="1">
        <v>4423</v>
      </c>
      <c r="I343" s="24" t="s" ph="1">
        <v>4598</v>
      </c>
      <c r="J343" s="24" ph="1"/>
      <c r="M343" s="14" t="str" ph="1">
        <f>IFERROR(INDEX([1]!_born[生没年],
MATCH(I343,[1]!_born[作],0)),"")</f>
        <v/>
      </c>
      <c r="N343" s="14" t="str" ph="1">
        <f>IFERROR(INDEX([1]!_born[生没年],
MATCH(K343,[1]!_born[作],0)),"")</f>
        <v/>
      </c>
      <c r="O343" s="24" t="s" ph="1">
        <v>4602</v>
      </c>
      <c r="T343" s="13" t="s" ph="1">
        <v>4603</v>
      </c>
      <c r="W343" s="17" ph="1">
        <v>0</v>
      </c>
    </row>
    <row r="344" spans="1:25" ht="22.5" customHeight="1" ph="1" x14ac:dyDescent="0.35">
      <c r="C344" s="13" t="s" ph="1">
        <v>707</v>
      </c>
      <c r="G344" s="13" t="s" ph="1">
        <v>4597</v>
      </c>
      <c r="H344" s="13" t="s" ph="1">
        <v>4423</v>
      </c>
      <c r="I344" s="24" t="s" ph="1">
        <v>4598</v>
      </c>
      <c r="J344" s="24" ph="1"/>
      <c r="M344" s="14" t="str" ph="1">
        <f>IFERROR(INDEX([1]!_born[生没年],
MATCH(I344,[1]!_born[作],0)),"")</f>
        <v/>
      </c>
      <c r="N344" s="14" t="str" ph="1">
        <f>IFERROR(INDEX([1]!_born[生没年],
MATCH(K344,[1]!_born[作],0)),"")</f>
        <v/>
      </c>
      <c r="O344" s="24" t="s" ph="1">
        <v>4604</v>
      </c>
      <c r="T344" s="13" t="s" ph="1">
        <v>4605</v>
      </c>
      <c r="W344" s="17" ph="1">
        <v>0</v>
      </c>
    </row>
    <row r="345" spans="1:25" ht="22.5" customHeight="1" ph="1" x14ac:dyDescent="0.35">
      <c r="A345" s="106" t="s" ph="1">
        <v>10038</v>
      </c>
      <c r="C345" s="13" t="s" ph="1">
        <v>25</v>
      </c>
      <c r="G345" s="13" t="s" ph="1">
        <v>3599</v>
      </c>
      <c r="H345" s="13" t="s" ph="1">
        <v>61</v>
      </c>
      <c r="I345" s="13" t="s" ph="1">
        <v>10161</v>
      </c>
      <c r="J345" s="13" t="s" ph="1">
        <v>3616</v>
      </c>
      <c r="M345" s="14" t="str" ph="1">
        <f>IFERROR(INDEX([1]!_born[生没年],
MATCH(I345,[1]!_born[作],0)),"")</f>
        <v/>
      </c>
      <c r="N345" s="14" t="str" ph="1">
        <f>IFERROR(INDEX([1]!_born[生没年],
MATCH(K345,[1]!_born[作],0)),"")</f>
        <v/>
      </c>
      <c r="O345" s="13" t="s" ph="1">
        <v>10162</v>
      </c>
      <c r="R345" s="16" ph="1">
        <v>29036</v>
      </c>
      <c r="T345" s="13" t="s" ph="1">
        <v>10163</v>
      </c>
      <c r="U345" s="16" ph="1">
        <v>45330</v>
      </c>
      <c r="V345" s="17" ph="1">
        <v>980</v>
      </c>
      <c r="W345" s="17" ph="1">
        <f>(2318+262)/2</f>
        <v>1290</v>
      </c>
      <c r="X345" s="13" t="s" ph="1">
        <v>10164</v>
      </c>
    </row>
    <row r="346" spans="1:25" ht="22.5" customHeight="1" ph="1" x14ac:dyDescent="0.35">
      <c r="A346" s="106" t="s" ph="1">
        <v>10039</v>
      </c>
      <c r="C346" s="13" t="s" ph="1">
        <v>25</v>
      </c>
      <c r="G346" s="13" t="s" ph="1">
        <v>3599</v>
      </c>
      <c r="H346" s="13" t="s" ph="1">
        <v>61</v>
      </c>
      <c r="I346" s="13" t="s" ph="1">
        <v>10161</v>
      </c>
      <c r="J346" s="13" t="s" ph="1">
        <v>3616</v>
      </c>
      <c r="M346" s="14" t="str" ph="1">
        <f>IFERROR(INDEX([1]!_born[生没年],
MATCH(I346,[1]!_born[作],0)),"")</f>
        <v/>
      </c>
      <c r="N346" s="14" t="str" ph="1">
        <f>IFERROR(INDEX([1]!_born[生没年],
MATCH(K346,[1]!_born[作],0)),"")</f>
        <v/>
      </c>
      <c r="O346" s="13" t="s" ph="1">
        <v>10165</v>
      </c>
      <c r="R346" s="16" ph="1">
        <v>29066</v>
      </c>
      <c r="T346" s="13" t="s" ph="1">
        <v>10163</v>
      </c>
      <c r="U346" s="16" ph="1">
        <v>45330</v>
      </c>
      <c r="V346" s="17" ph="1">
        <v>980</v>
      </c>
      <c r="W346" s="17" ph="1">
        <f>(2318+262)/2</f>
        <v>1290</v>
      </c>
      <c r="X346" s="13" t="s" ph="1">
        <v>10164</v>
      </c>
    </row>
    <row r="347" spans="1:25" ht="22.5" customHeight="1" ph="1" x14ac:dyDescent="0.35">
      <c r="C347" s="13" t="s" ph="1">
        <v>707</v>
      </c>
      <c r="G347" s="13" t="s" ph="1">
        <v>3884</v>
      </c>
      <c r="H347" s="13" t="s" ph="1">
        <v>716</v>
      </c>
      <c r="I347" s="13" t="s" ph="1">
        <v>4606</v>
      </c>
      <c r="J347" s="13" t="s" ph="1">
        <v>3752</v>
      </c>
      <c r="M347" s="14" t="str" ph="1">
        <f>IFERROR(INDEX([1]!_born[生没年],
MATCH(I347,[1]!_born[作],0)),"")</f>
        <v/>
      </c>
      <c r="N347" s="14" t="str" ph="1">
        <f>IFERROR(INDEX([1]!_born[生没年],
MATCH(K347,[1]!_born[作],0)),"")</f>
        <v/>
      </c>
      <c r="O347" s="13" t="s" ph="1">
        <v>4607</v>
      </c>
      <c r="T347" s="13" t="s" ph="1">
        <v>4608</v>
      </c>
      <c r="U347" s="16" t="s" ph="1">
        <v>706</v>
      </c>
      <c r="V347" s="17" ph="1">
        <v>1800</v>
      </c>
      <c r="W347" s="17" ph="1">
        <v>0</v>
      </c>
    </row>
    <row r="348" spans="1:25" ht="22.5" customHeight="1" ph="1" x14ac:dyDescent="0.35">
      <c r="C348" s="13" t="s" ph="1">
        <v>707</v>
      </c>
      <c r="G348" s="13" t="s" ph="1">
        <v>3884</v>
      </c>
      <c r="H348" s="13" t="s" ph="1">
        <v>716</v>
      </c>
      <c r="I348" s="13" t="s" ph="1">
        <v>4609</v>
      </c>
      <c r="M348" s="14" t="str" ph="1">
        <f>IFERROR(INDEX([1]!_born[生没年],
MATCH(I348,[1]!_born[作],0)),"")</f>
        <v/>
      </c>
      <c r="N348" s="14" t="str" ph="1">
        <f>IFERROR(INDEX([1]!_born[生没年],
MATCH(K348,[1]!_born[作],0)),"")</f>
        <v/>
      </c>
      <c r="O348" s="13" t="s" ph="1">
        <v>4610</v>
      </c>
      <c r="T348" s="13" t="s" ph="1">
        <v>3926</v>
      </c>
      <c r="U348" s="16" t="s" ph="1">
        <v>706</v>
      </c>
    </row>
    <row r="349" spans="1:25" ht="22.5" customHeight="1" ph="1" x14ac:dyDescent="0.35">
      <c r="C349" s="13" t="s" ph="1">
        <v>707</v>
      </c>
      <c r="G349" s="13" t="s" ph="1">
        <v>3599</v>
      </c>
      <c r="H349" s="13" t="s" ph="1">
        <v>716</v>
      </c>
      <c r="I349" s="13" t="s" ph="1">
        <v>4611</v>
      </c>
      <c r="M349" s="14" t="str" ph="1">
        <f>IFERROR(INDEX([1]!_born[生没年],
MATCH(I349,[1]!_born[作],0)),"")</f>
        <v/>
      </c>
      <c r="N349" s="14" t="str" ph="1">
        <f>IFERROR(INDEX([1]!_born[生没年],
MATCH(K349,[1]!_born[作],0)),"")</f>
        <v/>
      </c>
      <c r="O349" s="13" t="s" ph="1">
        <v>4612</v>
      </c>
      <c r="R349" s="16" t="s" ph="1">
        <v>801</v>
      </c>
      <c r="T349" s="13" t="s" ph="1">
        <v>4044</v>
      </c>
      <c r="V349" s="17" ph="1">
        <v>1600</v>
      </c>
    </row>
    <row r="350" spans="1:25" ht="22.5" customHeight="1" ph="1" x14ac:dyDescent="0.35">
      <c r="C350" s="13" t="s" ph="1">
        <v>707</v>
      </c>
      <c r="D350" s="123" ph="1">
        <v>1</v>
      </c>
      <c r="E350" s="123" ph="1">
        <v>2</v>
      </c>
      <c r="G350" s="13" t="s" ph="1">
        <v>708</v>
      </c>
      <c r="H350" s="13" t="s" ph="1">
        <v>716</v>
      </c>
      <c r="I350" s="13" t="s" ph="1">
        <v>4613</v>
      </c>
      <c r="J350" s="13" t="s" ph="1">
        <v>3616</v>
      </c>
      <c r="M350" s="14" t="str" ph="1">
        <f>IFERROR(INDEX([1]!_born[生没年],
MATCH(I350,[1]!_born[作],0)),"")</f>
        <v/>
      </c>
      <c r="N350" s="14" t="str" ph="1">
        <f>IFERROR(INDEX([1]!_born[生没年],
MATCH(K350,[1]!_born[作],0)),"")</f>
        <v/>
      </c>
      <c r="O350" s="13" t="s" ph="1">
        <v>4614</v>
      </c>
      <c r="T350" s="13" t="s" ph="1">
        <v>4615</v>
      </c>
      <c r="V350" s="17" ph="1">
        <f>951*2</f>
        <v>1902</v>
      </c>
      <c r="W350" s="17"/>
      <c r="X350" s="5" ph="1"/>
      <c r="Y350" s="5" t="s" ph="1">
        <v>3635</v>
      </c>
    </row>
    <row r="351" spans="1:25" ht="22.5" customHeight="1" ph="1" x14ac:dyDescent="0.35">
      <c r="C351" s="13" t="s" ph="1">
        <v>707</v>
      </c>
      <c r="D351" s="123" ph="1">
        <v>2</v>
      </c>
      <c r="E351" s="123" ph="1">
        <v>2</v>
      </c>
      <c r="G351" s="13" t="s" ph="1">
        <v>708</v>
      </c>
      <c r="H351" s="13" t="s" ph="1">
        <v>716</v>
      </c>
      <c r="I351" s="13" t="s" ph="1">
        <v>4613</v>
      </c>
      <c r="J351" s="13" t="s" ph="1">
        <v>3616</v>
      </c>
      <c r="M351" s="14" t="str" ph="1">
        <f>IFERROR(INDEX([1]!_born[生没年],
MATCH(I351,[1]!_born[作],0)),"")</f>
        <v/>
      </c>
      <c r="N351" s="14" t="str" ph="1">
        <f>IFERROR(INDEX([1]!_born[生没年],
MATCH(K351,[1]!_born[作],0)),"")</f>
        <v/>
      </c>
      <c r="O351" s="13" t="s" ph="1">
        <v>4614</v>
      </c>
      <c r="T351" s="13" t="s" ph="1">
        <v>4615</v>
      </c>
      <c r="V351" s="17" ph="1">
        <f>951*2</f>
        <v>1902</v>
      </c>
      <c r="W351" s="17"/>
      <c r="X351" s="5" ph="1"/>
      <c r="Y351" s="5" t="s" ph="1">
        <v>3635</v>
      </c>
    </row>
    <row r="352" spans="1:25" ht="22.5" customHeight="1" ph="1" x14ac:dyDescent="0.35">
      <c r="C352" s="13" t="s" ph="1">
        <v>707</v>
      </c>
      <c r="G352" s="13" t="s" ph="1">
        <v>708</v>
      </c>
      <c r="H352" s="13" t="s" ph="1">
        <v>716</v>
      </c>
      <c r="M352" s="14" t="str" ph="1">
        <f>IFERROR(INDEX([1]!_born[生没年],
MATCH(I352,[1]!_born[作],0)),"")</f>
        <v/>
      </c>
      <c r="N352" s="14" t="str" ph="1">
        <f>IFERROR(INDEX([1]!_born[生没年],
MATCH(K352,[1]!_born[作],0)),"")</f>
        <v/>
      </c>
      <c r="O352" s="13" t="s" ph="1">
        <v>4616</v>
      </c>
      <c r="R352" s="16" t="s" ph="1">
        <v>966</v>
      </c>
      <c r="T352" s="13" t="s" ph="1">
        <v>4150</v>
      </c>
      <c r="U352" s="16" t="s" ph="1">
        <v>966</v>
      </c>
      <c r="V352" s="17" ph="1">
        <v>951</v>
      </c>
    </row>
    <row r="353" spans="1:25" s="19" customFormat="1" ht="22.5" customHeight="1" ph="1" x14ac:dyDescent="0.35">
      <c r="A353" s="107" ph="1"/>
      <c r="B353" s="18" ph="1"/>
      <c r="C353" s="19" t="s" ph="1">
        <v>707</v>
      </c>
      <c r="D353" s="124" ph="1">
        <v>5</v>
      </c>
      <c r="E353" s="124" t="s" ph="1">
        <v>1225</v>
      </c>
      <c r="G353" s="19" t="s" ph="1">
        <v>708</v>
      </c>
      <c r="H353" s="19" t="s" ph="1">
        <v>716</v>
      </c>
      <c r="M353" s="14" t="str" ph="1">
        <f>IFERROR(INDEX([1]!_born[生没年],
MATCH(I353,[1]!_born[作],0)),"")</f>
        <v/>
      </c>
      <c r="N353" s="27" t="str" ph="1">
        <f>IFERROR(INDEX([1]!_born[生没年],
MATCH(K353,[1]!_born[作],0)),"")</f>
        <v/>
      </c>
      <c r="O353" s="19" t="s" ph="1">
        <v>460</v>
      </c>
      <c r="R353" s="20"/>
      <c r="T353" s="19" t="s" ph="1">
        <v>4594</v>
      </c>
      <c r="U353" s="20" t="s" ph="1">
        <v>706</v>
      </c>
      <c r="V353" s="21" ph="1">
        <v>900</v>
      </c>
      <c r="W353" s="21" ph="1">
        <v>0</v>
      </c>
      <c r="Y353" s="19" t="s" ph="1">
        <v>4617</v>
      </c>
    </row>
    <row r="354" spans="1:25" ht="22.5" customHeight="1" ph="1" x14ac:dyDescent="0.35">
      <c r="C354" s="13" t="s" ph="1">
        <v>707</v>
      </c>
      <c r="G354" s="13" t="s" ph="1">
        <v>708</v>
      </c>
      <c r="H354" s="13" t="s" ph="1">
        <v>716</v>
      </c>
      <c r="I354" s="13" t="s" ph="1">
        <v>4618</v>
      </c>
      <c r="M354" s="14" t="str" ph="1">
        <f>IFERROR(INDEX([1]!_born[生没年],
MATCH(I354,[1]!_born[作],0)),"")</f>
        <v/>
      </c>
      <c r="N354" s="14" t="str" ph="1">
        <f>IFERROR(INDEX([1]!_born[生没年],
MATCH(K354,[1]!_born[作],0)),"")</f>
        <v/>
      </c>
      <c r="O354" s="13" t="s" ph="1">
        <v>4619</v>
      </c>
      <c r="S354" s="13" t="s" ph="1">
        <v>4620</v>
      </c>
      <c r="T354" s="13" t="s" ph="1">
        <v>4621</v>
      </c>
      <c r="U354" s="16" t="s" ph="1">
        <v>706</v>
      </c>
      <c r="V354" s="17" ph="1">
        <v>1400</v>
      </c>
    </row>
    <row r="355" spans="1:25" ht="22.5" customHeight="1" ph="1" x14ac:dyDescent="0.35">
      <c r="A355" s="106" t="s" ph="1">
        <v>2043</v>
      </c>
      <c r="B355" s="5" t="s" ph="1">
        <v>1033</v>
      </c>
      <c r="C355" s="13" t="s" ph="1">
        <v>707</v>
      </c>
      <c r="G355" s="13" t="s" ph="1">
        <v>3599</v>
      </c>
      <c r="H355" s="13" t="s" ph="1">
        <v>716</v>
      </c>
      <c r="I355" s="13" t="s" ph="1">
        <v>4622</v>
      </c>
      <c r="M355" s="14" t="str" ph="1">
        <f>IFERROR(INDEX([1]!_born[生没年],
MATCH(I355,[1]!_born[作],0)),"")</f>
        <v/>
      </c>
      <c r="N355" s="14" t="str" ph="1">
        <f>IFERROR(INDEX([1]!_born[生没年],
MATCH(K355,[1]!_born[作],0)),"")</f>
        <v/>
      </c>
      <c r="O355" s="13" t="s" ph="1">
        <v>4623</v>
      </c>
      <c r="T355" s="13" t="s" ph="1">
        <v>3806</v>
      </c>
      <c r="U355" s="16" t="s" ph="1">
        <v>887</v>
      </c>
      <c r="V355" s="17" ph="1">
        <f>1400*1.05</f>
        <v>1470</v>
      </c>
      <c r="W355" s="17" ph="1">
        <f>1400*1.05</f>
        <v>1470</v>
      </c>
    </row>
    <row r="356" spans="1:25" ht="22.5" customHeight="1" ph="1" x14ac:dyDescent="0.35">
      <c r="C356" s="13" t="s" ph="1">
        <v>707</v>
      </c>
      <c r="G356" s="13" t="s" ph="1">
        <v>3599</v>
      </c>
      <c r="H356" s="13" t="s" ph="1">
        <v>716</v>
      </c>
      <c r="I356" s="13" t="s" ph="1">
        <v>4624</v>
      </c>
      <c r="M356" s="14" t="str" ph="1">
        <f>IFERROR(INDEX([1]!_born[生没年],
MATCH(I356,[1]!_born[作],0)),"")</f>
        <v/>
      </c>
      <c r="N356" s="14" t="str" ph="1">
        <f>IFERROR(INDEX([1]!_born[生没年],
MATCH(K356,[1]!_born[作],0)),"")</f>
        <v/>
      </c>
      <c r="O356" s="13" t="s" ph="1">
        <v>4625</v>
      </c>
      <c r="T356" s="13" t="s" ph="1">
        <v>4626</v>
      </c>
      <c r="V356" s="17" ph="1">
        <v>880</v>
      </c>
    </row>
    <row r="357" spans="1:25" ht="22.5" customHeight="1" ph="1" x14ac:dyDescent="0.35">
      <c r="C357" s="13" t="s" ph="1">
        <v>707</v>
      </c>
      <c r="G357" s="13" t="s" ph="1">
        <v>708</v>
      </c>
      <c r="H357" s="13" t="s" ph="1">
        <v>716</v>
      </c>
      <c r="I357" s="13" t="s" ph="1">
        <v>4627</v>
      </c>
      <c r="M357" s="14" t="str" ph="1">
        <f>IFERROR(INDEX([1]!_born[生没年],
MATCH(I357,[1]!_born[作],0)),"")</f>
        <v/>
      </c>
      <c r="N357" s="14" t="str" ph="1">
        <f>IFERROR(INDEX([1]!_born[生没年],
MATCH(K357,[1]!_born[作],0)),"")</f>
        <v/>
      </c>
      <c r="O357" s="13" t="s" ph="1">
        <v>4628</v>
      </c>
      <c r="T357" s="13" t="s" ph="1">
        <v>4629</v>
      </c>
      <c r="U357" s="16" t="s" ph="1">
        <v>706</v>
      </c>
      <c r="V357" s="17" ph="1">
        <v>880</v>
      </c>
      <c r="W357" s="17" ph="1">
        <v>100</v>
      </c>
    </row>
    <row r="358" spans="1:25" s="19" customFormat="1" ht="22.5" customHeight="1" ph="1" x14ac:dyDescent="0.35">
      <c r="A358" s="107" ph="1"/>
      <c r="B358" s="18" ph="1"/>
      <c r="C358" s="19" t="s" ph="1">
        <v>707</v>
      </c>
      <c r="D358" s="124" ph="1"/>
      <c r="E358" s="124" ph="1"/>
      <c r="G358" s="19" t="s" ph="1">
        <v>708</v>
      </c>
      <c r="H358" s="19" t="s" ph="1">
        <v>716</v>
      </c>
      <c r="I358" s="19" t="s" ph="1">
        <v>4630</v>
      </c>
      <c r="M358" s="14" t="str" ph="1">
        <f>IFERROR(INDEX([1]!_born[生没年],
MATCH(I358,[1]!_born[作],0)),"")</f>
        <v/>
      </c>
      <c r="N358" s="27" t="str" ph="1">
        <f>IFERROR(INDEX([1]!_born[生没年],
MATCH(K358,[1]!_born[作],0)),"")</f>
        <v/>
      </c>
      <c r="O358" s="19" t="s" ph="1">
        <v>4631</v>
      </c>
      <c r="R358" s="20" t="s" ph="1">
        <v>987</v>
      </c>
      <c r="T358" s="19" t="s" ph="1">
        <v>4632</v>
      </c>
      <c r="U358" s="20" t="s" ph="1">
        <v>987</v>
      </c>
      <c r="V358" s="21" ph="1">
        <v>1600</v>
      </c>
      <c r="W358" s="21" ph="1"/>
      <c r="Y358" s="19" t="s" ph="1">
        <v>1965</v>
      </c>
    </row>
    <row r="359" spans="1:25" ht="22.5" customHeight="1" ph="1" x14ac:dyDescent="0.35">
      <c r="C359" s="13" t="s" ph="1">
        <v>707</v>
      </c>
      <c r="G359" s="13" t="s" ph="1">
        <v>3803</v>
      </c>
      <c r="H359" s="13" t="s" ph="1">
        <v>716</v>
      </c>
      <c r="I359" s="13" t="s" ph="1">
        <v>4633</v>
      </c>
      <c r="M359" s="14" t="str" ph="1">
        <f>IFERROR(INDEX([1]!_born[生没年],
MATCH(I359,[1]!_born[作],0)),"")</f>
        <v/>
      </c>
      <c r="N359" s="14" t="str" ph="1">
        <f>IFERROR(INDEX([1]!_born[生没年],
MATCH(K359,[1]!_born[作],0)),"")</f>
        <v/>
      </c>
      <c r="O359" s="13" t="s" ph="1">
        <v>4634</v>
      </c>
      <c r="T359" s="13" t="s" ph="1">
        <v>3926</v>
      </c>
      <c r="U359" s="16" ph="1">
        <v>34837</v>
      </c>
      <c r="V359" s="17" ph="1">
        <v>1200</v>
      </c>
      <c r="Y359" s="13" t="s" ph="1">
        <v>2044</v>
      </c>
    </row>
    <row r="360" spans="1:25" ht="22.5" customHeight="1" ph="1" x14ac:dyDescent="0.35">
      <c r="C360" s="13" t="s" ph="1">
        <v>707</v>
      </c>
      <c r="G360" s="13" t="s" ph="1">
        <v>3803</v>
      </c>
      <c r="H360" s="13" t="s" ph="1">
        <v>716</v>
      </c>
      <c r="I360" s="13" t="s" ph="1">
        <v>4633</v>
      </c>
      <c r="M360" s="14" t="str" ph="1">
        <f>IFERROR(INDEX([1]!_born[生没年],
MATCH(I360,[1]!_born[作],0)),"")</f>
        <v/>
      </c>
      <c r="N360" s="14" t="str" ph="1">
        <f>IFERROR(INDEX([1]!_born[生没年],
MATCH(K360,[1]!_born[作],0)),"")</f>
        <v/>
      </c>
      <c r="O360" s="13" t="s" ph="1">
        <v>4635</v>
      </c>
      <c r="T360" s="13" t="s" ph="1">
        <v>3926</v>
      </c>
      <c r="U360" s="16" ph="1">
        <v>34881</v>
      </c>
      <c r="V360" s="17" ph="1">
        <v>1200</v>
      </c>
      <c r="Y360" s="13" t="s" ph="1">
        <v>2044</v>
      </c>
    </row>
    <row r="361" spans="1:25" ht="22.5" customHeight="1" ph="1" x14ac:dyDescent="0.35">
      <c r="C361" s="13" t="s" ph="1">
        <v>707</v>
      </c>
      <c r="G361" s="13" t="s" ph="1">
        <v>3599</v>
      </c>
      <c r="H361" s="13" t="s" ph="1">
        <v>716</v>
      </c>
      <c r="I361" s="13" t="s" ph="1">
        <v>4636</v>
      </c>
      <c r="M361" s="14" t="str" ph="1">
        <f>IFERROR(INDEX([1]!_born[生没年],
MATCH(I361,[1]!_born[作],0)),"")</f>
        <v/>
      </c>
      <c r="N361" s="14" t="str" ph="1">
        <f>IFERROR(INDEX([1]!_born[生没年],
MATCH(K361,[1]!_born[作],0)),"")</f>
        <v/>
      </c>
      <c r="O361" s="13" t="s" ph="1">
        <v>4637</v>
      </c>
      <c r="T361" s="13" t="s" ph="1">
        <v>4626</v>
      </c>
    </row>
    <row r="362" spans="1:25" ht="22.5" customHeight="1" ph="1" x14ac:dyDescent="0.35">
      <c r="C362" s="13" t="s" ph="1">
        <v>707</v>
      </c>
      <c r="G362" s="13" t="s" ph="1">
        <v>3599</v>
      </c>
      <c r="H362" s="13" t="s" ph="1">
        <v>716</v>
      </c>
      <c r="I362" s="13" t="s" ph="1">
        <v>4638</v>
      </c>
      <c r="M362" s="14" t="str" ph="1">
        <f>IFERROR(INDEX([1]!_born[生没年],
MATCH(I362,[1]!_born[作],0)),"")</f>
        <v/>
      </c>
      <c r="N362" s="14" t="str" ph="1">
        <f>IFERROR(INDEX([1]!_born[生没年],
MATCH(K362,[1]!_born[作],0)),"")</f>
        <v/>
      </c>
      <c r="O362" s="13" t="s" ph="1">
        <v>4639</v>
      </c>
      <c r="T362" s="13" t="s" ph="1">
        <v>4640</v>
      </c>
      <c r="U362" s="16" t="s" ph="1">
        <v>706</v>
      </c>
      <c r="V362" s="17" ph="1">
        <v>1600</v>
      </c>
      <c r="W362" s="17" ph="1">
        <v>100</v>
      </c>
    </row>
    <row r="363" spans="1:25" ht="22.5" customHeight="1" ph="1" x14ac:dyDescent="0.35">
      <c r="C363" s="13" t="s" ph="1">
        <v>707</v>
      </c>
      <c r="G363" s="13" t="s" ph="1">
        <v>3599</v>
      </c>
      <c r="H363" s="13" t="s" ph="1">
        <v>716</v>
      </c>
      <c r="I363" s="13" t="s" ph="1">
        <v>4641</v>
      </c>
      <c r="M363" s="14" t="str" ph="1">
        <f>IFERROR(INDEX([1]!_born[生没年],
MATCH(I363,[1]!_born[作],0)),"")</f>
        <v/>
      </c>
      <c r="N363" s="14" t="str" ph="1">
        <f>IFERROR(INDEX([1]!_born[生没年],
MATCH(K363,[1]!_born[作],0)),"")</f>
        <v/>
      </c>
      <c r="O363" s="13" t="s" ph="1">
        <v>4642</v>
      </c>
      <c r="R363" s="16" t="s" ph="1">
        <v>2045</v>
      </c>
      <c r="S363" s="13" t="s" ph="1">
        <v>4643</v>
      </c>
      <c r="T363" s="13" t="s" ph="1">
        <v>4644</v>
      </c>
      <c r="U363" s="16" ph="1">
        <v>36865</v>
      </c>
      <c r="V363" s="17" ph="1">
        <f>1800*1.05</f>
        <v>1890</v>
      </c>
      <c r="W363" s="17" ph="1">
        <f>1800*1.05</f>
        <v>1890</v>
      </c>
    </row>
    <row r="364" spans="1:25" ht="22.5" customHeight="1" ph="1" x14ac:dyDescent="0.35">
      <c r="C364" s="13" t="s" ph="1">
        <v>707</v>
      </c>
      <c r="G364" s="13" t="s" ph="1">
        <v>3599</v>
      </c>
      <c r="H364" s="13" t="s" ph="1">
        <v>709</v>
      </c>
      <c r="I364" s="13" t="s" ph="1">
        <v>511</v>
      </c>
      <c r="K364" s="13" t="s" ph="1">
        <v>4645</v>
      </c>
      <c r="L364" s="13" t="s" ph="1">
        <v>3628</v>
      </c>
      <c r="M364" s="14" t="str" ph="1">
        <f>IFERROR(INDEX([1]!_born[生没年],
MATCH(I364,[1]!_born[作],0)),"")</f>
        <v/>
      </c>
      <c r="N364" s="14" t="str" ph="1">
        <f>IFERROR(INDEX([1]!_born[生没年],
MATCH(K364,[1]!_born[作],0)),"")</f>
        <v/>
      </c>
      <c r="O364" s="13" t="s" ph="1">
        <v>4646</v>
      </c>
      <c r="R364" s="16" t="s" ph="1">
        <v>2046</v>
      </c>
      <c r="T364" s="13" t="s" ph="1">
        <v>3810</v>
      </c>
      <c r="U364" s="16" ph="1">
        <v>36862</v>
      </c>
      <c r="V364" s="17" ph="1">
        <f>1500*1.05</f>
        <v>1575</v>
      </c>
      <c r="W364" s="17" ph="1">
        <f>1500*1.05</f>
        <v>1575</v>
      </c>
    </row>
    <row r="365" spans="1:25" s="19" customFormat="1" ht="22.5" customHeight="1" ph="1" x14ac:dyDescent="0.35">
      <c r="A365" s="107" ph="1"/>
      <c r="B365" s="18" ph="1"/>
      <c r="C365" s="19" t="s" ph="1">
        <v>707</v>
      </c>
      <c r="D365" s="124" ph="1"/>
      <c r="E365" s="124" ph="1"/>
      <c r="G365" s="19" t="s" ph="1">
        <v>4647</v>
      </c>
      <c r="H365" s="19" t="s" ph="1">
        <v>716</v>
      </c>
      <c r="M365" s="14" t="str" ph="1">
        <f>IFERROR(INDEX([1]!_born[生没年],
MATCH(I365,[1]!_born[作],0)),"")</f>
        <v/>
      </c>
      <c r="N365" s="27" t="str" ph="1">
        <f>IFERROR(INDEX([1]!_born[生没年],
MATCH(K365,[1]!_born[作],0)),"")</f>
        <v/>
      </c>
      <c r="O365" s="19" t="s" ph="1">
        <v>4648</v>
      </c>
      <c r="R365" s="20" ph="1"/>
      <c r="U365" s="20" ph="1"/>
      <c r="V365" s="21" ph="1"/>
      <c r="W365" s="21" ph="1"/>
      <c r="Y365" s="19" t="s" ph="1">
        <v>4649</v>
      </c>
    </row>
    <row r="366" spans="1:25" ht="22.5" customHeight="1" ph="1" x14ac:dyDescent="0.35">
      <c r="C366" s="13" t="s" ph="1">
        <v>707</v>
      </c>
      <c r="G366" s="13" t="s" ph="1">
        <v>3803</v>
      </c>
      <c r="H366" s="13" t="s" ph="1">
        <v>716</v>
      </c>
      <c r="M366" s="14" t="str" ph="1">
        <f>IFERROR(INDEX([1]!_born[生没年],
MATCH(I366,[1]!_born[作],0)),"")</f>
        <v/>
      </c>
      <c r="N366" s="14" t="str" ph="1">
        <f>IFERROR(INDEX([1]!_born[生没年],
MATCH(K366,[1]!_born[作],0)),"")</f>
        <v/>
      </c>
      <c r="O366" s="13" t="s" ph="1">
        <v>4650</v>
      </c>
    </row>
    <row r="367" spans="1:25" ht="22.5" customHeight="1" ph="1" x14ac:dyDescent="0.35">
      <c r="A367" s="106" t="s" ph="1">
        <v>2047</v>
      </c>
      <c r="B367" s="5" t="s" ph="1">
        <v>2048</v>
      </c>
      <c r="C367" s="13" t="s" ph="1">
        <v>707</v>
      </c>
      <c r="G367" s="13" t="s" ph="1">
        <v>3803</v>
      </c>
      <c r="H367" s="13" t="s" ph="1">
        <v>716</v>
      </c>
      <c r="I367" s="13" t="s" ph="1">
        <v>4651</v>
      </c>
      <c r="J367" s="13" t="s" ph="1">
        <v>4652</v>
      </c>
      <c r="M367" s="14" t="str" ph="1">
        <f>IFERROR(INDEX([1]!_born[生没年],
MATCH(I367,[1]!_born[作],0)),"")</f>
        <v/>
      </c>
      <c r="N367" s="14" t="str" ph="1">
        <f>IFERROR(INDEX([1]!_born[生没年],
MATCH(K367,[1]!_born[作],0)),"")</f>
        <v/>
      </c>
      <c r="O367" s="13" t="s" ph="1">
        <v>4653</v>
      </c>
      <c r="R367" s="16" ph="1">
        <v>38931</v>
      </c>
      <c r="S367" s="16" t="s" ph="1">
        <v>4654</v>
      </c>
      <c r="T367" s="13" t="s" ph="1">
        <v>4655</v>
      </c>
      <c r="U367" s="16" t="s" ph="1">
        <v>762</v>
      </c>
      <c r="V367" s="17" ph="1">
        <f>1300*1.05</f>
        <v>1365</v>
      </c>
      <c r="W367" s="17" ph="1">
        <f>1300*1.05</f>
        <v>1365</v>
      </c>
      <c r="X367" s="13" t="s" ph="1">
        <v>4656</v>
      </c>
    </row>
    <row r="368" spans="1:25" ht="22.5" customHeight="1" ph="1" x14ac:dyDescent="0.35">
      <c r="C368" s="13" t="s" ph="1">
        <v>4106</v>
      </c>
      <c r="D368" s="123" ph="1">
        <v>1</v>
      </c>
      <c r="E368" s="123" ph="1">
        <v>67</v>
      </c>
      <c r="G368" s="13" t="s" ph="1">
        <v>3803</v>
      </c>
      <c r="H368" s="13" t="s" ph="1">
        <v>716</v>
      </c>
      <c r="M368" s="14" t="str" ph="1">
        <f>IFERROR(INDEX([1]!_born[生没年],
MATCH(I368,[1]!_born[作],0)),"")</f>
        <v/>
      </c>
      <c r="N368" s="14" t="str" ph="1">
        <f>IFERROR(INDEX([1]!_born[生没年],
MATCH(K368,[1]!_born[作],0)),"")</f>
        <v/>
      </c>
      <c r="O368" s="13" t="s" ph="1">
        <v>4657</v>
      </c>
      <c r="S368" s="13" t="s" ph="1">
        <v>4658</v>
      </c>
      <c r="T368" s="13" t="s" ph="1">
        <v>4659</v>
      </c>
      <c r="U368" s="16" ph="1">
        <v>38259</v>
      </c>
      <c r="V368" s="17" ph="1">
        <v>160</v>
      </c>
      <c r="W368" s="17" ph="1">
        <v>0</v>
      </c>
      <c r="X368" s="13" t="s" ph="1">
        <v>4660</v>
      </c>
    </row>
    <row r="369" spans="3:24" ht="22.5" customHeight="1" ph="1" x14ac:dyDescent="0.35">
      <c r="C369" s="13" t="s" ph="1">
        <v>4106</v>
      </c>
      <c r="D369" s="123" ph="1">
        <v>9</v>
      </c>
      <c r="E369" s="123" ph="1">
        <v>67</v>
      </c>
      <c r="G369" s="13" t="s" ph="1">
        <v>3803</v>
      </c>
      <c r="H369" s="13" t="s" ph="1">
        <v>716</v>
      </c>
      <c r="M369" s="14" t="str" ph="1">
        <f>IFERROR(INDEX([1]!_born[生没年],
MATCH(I369,[1]!_born[作],0)),"")</f>
        <v/>
      </c>
      <c r="N369" s="14" t="str" ph="1">
        <f>IFERROR(INDEX([1]!_born[生没年],
MATCH(K369,[1]!_born[作],0)),"")</f>
        <v/>
      </c>
      <c r="O369" s="13" t="s" ph="1">
        <v>4661</v>
      </c>
      <c r="S369" s="13" t="s" ph="1">
        <v>4658</v>
      </c>
      <c r="T369" s="13" t="s" ph="1">
        <v>4659</v>
      </c>
      <c r="U369" s="16" ph="1">
        <v>38259</v>
      </c>
      <c r="V369" s="17" ph="1">
        <v>160</v>
      </c>
      <c r="W369" s="17" ph="1">
        <v>0</v>
      </c>
      <c r="X369" s="13" t="s" ph="1">
        <v>4660</v>
      </c>
    </row>
    <row r="370" spans="3:24" ht="22.5" customHeight="1" ph="1" x14ac:dyDescent="0.35">
      <c r="C370" s="13" t="s" ph="1">
        <v>4106</v>
      </c>
      <c r="D370" s="123" ph="1">
        <v>14</v>
      </c>
      <c r="E370" s="123" ph="1">
        <v>67</v>
      </c>
      <c r="G370" s="13" t="s" ph="1">
        <v>3803</v>
      </c>
      <c r="H370" s="13" t="s" ph="1">
        <v>716</v>
      </c>
      <c r="M370" s="14" t="str" ph="1">
        <f>IFERROR(INDEX([1]!_born[生没年],
MATCH(I370,[1]!_born[作],0)),"")</f>
        <v/>
      </c>
      <c r="N370" s="14" t="str" ph="1">
        <f>IFERROR(INDEX([1]!_born[生没年],
MATCH(K370,[1]!_born[作],0)),"")</f>
        <v/>
      </c>
      <c r="O370" s="13" t="s" ph="1">
        <v>4662</v>
      </c>
      <c r="S370" s="13" t="s" ph="1">
        <v>4658</v>
      </c>
      <c r="T370" s="13" t="s" ph="1">
        <v>4659</v>
      </c>
      <c r="U370" s="16" ph="1">
        <v>38259</v>
      </c>
      <c r="V370" s="17" ph="1">
        <v>160</v>
      </c>
      <c r="W370" s="17" ph="1">
        <v>0</v>
      </c>
      <c r="X370" s="13" t="s" ph="1">
        <v>4660</v>
      </c>
    </row>
    <row r="371" spans="3:24" ht="22.5" customHeight="1" ph="1" x14ac:dyDescent="0.35">
      <c r="C371" s="13" t="s" ph="1">
        <v>4106</v>
      </c>
      <c r="D371" s="123" ph="1">
        <v>22</v>
      </c>
      <c r="E371" s="123" ph="1">
        <v>67</v>
      </c>
      <c r="G371" s="13" t="s" ph="1">
        <v>3803</v>
      </c>
      <c r="H371" s="13" t="s" ph="1">
        <v>716</v>
      </c>
      <c r="M371" s="14" t="str" ph="1">
        <f>IFERROR(INDEX([1]!_born[生没年],
MATCH(I371,[1]!_born[作],0)),"")</f>
        <v/>
      </c>
      <c r="N371" s="14" t="str" ph="1">
        <f>IFERROR(INDEX([1]!_born[生没年],
MATCH(K371,[1]!_born[作],0)),"")</f>
        <v/>
      </c>
      <c r="O371" s="13" t="s" ph="1">
        <v>4663</v>
      </c>
      <c r="S371" s="13" t="s" ph="1">
        <v>4658</v>
      </c>
      <c r="T371" s="13" t="s" ph="1">
        <v>4659</v>
      </c>
      <c r="U371" s="16" ph="1">
        <v>38259</v>
      </c>
      <c r="V371" s="17" ph="1">
        <v>160</v>
      </c>
      <c r="W371" s="17" ph="1">
        <v>0</v>
      </c>
      <c r="X371" s="13" t="s" ph="1">
        <v>4660</v>
      </c>
    </row>
    <row r="372" spans="3:24" ht="22.5" customHeight="1" ph="1" x14ac:dyDescent="0.35">
      <c r="C372" s="13" t="s" ph="1">
        <v>4106</v>
      </c>
      <c r="D372" s="123" ph="1">
        <v>23</v>
      </c>
      <c r="E372" s="123" ph="1">
        <v>67</v>
      </c>
      <c r="G372" s="13" t="s" ph="1">
        <v>3803</v>
      </c>
      <c r="H372" s="13" t="s" ph="1">
        <v>716</v>
      </c>
      <c r="M372" s="14" t="str" ph="1">
        <f>IFERROR(INDEX([1]!_born[生没年],
MATCH(I372,[1]!_born[作],0)),"")</f>
        <v/>
      </c>
      <c r="N372" s="14" t="str" ph="1">
        <f>IFERROR(INDEX([1]!_born[生没年],
MATCH(K372,[1]!_born[作],0)),"")</f>
        <v/>
      </c>
      <c r="O372" s="13" t="s" ph="1">
        <v>4664</v>
      </c>
      <c r="S372" s="13" t="s" ph="1">
        <v>4658</v>
      </c>
      <c r="T372" s="13" t="s" ph="1">
        <v>4659</v>
      </c>
      <c r="U372" s="16" ph="1">
        <v>38259</v>
      </c>
      <c r="V372" s="17" ph="1">
        <v>160</v>
      </c>
      <c r="W372" s="17" ph="1">
        <v>0</v>
      </c>
      <c r="X372" s="13" t="s" ph="1">
        <v>4660</v>
      </c>
    </row>
    <row r="373" spans="3:24" ht="22.5" customHeight="1" ph="1" x14ac:dyDescent="0.35">
      <c r="C373" s="13" t="s" ph="1">
        <v>4106</v>
      </c>
      <c r="D373" s="123" ph="1">
        <v>24</v>
      </c>
      <c r="E373" s="123" ph="1">
        <v>67</v>
      </c>
      <c r="G373" s="13" t="s" ph="1">
        <v>3803</v>
      </c>
      <c r="H373" s="13" t="s" ph="1">
        <v>716</v>
      </c>
      <c r="M373" s="14" t="str" ph="1">
        <f>IFERROR(INDEX([1]!_born[生没年],
MATCH(I373,[1]!_born[作],0)),"")</f>
        <v/>
      </c>
      <c r="N373" s="14" t="str" ph="1">
        <f>IFERROR(INDEX([1]!_born[生没年],
MATCH(K373,[1]!_born[作],0)),"")</f>
        <v/>
      </c>
      <c r="O373" s="13" t="s" ph="1">
        <v>4665</v>
      </c>
      <c r="S373" s="13" t="s" ph="1">
        <v>4658</v>
      </c>
      <c r="T373" s="13" t="s" ph="1">
        <v>4659</v>
      </c>
      <c r="U373" s="16" ph="1">
        <v>38259</v>
      </c>
      <c r="V373" s="17" ph="1">
        <v>160</v>
      </c>
      <c r="W373" s="17" ph="1">
        <v>0</v>
      </c>
      <c r="X373" s="13" t="s" ph="1">
        <v>4660</v>
      </c>
    </row>
    <row r="374" spans="3:24" ht="22.5" customHeight="1" ph="1" x14ac:dyDescent="0.35">
      <c r="C374" s="13" t="s" ph="1">
        <v>4106</v>
      </c>
      <c r="D374" s="123" ph="1">
        <v>26</v>
      </c>
      <c r="E374" s="123" ph="1">
        <v>67</v>
      </c>
      <c r="G374" s="13" t="s" ph="1">
        <v>3803</v>
      </c>
      <c r="H374" s="13" t="s" ph="1">
        <v>716</v>
      </c>
      <c r="M374" s="14" t="str" ph="1">
        <f>IFERROR(INDEX([1]!_born[生没年],
MATCH(I374,[1]!_born[作],0)),"")</f>
        <v/>
      </c>
      <c r="N374" s="14" t="str" ph="1">
        <f>IFERROR(INDEX([1]!_born[生没年],
MATCH(K374,[1]!_born[作],0)),"")</f>
        <v/>
      </c>
      <c r="O374" s="13" t="s" ph="1">
        <v>4666</v>
      </c>
      <c r="S374" s="13" t="s" ph="1">
        <v>4658</v>
      </c>
      <c r="T374" s="13" t="s" ph="1">
        <v>4659</v>
      </c>
      <c r="U374" s="16" ph="1">
        <v>38259</v>
      </c>
      <c r="V374" s="17" ph="1">
        <v>160</v>
      </c>
      <c r="W374" s="17" ph="1">
        <v>0</v>
      </c>
      <c r="X374" s="13" t="s" ph="1">
        <v>4660</v>
      </c>
    </row>
    <row r="375" spans="3:24" ht="22.5" customHeight="1" ph="1" x14ac:dyDescent="0.35">
      <c r="C375" s="13" t="s" ph="1">
        <v>4106</v>
      </c>
      <c r="D375" s="123" ph="1">
        <v>29</v>
      </c>
      <c r="E375" s="123" ph="1">
        <v>67</v>
      </c>
      <c r="G375" s="13" t="s" ph="1">
        <v>3803</v>
      </c>
      <c r="H375" s="13" t="s" ph="1">
        <v>716</v>
      </c>
      <c r="M375" s="14" t="str" ph="1">
        <f>IFERROR(INDEX([1]!_born[生没年],
MATCH(I375,[1]!_born[作],0)),"")</f>
        <v/>
      </c>
      <c r="N375" s="14" t="str" ph="1">
        <f>IFERROR(INDEX([1]!_born[生没年],
MATCH(K375,[1]!_born[作],0)),"")</f>
        <v/>
      </c>
      <c r="O375" s="13" t="s" ph="1">
        <v>4667</v>
      </c>
      <c r="S375" s="13" t="s" ph="1">
        <v>4658</v>
      </c>
      <c r="T375" s="13" t="s" ph="1">
        <v>4659</v>
      </c>
      <c r="U375" s="16" ph="1">
        <v>38259</v>
      </c>
      <c r="V375" s="17" ph="1">
        <v>160</v>
      </c>
      <c r="W375" s="17" ph="1">
        <v>0</v>
      </c>
      <c r="X375" s="13" t="s" ph="1">
        <v>4660</v>
      </c>
    </row>
    <row r="376" spans="3:24" ht="22.5" customHeight="1" ph="1" x14ac:dyDescent="0.35">
      <c r="C376" s="13" t="s" ph="1">
        <v>4106</v>
      </c>
      <c r="D376" s="123" ph="1">
        <v>32</v>
      </c>
      <c r="E376" s="123" ph="1">
        <v>67</v>
      </c>
      <c r="G376" s="13" t="s" ph="1">
        <v>3803</v>
      </c>
      <c r="H376" s="13" t="s" ph="1">
        <v>716</v>
      </c>
      <c r="M376" s="14" t="str" ph="1">
        <f>IFERROR(INDEX([1]!_born[生没年],
MATCH(I376,[1]!_born[作],0)),"")</f>
        <v/>
      </c>
      <c r="N376" s="14" t="str" ph="1">
        <f>IFERROR(INDEX([1]!_born[生没年],
MATCH(K376,[1]!_born[作],0)),"")</f>
        <v/>
      </c>
      <c r="O376" s="13" t="s" ph="1">
        <v>4668</v>
      </c>
      <c r="S376" s="13" t="s" ph="1">
        <v>4658</v>
      </c>
      <c r="T376" s="13" t="s" ph="1">
        <v>4659</v>
      </c>
      <c r="U376" s="16" ph="1">
        <v>38259</v>
      </c>
      <c r="V376" s="17" ph="1">
        <v>160</v>
      </c>
      <c r="W376" s="17" ph="1">
        <v>0</v>
      </c>
      <c r="X376" s="13" t="s" ph="1">
        <v>4660</v>
      </c>
    </row>
    <row r="377" spans="3:24" ht="22.5" customHeight="1" ph="1" x14ac:dyDescent="0.35">
      <c r="C377" s="13" t="s" ph="1">
        <v>4106</v>
      </c>
      <c r="D377" s="123" ph="1">
        <v>33</v>
      </c>
      <c r="E377" s="123" ph="1">
        <v>67</v>
      </c>
      <c r="G377" s="13" t="s" ph="1">
        <v>3803</v>
      </c>
      <c r="H377" s="13" t="s" ph="1">
        <v>716</v>
      </c>
      <c r="M377" s="14" t="str" ph="1">
        <f>IFERROR(INDEX([1]!_born[生没年],
MATCH(I377,[1]!_born[作],0)),"")</f>
        <v/>
      </c>
      <c r="N377" s="14" t="str" ph="1">
        <f>IFERROR(INDEX([1]!_born[生没年],
MATCH(K377,[1]!_born[作],0)),"")</f>
        <v/>
      </c>
      <c r="O377" s="13" t="s" ph="1">
        <v>4669</v>
      </c>
      <c r="S377" s="13" t="s" ph="1">
        <v>4658</v>
      </c>
      <c r="T377" s="13" t="s" ph="1">
        <v>4659</v>
      </c>
      <c r="U377" s="16" ph="1">
        <v>38259</v>
      </c>
      <c r="V377" s="17" ph="1">
        <v>160</v>
      </c>
      <c r="W377" s="17" ph="1">
        <v>0</v>
      </c>
      <c r="X377" s="13" t="s" ph="1">
        <v>4660</v>
      </c>
    </row>
    <row r="378" spans="3:24" ht="22.5" customHeight="1" ph="1" x14ac:dyDescent="0.35">
      <c r="C378" s="13" t="s" ph="1">
        <v>4106</v>
      </c>
      <c r="D378" s="123" ph="1">
        <v>34</v>
      </c>
      <c r="E378" s="123" ph="1">
        <v>67</v>
      </c>
      <c r="G378" s="13" t="s" ph="1">
        <v>3803</v>
      </c>
      <c r="H378" s="13" t="s" ph="1">
        <v>716</v>
      </c>
      <c r="M378" s="14" t="str" ph="1">
        <f>IFERROR(INDEX([1]!_born[生没年],
MATCH(I378,[1]!_born[作],0)),"")</f>
        <v/>
      </c>
      <c r="N378" s="14" t="str" ph="1">
        <f>IFERROR(INDEX([1]!_born[生没年],
MATCH(K378,[1]!_born[作],0)),"")</f>
        <v/>
      </c>
      <c r="O378" s="13" t="s" ph="1">
        <v>4670</v>
      </c>
      <c r="S378" s="13" t="s" ph="1">
        <v>4658</v>
      </c>
      <c r="T378" s="13" t="s" ph="1">
        <v>4659</v>
      </c>
      <c r="U378" s="16" ph="1">
        <v>38259</v>
      </c>
      <c r="V378" s="17" ph="1">
        <v>160</v>
      </c>
      <c r="W378" s="17" ph="1">
        <v>0</v>
      </c>
      <c r="X378" s="13" t="s" ph="1">
        <v>4660</v>
      </c>
    </row>
    <row r="379" spans="3:24" ht="22.5" customHeight="1" ph="1" x14ac:dyDescent="0.35">
      <c r="C379" s="13" t="s" ph="1">
        <v>4106</v>
      </c>
      <c r="D379" s="123" ph="1">
        <v>37</v>
      </c>
      <c r="E379" s="123" ph="1">
        <v>67</v>
      </c>
      <c r="G379" s="13" t="s" ph="1">
        <v>3803</v>
      </c>
      <c r="H379" s="13" t="s" ph="1">
        <v>716</v>
      </c>
      <c r="M379" s="14" t="str" ph="1">
        <f>IFERROR(INDEX([1]!_born[生没年],
MATCH(I379,[1]!_born[作],0)),"")</f>
        <v/>
      </c>
      <c r="N379" s="14" t="str" ph="1">
        <f>IFERROR(INDEX([1]!_born[生没年],
MATCH(K379,[1]!_born[作],0)),"")</f>
        <v/>
      </c>
      <c r="O379" s="13" t="s" ph="1">
        <v>4671</v>
      </c>
      <c r="S379" s="13" t="s" ph="1">
        <v>4658</v>
      </c>
      <c r="T379" s="13" t="s" ph="1">
        <v>4659</v>
      </c>
      <c r="U379" s="16" ph="1">
        <v>38259</v>
      </c>
      <c r="V379" s="17" ph="1">
        <v>160</v>
      </c>
      <c r="W379" s="17" ph="1">
        <v>0</v>
      </c>
      <c r="X379" s="13" t="s" ph="1">
        <v>4660</v>
      </c>
    </row>
    <row r="380" spans="3:24" ht="22.5" customHeight="1" ph="1" x14ac:dyDescent="0.35">
      <c r="C380" s="13" t="s" ph="1">
        <v>4106</v>
      </c>
      <c r="D380" s="123" ph="1">
        <v>38</v>
      </c>
      <c r="E380" s="123" ph="1">
        <v>67</v>
      </c>
      <c r="G380" s="13" t="s" ph="1">
        <v>3803</v>
      </c>
      <c r="H380" s="13" t="s" ph="1">
        <v>716</v>
      </c>
      <c r="M380" s="14" t="str" ph="1">
        <f>IFERROR(INDEX([1]!_born[生没年],
MATCH(I380,[1]!_born[作],0)),"")</f>
        <v/>
      </c>
      <c r="N380" s="14" t="str" ph="1">
        <f>IFERROR(INDEX([1]!_born[生没年],
MATCH(K380,[1]!_born[作],0)),"")</f>
        <v/>
      </c>
      <c r="O380" s="13" t="s" ph="1">
        <v>4672</v>
      </c>
      <c r="S380" s="13" t="s" ph="1">
        <v>4658</v>
      </c>
      <c r="T380" s="13" t="s" ph="1">
        <v>4659</v>
      </c>
      <c r="U380" s="16" ph="1">
        <v>38259</v>
      </c>
      <c r="V380" s="17" ph="1">
        <v>160</v>
      </c>
      <c r="W380" s="17" ph="1">
        <v>0</v>
      </c>
      <c r="X380" s="13" t="s" ph="1">
        <v>4660</v>
      </c>
    </row>
    <row r="381" spans="3:24" ht="22.5" customHeight="1" ph="1" x14ac:dyDescent="0.35">
      <c r="C381" s="13" t="s" ph="1">
        <v>4106</v>
      </c>
      <c r="D381" s="123" ph="1">
        <v>39</v>
      </c>
      <c r="E381" s="123" ph="1">
        <v>67</v>
      </c>
      <c r="G381" s="13" t="s" ph="1">
        <v>3803</v>
      </c>
      <c r="H381" s="13" t="s" ph="1">
        <v>716</v>
      </c>
      <c r="M381" s="14" t="str" ph="1">
        <f>IFERROR(INDEX([1]!_born[生没年],
MATCH(I381,[1]!_born[作],0)),"")</f>
        <v/>
      </c>
      <c r="N381" s="14" t="str" ph="1">
        <f>IFERROR(INDEX([1]!_born[生没年],
MATCH(K381,[1]!_born[作],0)),"")</f>
        <v/>
      </c>
      <c r="O381" s="13" t="s" ph="1">
        <v>4673</v>
      </c>
      <c r="S381" s="13" t="s" ph="1">
        <v>4658</v>
      </c>
      <c r="T381" s="13" t="s" ph="1">
        <v>4659</v>
      </c>
      <c r="U381" s="16" ph="1">
        <v>38259</v>
      </c>
      <c r="V381" s="17" ph="1">
        <v>160</v>
      </c>
      <c r="W381" s="17" ph="1">
        <v>0</v>
      </c>
      <c r="X381" s="13" t="s" ph="1">
        <v>4660</v>
      </c>
    </row>
    <row r="382" spans="3:24" ht="22.5" customHeight="1" ph="1" x14ac:dyDescent="0.35">
      <c r="C382" s="13" t="s" ph="1">
        <v>4106</v>
      </c>
      <c r="D382" s="123" ph="1">
        <v>43</v>
      </c>
      <c r="E382" s="123" ph="1">
        <v>67</v>
      </c>
      <c r="G382" s="13" t="s" ph="1">
        <v>3803</v>
      </c>
      <c r="H382" s="13" t="s" ph="1">
        <v>716</v>
      </c>
      <c r="M382" s="14" t="str" ph="1">
        <f>IFERROR(INDEX([1]!_born[生没年],
MATCH(I382,[1]!_born[作],0)),"")</f>
        <v/>
      </c>
      <c r="N382" s="14" t="str" ph="1">
        <f>IFERROR(INDEX([1]!_born[生没年],
MATCH(K382,[1]!_born[作],0)),"")</f>
        <v/>
      </c>
      <c r="O382" s="13" t="s" ph="1">
        <v>4674</v>
      </c>
      <c r="S382" s="13" t="s" ph="1">
        <v>4658</v>
      </c>
      <c r="T382" s="13" t="s" ph="1">
        <v>4659</v>
      </c>
      <c r="U382" s="16" ph="1">
        <v>38259</v>
      </c>
      <c r="V382" s="17" ph="1">
        <v>160</v>
      </c>
      <c r="W382" s="17" ph="1">
        <v>0</v>
      </c>
      <c r="X382" s="13" t="s" ph="1">
        <v>4660</v>
      </c>
    </row>
    <row r="383" spans="3:24" ht="22.5" customHeight="1" ph="1" x14ac:dyDescent="0.35">
      <c r="C383" s="13" t="s" ph="1">
        <v>4106</v>
      </c>
      <c r="D383" s="123" ph="1">
        <v>45</v>
      </c>
      <c r="E383" s="123" ph="1">
        <v>67</v>
      </c>
      <c r="G383" s="13" t="s" ph="1">
        <v>3803</v>
      </c>
      <c r="H383" s="13" t="s" ph="1">
        <v>716</v>
      </c>
      <c r="M383" s="14" t="str" ph="1">
        <f>IFERROR(INDEX([1]!_born[生没年],
MATCH(I383,[1]!_born[作],0)),"")</f>
        <v/>
      </c>
      <c r="N383" s="14" t="str" ph="1">
        <f>IFERROR(INDEX([1]!_born[生没年],
MATCH(K383,[1]!_born[作],0)),"")</f>
        <v/>
      </c>
      <c r="O383" s="13" t="s" ph="1">
        <v>4675</v>
      </c>
      <c r="S383" s="13" t="s" ph="1">
        <v>4658</v>
      </c>
      <c r="T383" s="13" t="s" ph="1">
        <v>4659</v>
      </c>
      <c r="U383" s="16" ph="1">
        <v>38259</v>
      </c>
      <c r="V383" s="17" ph="1">
        <v>160</v>
      </c>
      <c r="W383" s="17" ph="1">
        <v>0</v>
      </c>
      <c r="X383" s="13" t="s" ph="1">
        <v>4660</v>
      </c>
    </row>
    <row r="384" spans="3:24" ht="22.5" customHeight="1" ph="1" x14ac:dyDescent="0.35">
      <c r="C384" s="13" t="s" ph="1">
        <v>4106</v>
      </c>
      <c r="D384" s="123" ph="1">
        <v>47</v>
      </c>
      <c r="E384" s="123" ph="1">
        <v>67</v>
      </c>
      <c r="G384" s="13" t="s" ph="1">
        <v>3803</v>
      </c>
      <c r="H384" s="13" t="s" ph="1">
        <v>716</v>
      </c>
      <c r="M384" s="14" t="str" ph="1">
        <f>IFERROR(INDEX([1]!_born[生没年],
MATCH(I384,[1]!_born[作],0)),"")</f>
        <v/>
      </c>
      <c r="N384" s="14" t="str" ph="1">
        <f>IFERROR(INDEX([1]!_born[生没年],
MATCH(K384,[1]!_born[作],0)),"")</f>
        <v/>
      </c>
      <c r="O384" s="13" t="s" ph="1">
        <v>4676</v>
      </c>
      <c r="S384" s="13" t="s" ph="1">
        <v>4658</v>
      </c>
      <c r="T384" s="13" t="s" ph="1">
        <v>4659</v>
      </c>
      <c r="U384" s="16" ph="1">
        <v>38259</v>
      </c>
      <c r="V384" s="17" ph="1">
        <v>160</v>
      </c>
      <c r="W384" s="17" ph="1">
        <v>0</v>
      </c>
      <c r="X384" s="13" t="s" ph="1">
        <v>4660</v>
      </c>
    </row>
    <row r="385" spans="3:25" ht="22.5" customHeight="1" ph="1" x14ac:dyDescent="0.35">
      <c r="C385" s="13" t="s" ph="1">
        <v>4106</v>
      </c>
      <c r="D385" s="123" ph="1">
        <v>48</v>
      </c>
      <c r="E385" s="123" ph="1">
        <v>67</v>
      </c>
      <c r="G385" s="13" t="s" ph="1">
        <v>3803</v>
      </c>
      <c r="H385" s="13" t="s" ph="1">
        <v>716</v>
      </c>
      <c r="M385" s="14" t="str" ph="1">
        <f>IFERROR(INDEX([1]!_born[生没年],
MATCH(I385,[1]!_born[作],0)),"")</f>
        <v/>
      </c>
      <c r="N385" s="14" t="str" ph="1">
        <f>IFERROR(INDEX([1]!_born[生没年],
MATCH(K385,[1]!_born[作],0)),"")</f>
        <v/>
      </c>
      <c r="O385" s="13" t="s" ph="1">
        <v>4677</v>
      </c>
      <c r="S385" s="13" t="s" ph="1">
        <v>4658</v>
      </c>
      <c r="T385" s="13" t="s" ph="1">
        <v>4659</v>
      </c>
      <c r="U385" s="16" ph="1">
        <v>38259</v>
      </c>
      <c r="V385" s="17" ph="1">
        <v>160</v>
      </c>
      <c r="W385" s="17" ph="1">
        <v>0</v>
      </c>
      <c r="X385" s="13" t="s" ph="1">
        <v>4660</v>
      </c>
    </row>
    <row r="386" spans="3:25" ht="22.5" customHeight="1" ph="1" x14ac:dyDescent="0.35">
      <c r="C386" s="13" t="s" ph="1">
        <v>4106</v>
      </c>
      <c r="D386" s="123" ph="1">
        <v>49</v>
      </c>
      <c r="E386" s="123" ph="1">
        <v>67</v>
      </c>
      <c r="G386" s="13" t="s" ph="1">
        <v>3803</v>
      </c>
      <c r="H386" s="13" t="s" ph="1">
        <v>716</v>
      </c>
      <c r="M386" s="14" t="str" ph="1">
        <f>IFERROR(INDEX([1]!_born[生没年],
MATCH(I386,[1]!_born[作],0)),"")</f>
        <v/>
      </c>
      <c r="N386" s="14" t="str" ph="1">
        <f>IFERROR(INDEX([1]!_born[生没年],
MATCH(K386,[1]!_born[作],0)),"")</f>
        <v/>
      </c>
      <c r="O386" s="13" t="s" ph="1">
        <v>4678</v>
      </c>
      <c r="S386" s="13" t="s" ph="1">
        <v>4658</v>
      </c>
      <c r="T386" s="13" t="s" ph="1">
        <v>4659</v>
      </c>
      <c r="U386" s="16" ph="1">
        <v>38259</v>
      </c>
      <c r="V386" s="17" ph="1">
        <v>160</v>
      </c>
      <c r="W386" s="17" ph="1">
        <v>0</v>
      </c>
      <c r="X386" s="13" t="s" ph="1">
        <v>4660</v>
      </c>
    </row>
    <row r="387" spans="3:25" ht="22.5" customHeight="1" ph="1" x14ac:dyDescent="0.35">
      <c r="C387" s="13" t="s" ph="1">
        <v>4106</v>
      </c>
      <c r="D387" s="123" ph="1">
        <v>50</v>
      </c>
      <c r="E387" s="123" ph="1">
        <v>67</v>
      </c>
      <c r="G387" s="13" t="s" ph="1">
        <v>3803</v>
      </c>
      <c r="H387" s="13" t="s" ph="1">
        <v>716</v>
      </c>
      <c r="M387" s="14" t="str" ph="1">
        <f>IFERROR(INDEX([1]!_born[生没年],
MATCH(I387,[1]!_born[作],0)),"")</f>
        <v/>
      </c>
      <c r="N387" s="14" t="str" ph="1">
        <f>IFERROR(INDEX([1]!_born[生没年],
MATCH(K387,[1]!_born[作],0)),"")</f>
        <v/>
      </c>
      <c r="O387" s="13" t="s" ph="1">
        <v>4679</v>
      </c>
      <c r="S387" s="13" t="s" ph="1">
        <v>4658</v>
      </c>
      <c r="T387" s="13" t="s" ph="1">
        <v>4659</v>
      </c>
      <c r="U387" s="16" ph="1">
        <v>38259</v>
      </c>
      <c r="V387" s="17" ph="1">
        <v>160</v>
      </c>
      <c r="W387" s="17" ph="1">
        <v>0</v>
      </c>
      <c r="X387" s="13" t="s" ph="1">
        <v>4660</v>
      </c>
    </row>
    <row r="388" spans="3:25" ht="22.5" customHeight="1" ph="1" x14ac:dyDescent="0.35">
      <c r="C388" s="13" t="s" ph="1">
        <v>4106</v>
      </c>
      <c r="D388" s="123" ph="1">
        <v>52</v>
      </c>
      <c r="E388" s="123" ph="1">
        <v>67</v>
      </c>
      <c r="G388" s="13" t="s" ph="1">
        <v>3803</v>
      </c>
      <c r="H388" s="13" t="s" ph="1">
        <v>716</v>
      </c>
      <c r="M388" s="14" t="str" ph="1">
        <f>IFERROR(INDEX([1]!_born[生没年],
MATCH(I388,[1]!_born[作],0)),"")</f>
        <v/>
      </c>
      <c r="N388" s="14" t="str" ph="1">
        <f>IFERROR(INDEX([1]!_born[生没年],
MATCH(K388,[1]!_born[作],0)),"")</f>
        <v/>
      </c>
      <c r="O388" s="13" t="s" ph="1">
        <v>4680</v>
      </c>
      <c r="S388" s="13" t="s" ph="1">
        <v>4658</v>
      </c>
      <c r="T388" s="13" t="s" ph="1">
        <v>4659</v>
      </c>
      <c r="U388" s="16" ph="1">
        <v>38259</v>
      </c>
      <c r="V388" s="17" ph="1">
        <v>160</v>
      </c>
      <c r="W388" s="17" ph="1">
        <v>0</v>
      </c>
      <c r="X388" s="13" t="s" ph="1">
        <v>4660</v>
      </c>
    </row>
    <row r="389" spans="3:25" ht="22.5" customHeight="1" ph="1" x14ac:dyDescent="0.35">
      <c r="C389" s="13" t="s" ph="1">
        <v>4106</v>
      </c>
      <c r="D389" s="123" ph="1">
        <v>57</v>
      </c>
      <c r="E389" s="123" ph="1">
        <v>67</v>
      </c>
      <c r="G389" s="13" t="s" ph="1">
        <v>3803</v>
      </c>
      <c r="H389" s="13" t="s" ph="1">
        <v>716</v>
      </c>
      <c r="M389" s="14" t="str" ph="1">
        <f>IFERROR(INDEX([1]!_born[生没年],
MATCH(I389,[1]!_born[作],0)),"")</f>
        <v/>
      </c>
      <c r="N389" s="14" t="str" ph="1">
        <f>IFERROR(INDEX([1]!_born[生没年],
MATCH(K389,[1]!_born[作],0)),"")</f>
        <v/>
      </c>
      <c r="O389" s="13" t="s" ph="1">
        <v>4681</v>
      </c>
      <c r="S389" s="13" t="s" ph="1">
        <v>4658</v>
      </c>
      <c r="T389" s="13" t="s" ph="1">
        <v>4659</v>
      </c>
      <c r="U389" s="16" ph="1">
        <v>38259</v>
      </c>
      <c r="V389" s="17" ph="1">
        <v>160</v>
      </c>
      <c r="W389" s="17" ph="1">
        <v>0</v>
      </c>
      <c r="X389" s="13" t="s" ph="1">
        <v>4660</v>
      </c>
    </row>
    <row r="390" spans="3:25" ht="22.5" customHeight="1" ph="1" x14ac:dyDescent="0.35">
      <c r="C390" s="13" t="s" ph="1">
        <v>4106</v>
      </c>
      <c r="D390" s="123" ph="1">
        <v>58</v>
      </c>
      <c r="E390" s="123" ph="1">
        <v>67</v>
      </c>
      <c r="G390" s="13" t="s" ph="1">
        <v>3803</v>
      </c>
      <c r="H390" s="13" t="s" ph="1">
        <v>716</v>
      </c>
      <c r="M390" s="14" t="str" ph="1">
        <f>IFERROR(INDEX([1]!_born[生没年],
MATCH(I390,[1]!_born[作],0)),"")</f>
        <v/>
      </c>
      <c r="N390" s="14" t="str" ph="1">
        <f>IFERROR(INDEX([1]!_born[生没年],
MATCH(K390,[1]!_born[作],0)),"")</f>
        <v/>
      </c>
      <c r="O390" s="13" t="s" ph="1">
        <v>4682</v>
      </c>
      <c r="S390" s="13" t="s" ph="1">
        <v>4658</v>
      </c>
      <c r="T390" s="13" t="s" ph="1">
        <v>4659</v>
      </c>
      <c r="U390" s="16" ph="1">
        <v>38259</v>
      </c>
      <c r="V390" s="17" ph="1">
        <v>160</v>
      </c>
      <c r="W390" s="17" ph="1">
        <v>0</v>
      </c>
      <c r="X390" s="13" t="s" ph="1">
        <v>4660</v>
      </c>
    </row>
    <row r="391" spans="3:25" ht="22.5" customHeight="1" ph="1" x14ac:dyDescent="0.35">
      <c r="C391" s="13" t="s" ph="1">
        <v>4106</v>
      </c>
      <c r="D391" s="123" ph="1">
        <v>61</v>
      </c>
      <c r="E391" s="123" ph="1">
        <v>67</v>
      </c>
      <c r="G391" s="13" t="s" ph="1">
        <v>3803</v>
      </c>
      <c r="H391" s="13" t="s" ph="1">
        <v>716</v>
      </c>
      <c r="M391" s="14" t="str" ph="1">
        <f>IFERROR(INDEX([1]!_born[生没年],
MATCH(I391,[1]!_born[作],0)),"")</f>
        <v/>
      </c>
      <c r="N391" s="14" t="str" ph="1">
        <f>IFERROR(INDEX([1]!_born[生没年],
MATCH(K391,[1]!_born[作],0)),"")</f>
        <v/>
      </c>
      <c r="O391" s="13" t="s" ph="1">
        <v>4683</v>
      </c>
      <c r="S391" s="13" t="s" ph="1">
        <v>4658</v>
      </c>
      <c r="T391" s="13" t="s" ph="1">
        <v>4659</v>
      </c>
      <c r="U391" s="16" ph="1">
        <v>38259</v>
      </c>
      <c r="V391" s="17" ph="1">
        <v>160</v>
      </c>
      <c r="W391" s="17" ph="1">
        <v>0</v>
      </c>
      <c r="X391" s="13" t="s" ph="1">
        <v>4660</v>
      </c>
    </row>
    <row r="392" spans="3:25" ht="22.5" customHeight="1" ph="1" x14ac:dyDescent="0.35">
      <c r="C392" s="13" t="s" ph="1">
        <v>4106</v>
      </c>
      <c r="D392" s="123" ph="1">
        <v>63</v>
      </c>
      <c r="E392" s="123" ph="1">
        <v>67</v>
      </c>
      <c r="G392" s="13" t="s" ph="1">
        <v>3803</v>
      </c>
      <c r="H392" s="13" t="s" ph="1">
        <v>716</v>
      </c>
      <c r="M392" s="14" t="str" ph="1">
        <f>IFERROR(INDEX([1]!_born[生没年],
MATCH(I392,[1]!_born[作],0)),"")</f>
        <v/>
      </c>
      <c r="N392" s="14" t="str" ph="1">
        <f>IFERROR(INDEX([1]!_born[生没年],
MATCH(K392,[1]!_born[作],0)),"")</f>
        <v/>
      </c>
      <c r="O392" s="13" t="s" ph="1">
        <v>4684</v>
      </c>
      <c r="S392" s="13" t="s" ph="1">
        <v>4658</v>
      </c>
      <c r="T392" s="13" t="s" ph="1">
        <v>4659</v>
      </c>
      <c r="U392" s="16" ph="1">
        <v>38259</v>
      </c>
      <c r="V392" s="17" ph="1">
        <v>160</v>
      </c>
      <c r="W392" s="17" ph="1">
        <v>0</v>
      </c>
      <c r="X392" s="13" t="s" ph="1">
        <v>4660</v>
      </c>
    </row>
    <row r="393" spans="3:25" ht="22.5" customHeight="1" ph="1" x14ac:dyDescent="0.35">
      <c r="C393" s="13" t="s" ph="1">
        <v>4106</v>
      </c>
      <c r="D393" s="123" ph="1">
        <v>67</v>
      </c>
      <c r="E393" s="123" ph="1">
        <v>67</v>
      </c>
      <c r="G393" s="13" t="s" ph="1">
        <v>3803</v>
      </c>
      <c r="H393" s="13" t="s" ph="1">
        <v>716</v>
      </c>
      <c r="M393" s="14" t="str" ph="1">
        <f>IFERROR(INDEX([1]!_born[生没年],
MATCH(I393,[1]!_born[作],0)),"")</f>
        <v/>
      </c>
      <c r="N393" s="14" t="str" ph="1">
        <f>IFERROR(INDEX([1]!_born[生没年],
MATCH(K393,[1]!_born[作],0)),"")</f>
        <v/>
      </c>
      <c r="O393" s="13" t="s" ph="1">
        <v>4685</v>
      </c>
      <c r="S393" s="13" t="s" ph="1">
        <v>4658</v>
      </c>
      <c r="T393" s="13" t="s" ph="1">
        <v>4659</v>
      </c>
      <c r="U393" s="16" ph="1">
        <v>38259</v>
      </c>
      <c r="V393" s="17" ph="1">
        <v>160</v>
      </c>
      <c r="W393" s="17" ph="1">
        <v>0</v>
      </c>
      <c r="X393" s="13" t="s" ph="1">
        <v>4660</v>
      </c>
    </row>
    <row r="394" spans="3:25" ht="22.5" customHeight="1" ph="1" x14ac:dyDescent="0.35">
      <c r="C394" s="13" t="s" ph="1">
        <v>707</v>
      </c>
      <c r="G394" s="13" t="s" ph="1">
        <v>1125</v>
      </c>
      <c r="H394" s="13" t="s" ph="1">
        <v>709</v>
      </c>
      <c r="I394" s="13" t="s" ph="1">
        <v>4686</v>
      </c>
      <c r="M394" s="14" t="str" ph="1">
        <f>IFERROR(INDEX([1]!_born[生没年],
MATCH(I394,[1]!_born[作],0)),"")</f>
        <v/>
      </c>
      <c r="N394" s="14" t="str" ph="1">
        <f>IFERROR(INDEX([1]!_born[生没年],
MATCH(K394,[1]!_born[作],0)),"")</f>
        <v/>
      </c>
      <c r="O394" s="13" t="s" ph="1">
        <v>4687</v>
      </c>
      <c r="S394" s="13" t="s" ph="1">
        <v>4688</v>
      </c>
      <c r="T394" s="13" t="s" ph="1">
        <v>525</v>
      </c>
      <c r="U394" s="16" ph="1">
        <v>36838</v>
      </c>
      <c r="V394" s="17" ph="1">
        <v>1500</v>
      </c>
      <c r="W394" s="17" ph="1">
        <v>1000</v>
      </c>
      <c r="X394" s="13" t="s" ph="1">
        <v>4001</v>
      </c>
      <c r="Y394" s="13" t="s" ph="1">
        <v>4021</v>
      </c>
    </row>
    <row r="395" spans="3:25" ht="22.5" customHeight="1" ph="1" x14ac:dyDescent="0.35">
      <c r="C395" s="13" t="s" ph="1">
        <v>707</v>
      </c>
      <c r="G395" s="13" t="s" ph="1">
        <v>1125</v>
      </c>
      <c r="H395" s="13" t="s" ph="1">
        <v>709</v>
      </c>
      <c r="I395" s="13" t="s" ph="1">
        <v>4689</v>
      </c>
      <c r="M395" s="14" t="str" ph="1">
        <f>IFERROR(INDEX([1]!_born[生没年],
MATCH(I395,[1]!_born[作],0)),"")</f>
        <v/>
      </c>
      <c r="N395" s="14" t="str" ph="1">
        <f>IFERROR(INDEX([1]!_born[生没年],
MATCH(K395,[1]!_born[作],0)),"")</f>
        <v/>
      </c>
      <c r="O395" s="13" t="s" ph="1">
        <v>4690</v>
      </c>
      <c r="S395" s="13" t="s" ph="1">
        <v>4691</v>
      </c>
      <c r="T395" s="13" t="s" ph="1">
        <v>525</v>
      </c>
      <c r="U395" s="16" ph="1">
        <v>36838</v>
      </c>
      <c r="V395" s="17" ph="1">
        <v>1500</v>
      </c>
      <c r="W395" s="17" ph="1">
        <v>1000</v>
      </c>
      <c r="X395" s="13" t="s" ph="1">
        <v>4001</v>
      </c>
      <c r="Y395" s="13" t="s" ph="1">
        <v>4021</v>
      </c>
    </row>
    <row r="396" spans="3:25" ht="22.5" customHeight="1" ph="1" x14ac:dyDescent="0.35">
      <c r="C396" s="13" t="s" ph="1">
        <v>707</v>
      </c>
      <c r="G396" s="13" t="s" ph="1">
        <v>1125</v>
      </c>
      <c r="H396" s="13" t="s" ph="1">
        <v>709</v>
      </c>
      <c r="I396" s="13" t="s" ph="1">
        <v>4692</v>
      </c>
      <c r="M396" s="14" t="str" ph="1">
        <f>IFERROR(INDEX([1]!_born[生没年],
MATCH(I396,[1]!_born[作],0)),"")</f>
        <v/>
      </c>
      <c r="N396" s="14" t="str" ph="1">
        <f>IFERROR(INDEX([1]!_born[生没年],
MATCH(K396,[1]!_born[作],0)),"")</f>
        <v/>
      </c>
      <c r="O396" s="13" t="s" ph="1">
        <v>4693</v>
      </c>
      <c r="S396" s="13" t="s" ph="1">
        <v>4694</v>
      </c>
      <c r="T396" s="13" t="s" ph="1">
        <v>525</v>
      </c>
      <c r="V396" s="17" ph="1">
        <v>1500</v>
      </c>
    </row>
    <row r="397" spans="3:25" ht="22.5" customHeight="1" ph="1" x14ac:dyDescent="0.35">
      <c r="C397" s="13" t="s" ph="1">
        <v>707</v>
      </c>
      <c r="G397" s="13" t="s" ph="1">
        <v>1125</v>
      </c>
      <c r="H397" s="13" t="s" ph="1">
        <v>709</v>
      </c>
      <c r="I397" s="13" t="s" ph="1">
        <v>4695</v>
      </c>
      <c r="M397" s="14" t="str" ph="1">
        <f>IFERROR(INDEX([1]!_born[生没年],
MATCH(I397,[1]!_born[作],0)),"")</f>
        <v/>
      </c>
      <c r="N397" s="14" t="str" ph="1">
        <f>IFERROR(INDEX([1]!_born[生没年],
MATCH(K397,[1]!_born[作],0)),"")</f>
        <v/>
      </c>
      <c r="O397" s="13" t="s" ph="1">
        <v>4696</v>
      </c>
      <c r="S397" s="13" t="s" ph="1">
        <v>4697</v>
      </c>
      <c r="T397" s="13" t="s" ph="1">
        <v>525</v>
      </c>
      <c r="U397" s="16" ph="1">
        <v>36838</v>
      </c>
      <c r="V397" s="17" ph="1">
        <v>1500</v>
      </c>
      <c r="W397" s="17" ph="1">
        <v>1000</v>
      </c>
      <c r="X397" s="13" t="s" ph="1">
        <v>4001</v>
      </c>
      <c r="Y397" s="13" t="s" ph="1">
        <v>4021</v>
      </c>
    </row>
    <row r="398" spans="3:25" ht="22.5" customHeight="1" ph="1" x14ac:dyDescent="0.35">
      <c r="C398" s="13" t="s" ph="1">
        <v>707</v>
      </c>
      <c r="G398" s="13" t="s" ph="1">
        <v>1125</v>
      </c>
      <c r="H398" s="13" t="s" ph="1">
        <v>709</v>
      </c>
      <c r="I398" s="13" t="s" ph="1">
        <v>4698</v>
      </c>
      <c r="J398" s="13" t="s" ph="1">
        <v>4699</v>
      </c>
      <c r="M398" s="14" t="str" ph="1">
        <f>IFERROR(INDEX([1]!_born[生没年],
MATCH(I398,[1]!_born[作],0)),"")</f>
        <v/>
      </c>
      <c r="N398" s="14" t="str" ph="1">
        <f>IFERROR(INDEX([1]!_born[生没年],
MATCH(K398,[1]!_born[作],0)),"")</f>
        <v/>
      </c>
      <c r="O398" s="13" t="s" ph="1">
        <v>4700</v>
      </c>
      <c r="S398" s="13" t="s" ph="1">
        <v>4701</v>
      </c>
      <c r="T398" s="13" t="s" ph="1">
        <v>4702</v>
      </c>
      <c r="V398" s="17" ph="1">
        <f>1500*1.05</f>
        <v>1575</v>
      </c>
    </row>
    <row r="399" spans="3:25" ht="22.5" customHeight="1" ph="1" x14ac:dyDescent="0.35">
      <c r="C399" s="13" t="s" ph="1">
        <v>707</v>
      </c>
      <c r="G399" s="13" t="s" ph="1">
        <v>1125</v>
      </c>
      <c r="H399" s="13" t="s" ph="1">
        <v>709</v>
      </c>
      <c r="I399" s="13" t="s" ph="1">
        <v>4703</v>
      </c>
      <c r="K399" s="13" t="s" ph="1">
        <v>4704</v>
      </c>
      <c r="L399" s="13" t="s" ph="1">
        <v>3628</v>
      </c>
      <c r="M399" s="14" t="str" ph="1">
        <f>IFERROR(INDEX([1]!_born[生没年],
MATCH(I399,[1]!_born[作],0)),"")</f>
        <v/>
      </c>
      <c r="N399" s="14" t="str" ph="1">
        <f>IFERROR(INDEX([1]!_born[生没年],
MATCH(K399,[1]!_born[作],0)),"")</f>
        <v/>
      </c>
      <c r="O399" s="25" t="s" ph="1">
        <v>4705</v>
      </c>
      <c r="R399" s="16" t="s" ph="1">
        <v>988</v>
      </c>
      <c r="T399" s="13" t="s" ph="1">
        <v>4706</v>
      </c>
      <c r="V399" s="17" ph="1">
        <v>2750</v>
      </c>
    </row>
    <row r="400" spans="3:25" ht="22.5" customHeight="1" ph="1" x14ac:dyDescent="0.35">
      <c r="C400" s="13" t="s" ph="1">
        <v>707</v>
      </c>
      <c r="D400" s="123" ph="1">
        <v>1</v>
      </c>
      <c r="E400" s="123" ph="1">
        <v>2</v>
      </c>
      <c r="G400" s="13" t="s" ph="1">
        <v>3599</v>
      </c>
      <c r="H400" s="13" t="s" ph="1">
        <v>716</v>
      </c>
      <c r="M400" s="14" t="str" ph="1">
        <f>IFERROR(INDEX([1]!_born[生没年],
MATCH(I400,[1]!_born[作],0)),"")</f>
        <v/>
      </c>
      <c r="N400" s="14" t="str" ph="1">
        <f>IFERROR(INDEX([1]!_born[生没年],
MATCH(K400,[1]!_born[作],0)),"")</f>
        <v/>
      </c>
      <c r="O400" s="13" t="s" ph="1">
        <v>4707</v>
      </c>
      <c r="R400" s="16" t="s" ph="1">
        <v>988</v>
      </c>
      <c r="T400" s="13" t="s" ph="1">
        <v>525</v>
      </c>
      <c r="V400" s="17" ph="1">
        <v>1600</v>
      </c>
      <c r="W400" s="17" ph="1">
        <v>800</v>
      </c>
      <c r="X400" s="5" t="s" ph="1">
        <v>3802</v>
      </c>
      <c r="Y400" s="13" t="s" ph="1">
        <v>4021</v>
      </c>
    </row>
    <row r="401" spans="1:25" ht="22.5" customHeight="1" ph="1" x14ac:dyDescent="0.35">
      <c r="C401" s="13" t="s" ph="1">
        <v>707</v>
      </c>
      <c r="D401" s="123" ph="1">
        <v>2</v>
      </c>
      <c r="E401" s="123" ph="1">
        <v>2</v>
      </c>
      <c r="G401" s="13" t="s" ph="1">
        <v>3599</v>
      </c>
      <c r="H401" s="13" t="s" ph="1">
        <v>716</v>
      </c>
      <c r="M401" s="14" t="str" ph="1">
        <f>IFERROR(INDEX([1]!_born[生没年],
MATCH(I401,[1]!_born[作],0)),"")</f>
        <v/>
      </c>
      <c r="N401" s="14" t="str" ph="1">
        <f>IFERROR(INDEX([1]!_born[生没年],
MATCH(K401,[1]!_born[作],0)),"")</f>
        <v/>
      </c>
      <c r="O401" s="13" t="s" ph="1">
        <v>4707</v>
      </c>
      <c r="R401" s="16" t="s" ph="1">
        <v>1870</v>
      </c>
      <c r="T401" s="13" t="s" ph="1">
        <v>525</v>
      </c>
      <c r="V401" s="17" ph="1">
        <v>1650</v>
      </c>
      <c r="W401" s="17" ph="1">
        <v>800</v>
      </c>
      <c r="X401" s="5" t="s" ph="1">
        <v>3802</v>
      </c>
      <c r="Y401" s="13" t="s" ph="1">
        <v>4021</v>
      </c>
    </row>
    <row r="402" spans="1:25" ht="22.5" customHeight="1" ph="1" x14ac:dyDescent="0.35">
      <c r="A402" s="106" t="s" ph="1">
        <v>2049</v>
      </c>
      <c r="C402" s="13" t="s" ph="1">
        <v>4106</v>
      </c>
      <c r="G402" s="13" t="s" ph="1">
        <v>3599</v>
      </c>
      <c r="H402" s="13" t="s" ph="1">
        <v>716</v>
      </c>
      <c r="I402" s="13" t="s" ph="1">
        <v>4708</v>
      </c>
      <c r="M402" s="14" t="str" ph="1">
        <f>IFERROR(INDEX([1]!_born[生没年],
MATCH(I402,[1]!_born[作],0)),"")</f>
        <v/>
      </c>
      <c r="N402" s="14" t="str" ph="1">
        <f>IFERROR(INDEX([1]!_born[生没年],
MATCH(K402,[1]!_born[作],0)),"")</f>
        <v/>
      </c>
      <c r="O402" s="13" t="s" ph="1">
        <v>4709</v>
      </c>
      <c r="R402" s="16" t="s" ph="1">
        <v>976</v>
      </c>
      <c r="T402" s="13" t="s" ph="1">
        <v>4710</v>
      </c>
      <c r="U402" s="16" t="s" ph="1">
        <v>4711</v>
      </c>
      <c r="V402" s="17" ph="1">
        <f>1300*1.05</f>
        <v>1365</v>
      </c>
      <c r="W402" s="17" ph="1">
        <v>0</v>
      </c>
      <c r="X402" s="13" t="s" ph="1">
        <v>4712</v>
      </c>
    </row>
    <row r="403" spans="1:25" ht="22.5" customHeight="1" ph="1" x14ac:dyDescent="0.35">
      <c r="C403" s="13" t="s" ph="1">
        <v>4106</v>
      </c>
      <c r="G403" s="13" t="s" ph="1">
        <v>2050</v>
      </c>
      <c r="H403" s="13" t="s" ph="1">
        <v>709</v>
      </c>
      <c r="I403" s="13" t="s" ph="1">
        <v>2051</v>
      </c>
      <c r="K403" s="13" t="s" ph="1">
        <v>4713</v>
      </c>
      <c r="M403" s="14" t="str" ph="1">
        <f>IFERROR(INDEX([1]!_born[生没年],
MATCH(I403,[1]!_born[作],0)),"")</f>
        <v/>
      </c>
      <c r="N403" s="14" t="str" ph="1">
        <f>IFERROR(INDEX([1]!_born[生没年],
MATCH(K403,[1]!_born[作],0)),"")</f>
        <v/>
      </c>
      <c r="O403" s="13" t="s" ph="1">
        <v>4714</v>
      </c>
      <c r="T403" s="13" t="s" ph="1">
        <v>2052</v>
      </c>
      <c r="V403" s="17" t="s" ph="1">
        <v>2053</v>
      </c>
    </row>
    <row r="404" spans="1:25" ht="22.5" customHeight="1" ph="1" x14ac:dyDescent="0.35">
      <c r="C404" s="13" t="s" ph="1">
        <v>4106</v>
      </c>
      <c r="G404" s="13" t="s" ph="1">
        <v>2050</v>
      </c>
      <c r="H404" s="13" t="s" ph="1">
        <v>709</v>
      </c>
      <c r="I404" s="13" t="s" ph="1">
        <v>2054</v>
      </c>
      <c r="K404" s="13" t="s" ph="1">
        <v>4713</v>
      </c>
      <c r="M404" s="14" t="str" ph="1">
        <f>IFERROR(INDEX([1]!_born[生没年],
MATCH(I404,[1]!_born[作],0)),"")</f>
        <v/>
      </c>
      <c r="N404" s="14" t="str" ph="1">
        <f>IFERROR(INDEX([1]!_born[生没年],
MATCH(K404,[1]!_born[作],0)),"")</f>
        <v/>
      </c>
      <c r="O404" s="13" t="s" ph="1">
        <v>4715</v>
      </c>
      <c r="T404" s="13" t="s" ph="1">
        <v>2052</v>
      </c>
      <c r="V404" s="17" t="s" ph="1">
        <v>2055</v>
      </c>
    </row>
    <row r="405" spans="1:25" ht="22.5" customHeight="1" ph="1" x14ac:dyDescent="0.35">
      <c r="C405" s="13" t="s" ph="1">
        <v>4106</v>
      </c>
      <c r="G405" s="13" t="s" ph="1">
        <v>2050</v>
      </c>
      <c r="H405" s="13" t="s" ph="1">
        <v>709</v>
      </c>
      <c r="I405" s="13" t="s" ph="1">
        <v>2056</v>
      </c>
      <c r="K405" s="13" t="s" ph="1">
        <v>4713</v>
      </c>
      <c r="M405" s="14" t="str" ph="1">
        <f>IFERROR(INDEX([1]!_born[生没年],
MATCH(I405,[1]!_born[作],0)),"")</f>
        <v/>
      </c>
      <c r="N405" s="14" t="str" ph="1">
        <f>IFERROR(INDEX([1]!_born[生没年],
MATCH(K405,[1]!_born[作],0)),"")</f>
        <v/>
      </c>
      <c r="O405" s="13" t="s" ph="1">
        <v>4716</v>
      </c>
      <c r="V405" s="17" t="s" ph="1">
        <v>2057</v>
      </c>
    </row>
    <row r="406" spans="1:25" ht="22.5" customHeight="1" ph="1" x14ac:dyDescent="0.35">
      <c r="C406" s="13" t="s" ph="1">
        <v>4106</v>
      </c>
      <c r="G406" s="13" t="s" ph="1">
        <v>2050</v>
      </c>
      <c r="H406" s="13" t="s" ph="1">
        <v>709</v>
      </c>
      <c r="I406" s="13" t="s" ph="1">
        <v>2056</v>
      </c>
      <c r="K406" s="13" t="s" ph="1">
        <v>4713</v>
      </c>
      <c r="M406" s="14" t="str" ph="1">
        <f>IFERROR(INDEX([1]!_born[生没年],
MATCH(I406,[1]!_born[作],0)),"")</f>
        <v/>
      </c>
      <c r="N406" s="14" t="str" ph="1">
        <f>IFERROR(INDEX([1]!_born[生没年],
MATCH(K406,[1]!_born[作],0)),"")</f>
        <v/>
      </c>
      <c r="O406" s="13" t="s" ph="1">
        <v>4717</v>
      </c>
      <c r="V406" s="17" t="s" ph="1">
        <v>2058</v>
      </c>
    </row>
    <row r="407" spans="1:25" ht="22.5" customHeight="1" ph="1" x14ac:dyDescent="0.35">
      <c r="C407" s="13" t="s" ph="1">
        <v>4106</v>
      </c>
      <c r="G407" s="13" t="s" ph="1">
        <v>2050</v>
      </c>
      <c r="H407" s="13" t="s" ph="1">
        <v>709</v>
      </c>
      <c r="I407" s="13" t="s" ph="1">
        <v>2059</v>
      </c>
      <c r="K407" s="13" t="s" ph="1">
        <v>4713</v>
      </c>
      <c r="M407" s="14" t="str" ph="1">
        <f>IFERROR(INDEX([1]!_born[生没年],
MATCH(I407,[1]!_born[作],0)),"")</f>
        <v/>
      </c>
      <c r="N407" s="14" t="str" ph="1">
        <f>IFERROR(INDEX([1]!_born[生没年],
MATCH(K407,[1]!_born[作],0)),"")</f>
        <v/>
      </c>
      <c r="O407" s="13" t="s" ph="1">
        <v>2060</v>
      </c>
      <c r="V407" s="17" t="s" ph="1">
        <v>2061</v>
      </c>
    </row>
    <row r="408" spans="1:25" ht="22.5" customHeight="1" ph="1" x14ac:dyDescent="0.35">
      <c r="C408" s="13" t="s" ph="1">
        <v>4106</v>
      </c>
      <c r="G408" s="13" t="s" ph="1">
        <v>2050</v>
      </c>
      <c r="H408" s="13" t="s" ph="1">
        <v>709</v>
      </c>
      <c r="I408" s="13" t="s" ph="1">
        <v>2062</v>
      </c>
      <c r="K408" s="13" t="s" ph="1">
        <v>4713</v>
      </c>
      <c r="M408" s="14" t="str" ph="1">
        <f>IFERROR(INDEX([1]!_born[生没年],
MATCH(I408,[1]!_born[作],0)),"")</f>
        <v/>
      </c>
      <c r="N408" s="14" t="str" ph="1">
        <f>IFERROR(INDEX([1]!_born[生没年],
MATCH(K408,[1]!_born[作],0)),"")</f>
        <v/>
      </c>
      <c r="O408" s="13" t="s" ph="1">
        <v>2063</v>
      </c>
    </row>
    <row r="409" spans="1:25" ht="22.5" customHeight="1" ph="1" x14ac:dyDescent="0.35">
      <c r="C409" s="13" t="s" ph="1">
        <v>4106</v>
      </c>
      <c r="G409" s="13" t="s" ph="1">
        <v>2050</v>
      </c>
      <c r="H409" s="13" t="s" ph="1">
        <v>709</v>
      </c>
      <c r="I409" s="13" t="s" ph="1">
        <v>2064</v>
      </c>
      <c r="K409" s="13" t="s" ph="1">
        <v>4713</v>
      </c>
      <c r="M409" s="14" t="str" ph="1">
        <f>IFERROR(INDEX([1]!_born[生没年],
MATCH(I409,[1]!_born[作],0)),"")</f>
        <v/>
      </c>
      <c r="N409" s="14" t="str" ph="1">
        <f>IFERROR(INDEX([1]!_born[生没年],
MATCH(K409,[1]!_born[作],0)),"")</f>
        <v/>
      </c>
      <c r="O409" s="13" t="s" ph="1">
        <v>2065</v>
      </c>
    </row>
    <row r="410" spans="1:25" ht="22.5" customHeight="1" ph="1" x14ac:dyDescent="0.35">
      <c r="C410" s="13" t="s" ph="1">
        <v>4106</v>
      </c>
      <c r="G410" s="13" t="s" ph="1">
        <v>2050</v>
      </c>
      <c r="H410" s="13" t="s" ph="1">
        <v>709</v>
      </c>
      <c r="I410" s="13" t="s" ph="1">
        <v>2066</v>
      </c>
      <c r="K410" s="13" t="s" ph="1">
        <v>4713</v>
      </c>
      <c r="M410" s="14" t="str" ph="1">
        <f>IFERROR(INDEX([1]!_born[生没年],
MATCH(I410,[1]!_born[作],0)),"")</f>
        <v/>
      </c>
      <c r="N410" s="14" t="str" ph="1">
        <f>IFERROR(INDEX([1]!_born[生没年],
MATCH(K410,[1]!_born[作],0)),"")</f>
        <v/>
      </c>
      <c r="O410" s="13" t="s" ph="1">
        <v>2067</v>
      </c>
      <c r="V410" s="17" t="s" ph="1">
        <v>2068</v>
      </c>
    </row>
    <row r="411" spans="1:25" ht="22.5" customHeight="1" ph="1" x14ac:dyDescent="0.35">
      <c r="C411" s="13" t="s" ph="1">
        <v>4106</v>
      </c>
      <c r="G411" s="13" t="s" ph="1">
        <v>2050</v>
      </c>
      <c r="H411" s="13" t="s" ph="1">
        <v>709</v>
      </c>
      <c r="I411" s="13" t="s" ph="1">
        <v>2069</v>
      </c>
      <c r="K411" s="13" t="s" ph="1">
        <v>4713</v>
      </c>
      <c r="M411" s="14" t="str" ph="1">
        <f>IFERROR(INDEX([1]!_born[生没年],
MATCH(I411,[1]!_born[作],0)),"")</f>
        <v/>
      </c>
      <c r="N411" s="14" t="str" ph="1">
        <f>IFERROR(INDEX([1]!_born[生没年],
MATCH(K411,[1]!_born[作],0)),"")</f>
        <v/>
      </c>
      <c r="O411" s="13" t="s" ph="1">
        <v>2069</v>
      </c>
      <c r="V411" s="17" t="s" ph="1">
        <v>2070</v>
      </c>
    </row>
    <row r="412" spans="1:25" ht="22.5" customHeight="1" ph="1" x14ac:dyDescent="0.35">
      <c r="C412" s="13" t="s" ph="1">
        <v>4106</v>
      </c>
      <c r="G412" s="13" t="s" ph="1">
        <v>4718</v>
      </c>
      <c r="H412" s="13" t="s" ph="1">
        <v>709</v>
      </c>
      <c r="I412" s="13" t="s" ph="1">
        <v>2071</v>
      </c>
      <c r="K412" s="13" t="s" ph="1">
        <v>4713</v>
      </c>
      <c r="M412" s="14" t="str" ph="1">
        <f>IFERROR(INDEX([1]!_born[生没年],
MATCH(I412,[1]!_born[作],0)),"")</f>
        <v/>
      </c>
      <c r="N412" s="14" t="str" ph="1">
        <f>IFERROR(INDEX([1]!_born[生没年],
MATCH(K412,[1]!_born[作],0)),"")</f>
        <v/>
      </c>
      <c r="O412" s="13" t="s" ph="1">
        <v>2072</v>
      </c>
      <c r="R412" s="16" ph="1">
        <v>1982</v>
      </c>
      <c r="S412" s="26" t="s" ph="1">
        <v>362</v>
      </c>
      <c r="T412" s="26" t="s" ph="1">
        <v>361</v>
      </c>
      <c r="U412" s="13" ph="1"/>
      <c r="V412" s="17" t="s" ph="1">
        <v>2073</v>
      </c>
    </row>
    <row r="413" spans="1:25" ht="22.5" customHeight="1" ph="1" x14ac:dyDescent="0.35">
      <c r="A413" s="106" t="s" ph="1">
        <v>2669</v>
      </c>
      <c r="C413" s="13" t="s" ph="1">
        <v>25</v>
      </c>
      <c r="G413" s="13" t="s" ph="1">
        <v>3599</v>
      </c>
      <c r="H413" s="13" t="s" ph="1">
        <v>61</v>
      </c>
      <c r="I413" s="13" t="s" ph="1">
        <v>4719</v>
      </c>
      <c r="J413" s="13" t="s" ph="1">
        <v>3664</v>
      </c>
      <c r="K413" s="13" t="s" ph="1">
        <v>4720</v>
      </c>
      <c r="L413" s="13" t="s" ph="1">
        <v>3671</v>
      </c>
      <c r="M413" s="14" t="str" ph="1">
        <f>IFERROR(INDEX([1]!_born[生没年],
MATCH(I413,[1]!_born[作],0)),"")</f>
        <v/>
      </c>
      <c r="N413" s="14" t="str" ph="1">
        <f>IFERROR(INDEX([1]!_born[生没年],
MATCH(K413,[1]!_born[作],0)),"")</f>
        <v/>
      </c>
      <c r="O413" s="13" t="s" ph="1">
        <v>4721</v>
      </c>
      <c r="R413" s="16" ph="1">
        <v>26495</v>
      </c>
      <c r="S413" s="13" t="s" ph="1">
        <v>4722</v>
      </c>
      <c r="T413" s="13" t="s" ph="1">
        <v>4723</v>
      </c>
      <c r="U413" s="16" t="s" ph="1">
        <v>2661</v>
      </c>
      <c r="V413" s="17" ph="1">
        <v>390</v>
      </c>
      <c r="W413" s="17" ph="1">
        <v>390</v>
      </c>
      <c r="X413" s="13" t="s" ph="1">
        <v>4724</v>
      </c>
      <c r="Y413" s="13" t="s" ph="1">
        <v>4725</v>
      </c>
    </row>
    <row r="414" spans="1:25" ht="22.5" customHeight="1" ph="1" x14ac:dyDescent="0.35">
      <c r="A414" s="106" t="s" ph="1">
        <v>2668</v>
      </c>
      <c r="C414" s="13" t="s" ph="1">
        <v>25</v>
      </c>
      <c r="G414" s="13" t="s" ph="1">
        <v>3599</v>
      </c>
      <c r="H414" s="13" t="s" ph="1">
        <v>61</v>
      </c>
      <c r="I414" s="13" t="s" ph="1">
        <v>4726</v>
      </c>
      <c r="J414" s="13" t="s" ph="1">
        <v>3664</v>
      </c>
      <c r="M414" s="14" t="str" ph="1">
        <f>IFERROR(INDEX([1]!_born[生没年],
MATCH(I414,[1]!_born[作],0)),"")</f>
        <v/>
      </c>
      <c r="N414" s="14" t="str" ph="1">
        <f>IFERROR(INDEX([1]!_born[生没年],
MATCH(K414,[1]!_born[作],0)),"")</f>
        <v/>
      </c>
      <c r="O414" s="13" t="s" ph="1">
        <v>4727</v>
      </c>
      <c r="R414" s="16" ph="1">
        <v>26648</v>
      </c>
      <c r="S414" s="13" t="s" ph="1">
        <v>4728</v>
      </c>
      <c r="T414" s="13" t="s" ph="1">
        <v>4723</v>
      </c>
      <c r="U414" s="16" t="s" ph="1">
        <v>2661</v>
      </c>
      <c r="V414" s="17" ph="1">
        <v>430</v>
      </c>
      <c r="W414" s="17" ph="1">
        <v>430</v>
      </c>
      <c r="X414" s="13" t="s" ph="1">
        <v>4724</v>
      </c>
      <c r="Y414" s="13" t="s" ph="1">
        <v>4725</v>
      </c>
    </row>
    <row r="415" spans="1:25" ht="22.5" customHeight="1" ph="1" x14ac:dyDescent="0.35">
      <c r="A415" s="106" t="s" ph="1">
        <v>2667</v>
      </c>
      <c r="C415" s="13" t="s" ph="1">
        <v>25</v>
      </c>
      <c r="G415" s="13" t="s" ph="1">
        <v>3599</v>
      </c>
      <c r="H415" s="13" t="s" ph="1">
        <v>61</v>
      </c>
      <c r="I415" s="13" t="s" ph="1">
        <v>4729</v>
      </c>
      <c r="J415" s="13" t="s" ph="1">
        <v>3664</v>
      </c>
      <c r="M415" s="14" t="str" ph="1">
        <f>IFERROR(INDEX([1]!_born[生没年],
MATCH(I415,[1]!_born[作],0)),"")</f>
        <v/>
      </c>
      <c r="N415" s="14" t="str" ph="1">
        <f>IFERROR(INDEX([1]!_born[生没年],
MATCH(K415,[1]!_born[作],0)),"")</f>
        <v/>
      </c>
      <c r="O415" s="13" t="s" ph="1">
        <v>4730</v>
      </c>
      <c r="R415" s="16" ph="1">
        <v>26769</v>
      </c>
      <c r="S415" s="13" t="s" ph="1">
        <v>4731</v>
      </c>
      <c r="T415" s="13" t="s" ph="1">
        <v>4723</v>
      </c>
      <c r="U415" s="16" t="s" ph="1">
        <v>2661</v>
      </c>
      <c r="V415" s="17" ph="1">
        <v>450</v>
      </c>
      <c r="W415" s="17" ph="1">
        <v>450</v>
      </c>
      <c r="X415" s="13" t="s" ph="1">
        <v>4724</v>
      </c>
      <c r="Y415" s="13" t="s" ph="1">
        <v>4725</v>
      </c>
    </row>
    <row r="416" spans="1:25" ht="22.5" customHeight="1" ph="1" x14ac:dyDescent="0.35">
      <c r="A416" s="106" t="s" ph="1">
        <v>2666</v>
      </c>
      <c r="C416" s="13" t="s" ph="1">
        <v>25</v>
      </c>
      <c r="G416" s="13" t="s" ph="1">
        <v>3599</v>
      </c>
      <c r="H416" s="13" t="s" ph="1">
        <v>61</v>
      </c>
      <c r="I416" s="13" t="s" ph="1">
        <v>4732</v>
      </c>
      <c r="J416" s="13" t="s" ph="1">
        <v>3664</v>
      </c>
      <c r="M416" s="14" t="str" ph="1">
        <f>IFERROR(INDEX([1]!_born[生没年],
MATCH(I416,[1]!_born[作],0)),"")</f>
        <v/>
      </c>
      <c r="N416" s="14" t="str" ph="1">
        <f>IFERROR(INDEX([1]!_born[生没年],
MATCH(K416,[1]!_born[作],0)),"")</f>
        <v/>
      </c>
      <c r="O416" s="13" t="s" ph="1">
        <v>4733</v>
      </c>
      <c r="R416" s="16" ph="1">
        <v>26769</v>
      </c>
      <c r="S416" s="13" t="s" ph="1">
        <v>4734</v>
      </c>
      <c r="T416" s="13" t="s" ph="1">
        <v>4723</v>
      </c>
      <c r="U416" s="16" t="s" ph="1">
        <v>2661</v>
      </c>
      <c r="V416" s="17" ph="1">
        <v>450</v>
      </c>
      <c r="W416" s="17" ph="1">
        <v>450</v>
      </c>
      <c r="X416" s="13" t="s" ph="1">
        <v>4724</v>
      </c>
      <c r="Y416" s="13" t="s" ph="1">
        <v>4725</v>
      </c>
    </row>
    <row r="417" spans="1:25" ht="22.5" customHeight="1" ph="1" x14ac:dyDescent="0.35">
      <c r="A417" s="106" t="s" ph="1">
        <v>2665</v>
      </c>
      <c r="C417" s="13" t="s" ph="1">
        <v>25</v>
      </c>
      <c r="G417" s="13" t="s" ph="1">
        <v>3599</v>
      </c>
      <c r="H417" s="13" t="s" ph="1">
        <v>61</v>
      </c>
      <c r="I417" s="13" t="s" ph="1">
        <v>4735</v>
      </c>
      <c r="J417" s="13" t="s" ph="1">
        <v>3664</v>
      </c>
      <c r="M417" s="14" t="str" ph="1">
        <f>IFERROR(INDEX([1]!_born[生没年],
MATCH(I417,[1]!_born[作],0)),"")</f>
        <v/>
      </c>
      <c r="N417" s="14" t="str" ph="1">
        <f>IFERROR(INDEX([1]!_born[生没年],
MATCH(K417,[1]!_born[作],0)),"")</f>
        <v/>
      </c>
      <c r="O417" s="13" t="s" ph="1">
        <v>4736</v>
      </c>
      <c r="R417" s="16" ph="1">
        <v>26901</v>
      </c>
      <c r="S417" s="13" t="s" ph="1">
        <v>4737</v>
      </c>
      <c r="T417" s="13" t="s" ph="1">
        <v>4723</v>
      </c>
      <c r="U417" s="16" t="s" ph="1">
        <v>2661</v>
      </c>
      <c r="V417" s="17" ph="1">
        <v>470</v>
      </c>
      <c r="W417" s="17" ph="1">
        <v>470</v>
      </c>
      <c r="X417" s="13" t="s" ph="1">
        <v>4724</v>
      </c>
      <c r="Y417" s="13" t="s" ph="1">
        <v>4725</v>
      </c>
    </row>
    <row r="418" spans="1:25" ht="22.5" customHeight="1" ph="1" x14ac:dyDescent="0.35">
      <c r="A418" s="106" t="s" ph="1">
        <v>2664</v>
      </c>
      <c r="C418" s="13" t="s" ph="1">
        <v>25</v>
      </c>
      <c r="G418" s="13" t="s" ph="1">
        <v>3599</v>
      </c>
      <c r="H418" s="13" t="s" ph="1">
        <v>61</v>
      </c>
      <c r="I418" s="13" t="s" ph="1">
        <v>4719</v>
      </c>
      <c r="J418" s="13" t="s" ph="1">
        <v>3664</v>
      </c>
      <c r="M418" s="14" t="str" ph="1">
        <f>IFERROR(INDEX([1]!_born[生没年],
MATCH(I418,[1]!_born[作],0)),"")</f>
        <v/>
      </c>
      <c r="N418" s="14" t="str" ph="1">
        <f>IFERROR(INDEX([1]!_born[生没年],
MATCH(K418,[1]!_born[作],0)),"")</f>
        <v/>
      </c>
      <c r="O418" s="13" t="s" ph="1">
        <v>4738</v>
      </c>
      <c r="R418" s="16" ph="1">
        <v>27018</v>
      </c>
      <c r="S418" s="13" t="s" ph="1">
        <v>4739</v>
      </c>
      <c r="T418" s="13" t="s" ph="1">
        <v>4723</v>
      </c>
      <c r="U418" s="16" t="s" ph="1">
        <v>2661</v>
      </c>
      <c r="V418" s="17" ph="1">
        <v>450</v>
      </c>
      <c r="W418" s="17" ph="1">
        <v>450</v>
      </c>
      <c r="X418" s="13" t="s" ph="1">
        <v>4724</v>
      </c>
      <c r="Y418" s="13" t="s" ph="1">
        <v>4725</v>
      </c>
    </row>
    <row r="419" spans="1:25" ht="22.5" customHeight="1" ph="1" x14ac:dyDescent="0.35">
      <c r="A419" s="106" t="s" ph="1">
        <v>2663</v>
      </c>
      <c r="C419" s="13" t="s" ph="1">
        <v>25</v>
      </c>
      <c r="G419" s="13" t="s" ph="1">
        <v>3599</v>
      </c>
      <c r="H419" s="13" t="s" ph="1">
        <v>61</v>
      </c>
      <c r="I419" s="13" t="s" ph="1">
        <v>4740</v>
      </c>
      <c r="J419" s="13" t="s" ph="1">
        <v>3664</v>
      </c>
      <c r="M419" s="14" t="str" ph="1">
        <f>IFERROR(INDEX([1]!_born[生没年],
MATCH(I419,[1]!_born[作],0)),"")</f>
        <v/>
      </c>
      <c r="N419" s="14" t="str" ph="1">
        <f>IFERROR(INDEX([1]!_born[生没年],
MATCH(K419,[1]!_born[作],0)),"")</f>
        <v/>
      </c>
      <c r="O419" s="13" t="s" ph="1">
        <v>4741</v>
      </c>
      <c r="R419" s="16" ph="1">
        <v>27200</v>
      </c>
      <c r="S419" s="13" t="s" ph="1">
        <v>4737</v>
      </c>
      <c r="T419" s="13" t="s" ph="1">
        <v>4723</v>
      </c>
      <c r="U419" s="16" t="s" ph="1">
        <v>2661</v>
      </c>
      <c r="V419" s="17" ph="1">
        <v>450</v>
      </c>
      <c r="W419" s="17" ph="1">
        <v>450</v>
      </c>
      <c r="X419" s="13" t="s" ph="1">
        <v>4724</v>
      </c>
      <c r="Y419" s="13" t="s" ph="1">
        <v>4725</v>
      </c>
    </row>
    <row r="420" spans="1:25" ht="22.5" customHeight="1" ph="1" x14ac:dyDescent="0.35">
      <c r="A420" s="106" t="s" ph="1">
        <v>2662</v>
      </c>
      <c r="C420" s="13" t="s" ph="1">
        <v>25</v>
      </c>
      <c r="G420" s="13" t="s" ph="1">
        <v>3599</v>
      </c>
      <c r="H420" s="13" t="s" ph="1">
        <v>61</v>
      </c>
      <c r="I420" s="13" t="s" ph="1">
        <v>4742</v>
      </c>
      <c r="J420" s="13" t="s" ph="1">
        <v>3664</v>
      </c>
      <c r="M420" s="14" t="str" ph="1">
        <f>IFERROR(INDEX([1]!_born[生没年],
MATCH(I420,[1]!_born[作],0)),"")</f>
        <v/>
      </c>
      <c r="N420" s="14" t="str" ph="1">
        <f>IFERROR(INDEX([1]!_born[生没年],
MATCH(K420,[1]!_born[作],0)),"")</f>
        <v/>
      </c>
      <c r="O420" s="13" t="s" ph="1">
        <v>4743</v>
      </c>
      <c r="R420" s="16" ph="1">
        <v>27256</v>
      </c>
      <c r="S420" s="13" t="s" ph="1">
        <v>4744</v>
      </c>
      <c r="T420" s="13" t="s" ph="1">
        <v>4723</v>
      </c>
      <c r="U420" s="16" t="s" ph="1">
        <v>2661</v>
      </c>
      <c r="V420" s="17" ph="1">
        <v>450</v>
      </c>
      <c r="W420" s="17" ph="1">
        <v>450</v>
      </c>
      <c r="X420" s="13" t="s" ph="1">
        <v>4724</v>
      </c>
      <c r="Y420" s="13" t="s" ph="1">
        <v>4725</v>
      </c>
    </row>
    <row r="421" spans="1:25" ht="22.5" customHeight="1" ph="1" x14ac:dyDescent="0.35">
      <c r="A421" s="106" t="s" ph="1">
        <v>2660</v>
      </c>
      <c r="C421" s="13" t="s" ph="1">
        <v>25</v>
      </c>
      <c r="G421" s="13" t="s" ph="1">
        <v>3599</v>
      </c>
      <c r="H421" s="13" t="s" ph="1">
        <v>61</v>
      </c>
      <c r="I421" s="13" t="s" ph="1">
        <v>4745</v>
      </c>
      <c r="J421" s="13" t="s" ph="1">
        <v>3664</v>
      </c>
      <c r="M421" s="14" t="str" ph="1">
        <f>IFERROR(INDEX([1]!_born[生没年],
MATCH(I421,[1]!_born[作],0)),"")</f>
        <v/>
      </c>
      <c r="N421" s="14" t="str" ph="1">
        <f>IFERROR(INDEX([1]!_born[生没年],
MATCH(K421,[1]!_born[作],0)),"")</f>
        <v/>
      </c>
      <c r="O421" s="13" t="s" ph="1">
        <v>4746</v>
      </c>
      <c r="R421" s="16" ph="1">
        <v>27692</v>
      </c>
      <c r="S421" s="13" t="s" ph="1">
        <v>4747</v>
      </c>
      <c r="T421" s="13" t="s" ph="1">
        <v>4723</v>
      </c>
      <c r="U421" s="16" t="s" ph="1">
        <v>50</v>
      </c>
      <c r="V421" s="17" ph="1">
        <v>520</v>
      </c>
      <c r="W421" s="17" ph="1">
        <v>520</v>
      </c>
      <c r="X421" s="13" t="s" ph="1">
        <v>4724</v>
      </c>
      <c r="Y421" s="13" t="s" ph="1">
        <v>4725</v>
      </c>
    </row>
    <row r="422" spans="1:25" ht="22.5" customHeight="1" ph="1" x14ac:dyDescent="0.35">
      <c r="A422" s="106" t="s" ph="1">
        <v>2677</v>
      </c>
      <c r="C422" s="13" t="s" ph="1">
        <v>25</v>
      </c>
      <c r="G422" s="13" t="s" ph="1">
        <v>3599</v>
      </c>
      <c r="H422" s="13" t="s" ph="1">
        <v>61</v>
      </c>
      <c r="I422" s="13" t="s" ph="1">
        <v>4748</v>
      </c>
      <c r="J422" s="13" t="s" ph="1">
        <v>3664</v>
      </c>
      <c r="K422" s="13" t="s" ph="1">
        <v>4749</v>
      </c>
      <c r="L422" s="13" t="s" ph="1">
        <v>4750</v>
      </c>
      <c r="M422" s="14" t="str" ph="1">
        <f>IFERROR(INDEX([1]!_born[生没年],
MATCH(I422,[1]!_born[作],0)),"")</f>
        <v/>
      </c>
      <c r="N422" s="14" t="str" ph="1">
        <f>IFERROR(INDEX([1]!_born[生没年],
MATCH(K422,[1]!_born[作],0)),"")</f>
        <v/>
      </c>
      <c r="O422" s="13" t="s" ph="1">
        <v>4751</v>
      </c>
      <c r="R422" s="16" ph="1">
        <v>26492</v>
      </c>
      <c r="S422" s="13" t="s" ph="1">
        <v>4752</v>
      </c>
      <c r="T422" s="13" t="s" ph="1">
        <v>4753</v>
      </c>
      <c r="U422" s="16" t="s" ph="1">
        <v>50</v>
      </c>
      <c r="V422" s="17" ph="1">
        <v>290</v>
      </c>
      <c r="W422" s="17" ph="1">
        <v>290</v>
      </c>
      <c r="X422" s="13" t="s" ph="1">
        <v>4724</v>
      </c>
      <c r="Y422" s="13" t="s" ph="1">
        <v>4725</v>
      </c>
    </row>
    <row r="423" spans="1:25" ht="22.5" customHeight="1" ph="1" x14ac:dyDescent="0.35">
      <c r="A423" s="106" t="s" ph="1">
        <v>2678</v>
      </c>
      <c r="C423" s="13" t="s" ph="1">
        <v>25</v>
      </c>
      <c r="G423" s="13" t="s" ph="1">
        <v>3599</v>
      </c>
      <c r="H423" s="13" t="s" ph="1">
        <v>61</v>
      </c>
      <c r="I423" s="13" t="s" ph="1">
        <v>4754</v>
      </c>
      <c r="J423" s="13" t="s" ph="1">
        <v>3664</v>
      </c>
      <c r="K423" s="13" t="s" ph="1">
        <v>4755</v>
      </c>
      <c r="L423" s="13" t="s" ph="1">
        <v>4750</v>
      </c>
      <c r="M423" s="14" t="str" ph="1">
        <f>IFERROR(INDEX([1]!_born[生没年],
MATCH(I423,[1]!_born[作],0)),"")</f>
        <v/>
      </c>
      <c r="N423" s="14" t="str" ph="1">
        <f>IFERROR(INDEX([1]!_born[生没年],
MATCH(K423,[1]!_born[作],0)),"")</f>
        <v/>
      </c>
      <c r="O423" s="13" t="s" ph="1">
        <v>4756</v>
      </c>
      <c r="R423" s="16" ph="1">
        <v>26627</v>
      </c>
      <c r="S423" s="13" t="s" ph="1">
        <v>4757</v>
      </c>
      <c r="T423" s="13" t="s" ph="1">
        <v>4753</v>
      </c>
      <c r="U423" s="16" t="s" ph="1">
        <v>2661</v>
      </c>
      <c r="V423" s="17" ph="1">
        <v>290</v>
      </c>
      <c r="W423" s="17" ph="1">
        <v>290</v>
      </c>
      <c r="X423" s="13" t="s" ph="1">
        <v>4724</v>
      </c>
      <c r="Y423" s="13" t="s" ph="1">
        <v>4725</v>
      </c>
    </row>
    <row r="424" spans="1:25" ht="22.5" customHeight="1" ph="1" x14ac:dyDescent="0.35">
      <c r="C424" s="13" t="s" ph="1">
        <v>707</v>
      </c>
      <c r="G424" s="13" t="s" ph="1">
        <v>4758</v>
      </c>
      <c r="H424" s="13" t="s" ph="1">
        <v>716</v>
      </c>
      <c r="I424" s="13" t="s" ph="1">
        <v>4759</v>
      </c>
      <c r="M424" s="14" t="str" ph="1">
        <f>IFERROR(INDEX([1]!_born[生没年],
MATCH(I424,[1]!_born[作],0)),"")</f>
        <v/>
      </c>
      <c r="N424" s="14" t="str" ph="1">
        <f>IFERROR(INDEX([1]!_born[生没年],
MATCH(K424,[1]!_born[作],0)),"")</f>
        <v/>
      </c>
      <c r="O424" s="13" t="s" ph="1">
        <v>4760</v>
      </c>
      <c r="T424" s="13" t="s" ph="1">
        <v>4761</v>
      </c>
      <c r="U424" s="16" ph="1">
        <v>21221</v>
      </c>
      <c r="V424" s="17" ph="1">
        <v>230</v>
      </c>
      <c r="X424" s="13" t="s" ph="1">
        <v>2074</v>
      </c>
      <c r="Y424" s="13" t="s">
        <v>4762</v>
      </c>
    </row>
    <row r="425" spans="1:25" ht="22.5" customHeight="1" ph="1" x14ac:dyDescent="0.35">
      <c r="C425" s="13" t="s" ph="1">
        <v>707</v>
      </c>
      <c r="D425" s="123" ph="1">
        <v>2</v>
      </c>
      <c r="E425" s="123" ph="1">
        <v>3</v>
      </c>
      <c r="G425" s="13" t="s" ph="1">
        <v>4158</v>
      </c>
      <c r="H425" s="13" t="s" ph="1">
        <v>709</v>
      </c>
      <c r="I425" s="13" t="s" ph="1">
        <v>4763</v>
      </c>
      <c r="M425" s="14" t="str" ph="1">
        <f>IFERROR(INDEX([1]!_born[生没年],
MATCH(I425,[1]!_born[作],0)),"")</f>
        <v/>
      </c>
      <c r="N425" s="14" t="str" ph="1">
        <f>IFERROR(INDEX([1]!_born[生没年],
MATCH(K425,[1]!_born[作],0)),"")</f>
        <v/>
      </c>
      <c r="O425" s="13" t="s" ph="1">
        <v>2075</v>
      </c>
      <c r="R425" s="16" t="s" ph="1">
        <v>2727</v>
      </c>
      <c r="S425" s="13" t="s" ph="1">
        <v>2076</v>
      </c>
      <c r="T425" s="13" t="s" ph="1">
        <v>3728</v>
      </c>
      <c r="V425" s="17" ph="1">
        <v>59</v>
      </c>
      <c r="Y425" s="13" t="s">
        <v>4762</v>
      </c>
    </row>
    <row r="426" spans="1:25" ht="22.5" customHeight="1" ph="1" x14ac:dyDescent="0.35">
      <c r="C426" s="13" t="s" ph="1">
        <v>707</v>
      </c>
      <c r="D426" s="123" ph="1">
        <v>3</v>
      </c>
      <c r="E426" s="123" ph="1">
        <v>3</v>
      </c>
      <c r="G426" s="13" t="s" ph="1">
        <v>4158</v>
      </c>
      <c r="H426" s="13" t="s" ph="1">
        <v>709</v>
      </c>
      <c r="I426" s="13" t="s" ph="1">
        <v>4763</v>
      </c>
      <c r="M426" s="14" t="str" ph="1">
        <f>IFERROR(INDEX([1]!_born[生没年],
MATCH(I426,[1]!_born[作],0)),"")</f>
        <v/>
      </c>
      <c r="N426" s="14" t="str" ph="1">
        <f>IFERROR(INDEX([1]!_born[生没年],
MATCH(K426,[1]!_born[作],0)),"")</f>
        <v/>
      </c>
      <c r="O426" s="13" t="s" ph="1">
        <v>2075</v>
      </c>
      <c r="R426" s="16" t="s" ph="1">
        <v>2727</v>
      </c>
      <c r="S426" s="13" t="s" ph="1">
        <v>2077</v>
      </c>
      <c r="T426" s="13" t="s" ph="1">
        <v>3728</v>
      </c>
      <c r="V426" s="17" ph="1">
        <v>59</v>
      </c>
      <c r="Y426" s="13" t="s">
        <v>4762</v>
      </c>
    </row>
    <row r="427" spans="1:25" s="19" customFormat="1" ht="22.5" customHeight="1" ph="1" x14ac:dyDescent="0.35">
      <c r="A427" s="107" ph="1"/>
      <c r="B427" s="18" ph="1"/>
      <c r="C427" s="19" t="s" ph="1">
        <v>707</v>
      </c>
      <c r="D427" s="124" ph="1"/>
      <c r="E427" s="124" ph="1">
        <v>12</v>
      </c>
      <c r="G427" s="19" t="s" ph="1">
        <v>4764</v>
      </c>
      <c r="H427" s="19" t="s" ph="1">
        <v>716</v>
      </c>
      <c r="I427" s="19" t="s" ph="1">
        <v>4765</v>
      </c>
      <c r="M427" s="14" t="str" ph="1">
        <f>IFERROR(INDEX([1]!_born[生没年],
MATCH(I427,[1]!_born[作],0)),"")</f>
        <v/>
      </c>
      <c r="N427" s="14" t="str" ph="1">
        <f>IFERROR(INDEX([1]!_born[生没年],
MATCH(K427,[1]!_born[作],0)),"")</f>
        <v/>
      </c>
      <c r="O427" s="19" t="s" ph="1">
        <v>4766</v>
      </c>
      <c r="R427" s="20" ph="1"/>
      <c r="S427" s="19" t="s" ph="1">
        <v>4767</v>
      </c>
      <c r="T427" s="19" t="s" ph="1">
        <v>4768</v>
      </c>
      <c r="U427" s="20" ph="1"/>
      <c r="V427" s="21" ph="1"/>
      <c r="W427" s="21" ph="1"/>
      <c r="X427" s="19" t="s" ph="1">
        <v>4769</v>
      </c>
      <c r="Y427" s="19" t="s" ph="1">
        <v>4770</v>
      </c>
    </row>
    <row r="428" spans="1:25" s="7" customFormat="1" ht="22.5" customHeight="1" ph="1" x14ac:dyDescent="0.35">
      <c r="A428" s="106" ph="1"/>
      <c r="B428" s="5" ph="1"/>
      <c r="C428" s="9" t="s" ph="1">
        <v>707</v>
      </c>
      <c r="D428" s="122" ph="1"/>
      <c r="E428" s="122" ph="1"/>
      <c r="G428" s="8" t="s" ph="1">
        <v>4758</v>
      </c>
      <c r="H428" s="9" t="s" ph="1">
        <v>716</v>
      </c>
      <c r="M428" s="7" t="str" ph="1">
        <f>IFERROR(INDEX([1]!_born[生没年],
MATCH(I428,[1]!_born[作],0)),"")</f>
        <v/>
      </c>
      <c r="N428" s="7" t="str" ph="1">
        <f>IFERROR(INDEX([1]!_born[生没年],
MATCH(K428,[1]!_born[作],0)),"")</f>
        <v/>
      </c>
      <c r="R428" s="10" ph="1"/>
      <c r="U428" s="10" ph="1"/>
      <c r="V428" s="11" ph="1"/>
      <c r="W428" s="11" ph="1"/>
    </row>
    <row r="429" spans="1:25" ht="22.5" customHeight="1" ph="1" x14ac:dyDescent="0.35">
      <c r="A429" s="106" t="s" ph="1">
        <v>2720</v>
      </c>
      <c r="C429" s="13" t="s" ph="1">
        <v>25</v>
      </c>
      <c r="G429" s="13" t="s" ph="1">
        <v>4758</v>
      </c>
      <c r="H429" s="13" t="s" ph="1">
        <v>61</v>
      </c>
      <c r="I429" s="13" t="s" ph="1">
        <v>4771</v>
      </c>
      <c r="J429" s="13" t="s" ph="1">
        <v>3664</v>
      </c>
      <c r="K429" s="13" t="s" ph="1">
        <v>4772</v>
      </c>
      <c r="L429" s="13" t="s" ph="1">
        <v>4750</v>
      </c>
      <c r="M429" s="14" t="str" ph="1">
        <f>IFERROR(INDEX([1]!_born[生没年],
MATCH(I429,[1]!_born[作],0)),"")</f>
        <v/>
      </c>
      <c r="N429" s="14" t="str" ph="1">
        <f>IFERROR(INDEX([1]!_born[生没年],
MATCH(K429,[1]!_born[作],0)),"")</f>
        <v/>
      </c>
      <c r="O429" s="13" t="s" ph="1">
        <v>4773</v>
      </c>
      <c r="R429" s="16" t="s" ph="1">
        <v>2719</v>
      </c>
      <c r="S429" s="13" t="s" ph="1">
        <v>4774</v>
      </c>
      <c r="T429" s="13" t="s" ph="1">
        <v>4753</v>
      </c>
      <c r="U429" s="16" t="s" ph="1">
        <v>50</v>
      </c>
      <c r="V429" s="17" ph="1">
        <v>390</v>
      </c>
      <c r="W429" s="17" ph="1">
        <v>390</v>
      </c>
      <c r="X429" s="13" t="s" ph="1">
        <v>4724</v>
      </c>
      <c r="Y429" s="13" t="s" ph="1">
        <v>4725</v>
      </c>
    </row>
    <row r="430" spans="1:25" ht="22.5" customHeight="1" ph="1" x14ac:dyDescent="0.35">
      <c r="A430" s="106" t="s" ph="1">
        <v>2714</v>
      </c>
      <c r="C430" s="13" t="s" ph="1">
        <v>25</v>
      </c>
      <c r="G430" s="13" t="s" ph="1">
        <v>4758</v>
      </c>
      <c r="H430" s="13" t="s" ph="1">
        <v>61</v>
      </c>
      <c r="I430" s="13" t="s" ph="1">
        <v>4775</v>
      </c>
      <c r="J430" s="13" t="s" ph="1">
        <v>3664</v>
      </c>
      <c r="K430" s="13" t="s" ph="1">
        <v>4776</v>
      </c>
      <c r="L430" s="13" t="s" ph="1">
        <v>4750</v>
      </c>
      <c r="M430" s="14" t="str" ph="1">
        <f>IFERROR(INDEX([1]!_born[生没年],
MATCH(I430,[1]!_born[作],0)),"")</f>
        <v/>
      </c>
      <c r="N430" s="14" t="str" ph="1">
        <f>IFERROR(INDEX([1]!_born[生没年],
MATCH(K430,[1]!_born[作],0)),"")</f>
        <v/>
      </c>
      <c r="O430" s="13" t="s" ph="1">
        <v>4777</v>
      </c>
      <c r="R430" s="16" t="s" ph="1">
        <v>2715</v>
      </c>
      <c r="S430" s="13" t="s" ph="1">
        <v>4778</v>
      </c>
      <c r="T430" s="13" t="s" ph="1">
        <v>4753</v>
      </c>
      <c r="U430" s="16" t="s" ph="1">
        <v>50</v>
      </c>
      <c r="V430" s="17" ph="1">
        <v>320</v>
      </c>
      <c r="W430" s="17" ph="1">
        <v>320</v>
      </c>
      <c r="X430" s="13" t="s" ph="1">
        <v>4724</v>
      </c>
      <c r="Y430" s="13" t="s" ph="1">
        <v>4725</v>
      </c>
    </row>
    <row r="431" spans="1:25" ht="22.5" customHeight="1" ph="1" x14ac:dyDescent="0.35">
      <c r="A431" s="106" t="s" ph="1">
        <v>2712</v>
      </c>
      <c r="C431" s="13" t="s" ph="1">
        <v>25</v>
      </c>
      <c r="G431" s="13" t="s" ph="1">
        <v>4758</v>
      </c>
      <c r="H431" s="13" t="s" ph="1">
        <v>61</v>
      </c>
      <c r="I431" s="13" t="s" ph="1">
        <v>4779</v>
      </c>
      <c r="J431" s="13" t="s" ph="1">
        <v>3664</v>
      </c>
      <c r="K431" s="13" t="s" ph="1">
        <v>4780</v>
      </c>
      <c r="L431" s="13" t="s" ph="1">
        <v>4750</v>
      </c>
      <c r="M431" s="14" t="str" ph="1">
        <f>IFERROR(INDEX([1]!_born[生没年],
MATCH(I431,[1]!_born[作],0)),"")</f>
        <v/>
      </c>
      <c r="N431" s="14" t="str" ph="1">
        <f>IFERROR(INDEX([1]!_born[生没年],
MATCH(K431,[1]!_born[作],0)),"")</f>
        <v/>
      </c>
      <c r="O431" s="13" t="s" ph="1">
        <v>4781</v>
      </c>
      <c r="R431" s="16" t="s" ph="1">
        <v>2713</v>
      </c>
      <c r="S431" s="13" t="s" ph="1">
        <v>4782</v>
      </c>
      <c r="T431" s="13" t="s" ph="1">
        <v>4753</v>
      </c>
      <c r="U431" s="16" t="s" ph="1">
        <v>50</v>
      </c>
      <c r="V431" s="17" ph="1">
        <v>320</v>
      </c>
      <c r="W431" s="17" ph="1">
        <v>320</v>
      </c>
      <c r="X431" s="13" t="s" ph="1">
        <v>4724</v>
      </c>
      <c r="Y431" s="13" t="s" ph="1">
        <v>4783</v>
      </c>
    </row>
    <row r="432" spans="1:25" ht="22.5" customHeight="1" ph="1" x14ac:dyDescent="0.35">
      <c r="A432" s="106" t="s" ph="1">
        <v>2705</v>
      </c>
      <c r="C432" s="13" t="s" ph="1">
        <v>25</v>
      </c>
      <c r="G432" s="13" t="s" ph="1">
        <v>4758</v>
      </c>
      <c r="H432" s="13" t="s" ph="1">
        <v>61</v>
      </c>
      <c r="I432" s="13" t="s" ph="1">
        <v>4784</v>
      </c>
      <c r="J432" s="13" t="s" ph="1">
        <v>3664</v>
      </c>
      <c r="K432" s="13" t="s" ph="1">
        <v>4785</v>
      </c>
      <c r="L432" s="13" t="s" ph="1">
        <v>4750</v>
      </c>
      <c r="M432" s="14" t="str" ph="1">
        <f>IFERROR(INDEX([1]!_born[生没年],
MATCH(I432,[1]!_born[作],0)),"")</f>
        <v/>
      </c>
      <c r="N432" s="14" t="str" ph="1">
        <f>IFERROR(INDEX([1]!_born[生没年],
MATCH(K432,[1]!_born[作],0)),"")</f>
        <v/>
      </c>
      <c r="O432" s="13" t="s" ph="1">
        <v>4786</v>
      </c>
      <c r="R432" s="16" t="s" ph="1">
        <v>2706</v>
      </c>
      <c r="S432" s="13" t="s" ph="1">
        <v>4787</v>
      </c>
      <c r="T432" s="13" t="s" ph="1">
        <v>4753</v>
      </c>
      <c r="U432" s="16" t="s" ph="1">
        <v>50</v>
      </c>
      <c r="V432" s="17" ph="1">
        <v>260</v>
      </c>
      <c r="W432" s="17" ph="1">
        <v>260</v>
      </c>
      <c r="X432" s="13" t="s" ph="1">
        <v>4724</v>
      </c>
      <c r="Y432" s="13" t="s" ph="1">
        <v>4725</v>
      </c>
    </row>
    <row r="433" spans="1:25" ht="22.5" customHeight="1" ph="1" x14ac:dyDescent="0.35">
      <c r="A433" s="106" t="s" ph="1">
        <v>2694</v>
      </c>
      <c r="C433" s="13" t="s" ph="1">
        <v>25</v>
      </c>
      <c r="G433" s="13" t="s" ph="1">
        <v>4758</v>
      </c>
      <c r="H433" s="13" t="s" ph="1">
        <v>61</v>
      </c>
      <c r="I433" s="13" t="s" ph="1">
        <v>4788</v>
      </c>
      <c r="J433" s="13" t="s" ph="1">
        <v>3664</v>
      </c>
      <c r="K433" s="13" t="s" ph="1">
        <v>4789</v>
      </c>
      <c r="L433" s="13" t="s" ph="1">
        <v>4750</v>
      </c>
      <c r="M433" s="14" t="str" ph="1">
        <f>IFERROR(INDEX([1]!_born[生没年],
MATCH(I433,[1]!_born[作],0)),"")</f>
        <v/>
      </c>
      <c r="N433" s="14" t="str" ph="1">
        <f>IFERROR(INDEX([1]!_born[生没年],
MATCH(K433,[1]!_born[作],0)),"")</f>
        <v/>
      </c>
      <c r="O433" s="13" t="s" ph="1">
        <v>4790</v>
      </c>
      <c r="R433" s="16" t="s" ph="1">
        <v>2707</v>
      </c>
      <c r="S433" s="13" t="s" ph="1">
        <v>4791</v>
      </c>
      <c r="T433" s="13" t="s" ph="1">
        <v>4753</v>
      </c>
      <c r="U433" s="16" t="s" ph="1">
        <v>50</v>
      </c>
      <c r="V433" s="17" ph="1">
        <v>320</v>
      </c>
      <c r="W433" s="17" ph="1">
        <v>320</v>
      </c>
      <c r="X433" s="13" t="s" ph="1">
        <v>4724</v>
      </c>
      <c r="Y433" s="13" t="s" ph="1">
        <v>4725</v>
      </c>
    </row>
    <row r="434" spans="1:25" ht="22.5" customHeight="1" ph="1" x14ac:dyDescent="0.35">
      <c r="A434" s="106" t="s" ph="1">
        <v>2691</v>
      </c>
      <c r="C434" s="13" t="s" ph="1">
        <v>25</v>
      </c>
      <c r="G434" s="13" t="s" ph="1">
        <v>4758</v>
      </c>
      <c r="H434" s="13" t="s" ph="1">
        <v>61</v>
      </c>
      <c r="I434" s="13" t="s" ph="1">
        <v>4792</v>
      </c>
      <c r="J434" s="13" t="s" ph="1">
        <v>3664</v>
      </c>
      <c r="K434" s="13" t="s" ph="1">
        <v>4793</v>
      </c>
      <c r="L434" s="13" t="s" ph="1">
        <v>4794</v>
      </c>
      <c r="M434" s="14" t="str" ph="1">
        <f>IFERROR(INDEX([1]!_born[生没年],
MATCH(I434,[1]!_born[作],0)),"")</f>
        <v/>
      </c>
      <c r="N434" s="14" t="str" ph="1">
        <f>IFERROR(INDEX([1]!_born[生没年],
MATCH(K434,[1]!_born[作],0)),"")</f>
        <v/>
      </c>
      <c r="O434" s="13" t="s" ph="1">
        <v>4795</v>
      </c>
      <c r="R434" s="16" t="s" ph="1">
        <v>2692</v>
      </c>
      <c r="S434" s="13" t="s" ph="1">
        <v>4796</v>
      </c>
      <c r="T434" s="13" t="s" ph="1">
        <v>4753</v>
      </c>
      <c r="U434" s="16" t="s" ph="1">
        <v>50</v>
      </c>
      <c r="V434" s="17" ph="1">
        <v>320</v>
      </c>
      <c r="W434" s="17" ph="1">
        <v>320</v>
      </c>
      <c r="X434" s="13" t="s" ph="1">
        <v>4724</v>
      </c>
      <c r="Y434" s="13" t="s" ph="1">
        <v>4725</v>
      </c>
    </row>
    <row r="435" spans="1:25" ht="22.5" customHeight="1" ph="1" x14ac:dyDescent="0.35">
      <c r="A435" s="106" t="s" ph="1">
        <v>2689</v>
      </c>
      <c r="C435" s="13" t="s" ph="1">
        <v>25</v>
      </c>
      <c r="G435" s="13" t="s" ph="1">
        <v>4758</v>
      </c>
      <c r="H435" s="13" t="s" ph="1">
        <v>61</v>
      </c>
      <c r="I435" s="13" t="s" ph="1">
        <v>4797</v>
      </c>
      <c r="J435" s="13" t="s" ph="1">
        <v>3664</v>
      </c>
      <c r="K435" s="13" t="s" ph="1">
        <v>4785</v>
      </c>
      <c r="L435" s="13" t="s" ph="1">
        <v>4750</v>
      </c>
      <c r="M435" s="14" t="str" ph="1">
        <f>IFERROR(INDEX([1]!_born[生没年],
MATCH(I435,[1]!_born[作],0)),"")</f>
        <v/>
      </c>
      <c r="N435" s="14" t="str" ph="1">
        <f>IFERROR(INDEX([1]!_born[生没年],
MATCH(K435,[1]!_born[作],0)),"")</f>
        <v/>
      </c>
      <c r="O435" s="13" t="s" ph="1">
        <v>4798</v>
      </c>
      <c r="R435" s="16" t="s" ph="1">
        <v>2690</v>
      </c>
      <c r="S435" s="13" t="s" ph="1">
        <v>4799</v>
      </c>
      <c r="T435" s="13" t="s" ph="1">
        <v>4753</v>
      </c>
      <c r="U435" s="16" t="s" ph="1">
        <v>50</v>
      </c>
      <c r="V435" s="17" ph="1">
        <v>290</v>
      </c>
      <c r="W435" s="17" ph="1">
        <v>290</v>
      </c>
      <c r="X435" s="13" t="s" ph="1">
        <v>4724</v>
      </c>
      <c r="Y435" s="13" t="s" ph="1">
        <v>4725</v>
      </c>
    </row>
    <row r="436" spans="1:25" ht="22.5" customHeight="1" ph="1" x14ac:dyDescent="0.35">
      <c r="A436" s="106" t="s" ph="1">
        <v>2688</v>
      </c>
      <c r="C436" s="13" t="s" ph="1">
        <v>25</v>
      </c>
      <c r="G436" s="13" t="s" ph="1">
        <v>4758</v>
      </c>
      <c r="H436" s="13" t="s" ph="1">
        <v>61</v>
      </c>
      <c r="I436" s="13" t="s" ph="1">
        <v>4800</v>
      </c>
      <c r="J436" s="13" t="s" ph="1">
        <v>3664</v>
      </c>
      <c r="K436" s="13" t="s" ph="1">
        <v>4785</v>
      </c>
      <c r="L436" s="13" t="s" ph="1">
        <v>4750</v>
      </c>
      <c r="M436" s="14" t="str" ph="1">
        <f>IFERROR(INDEX([1]!_born[生没年],
MATCH(I436,[1]!_born[作],0)),"")</f>
        <v/>
      </c>
      <c r="N436" s="14" t="str" ph="1">
        <f>IFERROR(INDEX([1]!_born[生没年],
MATCH(K436,[1]!_born[作],0)),"")</f>
        <v/>
      </c>
      <c r="O436" s="13" t="s" ph="1">
        <v>4801</v>
      </c>
      <c r="R436" s="16" t="s" ph="1">
        <v>2687</v>
      </c>
      <c r="S436" s="13" t="s" ph="1">
        <v>4802</v>
      </c>
      <c r="T436" s="13" t="s" ph="1">
        <v>4753</v>
      </c>
      <c r="U436" s="16" t="s" ph="1">
        <v>50</v>
      </c>
      <c r="V436" s="17" ph="1">
        <v>320</v>
      </c>
      <c r="W436" s="17" ph="1">
        <v>320</v>
      </c>
      <c r="X436" s="13" t="s" ph="1">
        <v>4724</v>
      </c>
      <c r="Y436" s="13" t="s" ph="1">
        <v>4725</v>
      </c>
    </row>
    <row r="437" spans="1:25" ht="22.5" customHeight="1" ph="1" x14ac:dyDescent="0.35">
      <c r="A437" s="106" t="s" ph="1">
        <v>3116</v>
      </c>
      <c r="B437" s="5" t="s" ph="1">
        <v>571</v>
      </c>
      <c r="C437" s="13" t="s" ph="1">
        <v>25</v>
      </c>
      <c r="G437" s="13" t="s" ph="1">
        <v>3599</v>
      </c>
      <c r="H437" s="13" t="s" ph="1">
        <v>61</v>
      </c>
      <c r="I437" s="13" t="s" ph="1">
        <v>4803</v>
      </c>
      <c r="M437" s="14" t="str" ph="1">
        <f>IFERROR(INDEX([1]!_born[生没年],
MATCH(I437,[1]!_born[作],0)),"")</f>
        <v/>
      </c>
      <c r="N437" s="14" t="str" ph="1">
        <f>IFERROR(INDEX([1]!_born[生没年],
MATCH(K437,[1]!_born[作],0)),"")</f>
        <v/>
      </c>
      <c r="O437" s="13" t="s" ph="1">
        <v>4804</v>
      </c>
      <c r="R437" s="16" ph="1">
        <v>37690</v>
      </c>
      <c r="T437" s="13" t="s" ph="1">
        <v>4805</v>
      </c>
      <c r="U437" s="16" t="s" ph="1">
        <v>3090</v>
      </c>
      <c r="V437" s="17" ph="1">
        <f>1600*1.08</f>
        <v>1728</v>
      </c>
      <c r="W437" s="17" t="s" ph="1">
        <v>1225</v>
      </c>
      <c r="X437" s="13" t="s" ph="1">
        <v>1225</v>
      </c>
      <c r="Y437" s="13" t="s" ph="1">
        <v>4806</v>
      </c>
    </row>
    <row r="438" spans="1:25" ht="22.5" customHeight="1" ph="1" x14ac:dyDescent="0.35">
      <c r="C438" s="13" t="s" ph="1">
        <v>707</v>
      </c>
      <c r="G438" s="13" t="s" ph="1">
        <v>3599</v>
      </c>
      <c r="H438" s="13" t="s" ph="1">
        <v>716</v>
      </c>
      <c r="I438" s="13" t="s" ph="1">
        <v>4807</v>
      </c>
      <c r="M438" s="14" t="str" ph="1">
        <f>IFERROR(INDEX([1]!_born[生没年],
MATCH(I438,[1]!_born[作],0)),"")</f>
        <v/>
      </c>
      <c r="N438" s="14" t="str" ph="1">
        <f>IFERROR(INDEX([1]!_born[生没年],
MATCH(K438,[1]!_born[作],0)),"")</f>
        <v/>
      </c>
      <c r="O438" s="13" t="s" ph="1">
        <v>4808</v>
      </c>
      <c r="T438" s="13" t="s" ph="1">
        <v>4805</v>
      </c>
      <c r="V438" s="17" ph="1">
        <v>1200</v>
      </c>
    </row>
    <row r="439" spans="1:25" ht="22.5" customHeight="1" ph="1" x14ac:dyDescent="0.35">
      <c r="C439" s="13" t="s" ph="1">
        <v>707</v>
      </c>
      <c r="G439" s="13" t="s" ph="1">
        <v>3599</v>
      </c>
      <c r="H439" s="13" t="s" ph="1">
        <v>716</v>
      </c>
      <c r="I439" s="13" t="s" ph="1">
        <v>4807</v>
      </c>
      <c r="M439" s="14" t="str" ph="1">
        <f>IFERROR(INDEX([1]!_born[生没年],
MATCH(I439,[1]!_born[作],0)),"")</f>
        <v/>
      </c>
      <c r="N439" s="14" t="str" ph="1">
        <f>IFERROR(INDEX([1]!_born[生没年],
MATCH(K439,[1]!_born[作],0)),"")</f>
        <v/>
      </c>
      <c r="O439" s="13" t="s" ph="1">
        <v>4809</v>
      </c>
      <c r="T439" s="13" t="s" ph="1">
        <v>4805</v>
      </c>
      <c r="V439" s="17" ph="1">
        <v>1600</v>
      </c>
    </row>
    <row r="440" spans="1:25" ht="22.5" customHeight="1" ph="1" x14ac:dyDescent="0.35">
      <c r="C440" s="13" t="s" ph="1">
        <v>707</v>
      </c>
      <c r="G440" s="13" t="s" ph="1">
        <v>3599</v>
      </c>
      <c r="H440" s="13" t="s" ph="1">
        <v>716</v>
      </c>
      <c r="I440" s="15" t="s" ph="1">
        <v>4810</v>
      </c>
      <c r="M440" s="14" t="str" ph="1">
        <f>IFERROR(INDEX([1]!_born[生没年],
MATCH(I440,[1]!_born[作],0)),"")</f>
        <v/>
      </c>
      <c r="N440" s="14" t="str" ph="1">
        <f>IFERROR(INDEX([1]!_born[生没年],
MATCH(K440,[1]!_born[作],0)),"")</f>
        <v/>
      </c>
      <c r="O440" s="13" t="s" ph="1">
        <v>4811</v>
      </c>
      <c r="T440" s="13" t="s" ph="1">
        <v>3926</v>
      </c>
    </row>
    <row r="441" spans="1:25" ht="22.5" customHeight="1" ph="1" x14ac:dyDescent="0.35">
      <c r="C441" s="13" t="s" ph="1">
        <v>707</v>
      </c>
      <c r="G441" s="13" t="s" ph="1">
        <v>4758</v>
      </c>
      <c r="H441" s="13" t="s" ph="1">
        <v>716</v>
      </c>
      <c r="I441" s="15" t="s" ph="1">
        <v>4810</v>
      </c>
      <c r="M441" s="14" t="str" ph="1">
        <f>IFERROR(INDEX([1]!_born[生没年],
MATCH(I441,[1]!_born[作],0)),"")</f>
        <v/>
      </c>
      <c r="N441" s="14" t="str" ph="1">
        <f>IFERROR(INDEX([1]!_born[生没年],
MATCH(K441,[1]!_born[作],0)),"")</f>
        <v/>
      </c>
      <c r="O441" s="13" t="s" ph="1">
        <v>4812</v>
      </c>
      <c r="T441" s="13" t="s" ph="1">
        <v>3780</v>
      </c>
    </row>
    <row r="442" spans="1:25" ht="22.5" customHeight="1" ph="1" x14ac:dyDescent="0.35">
      <c r="C442" s="13" t="s" ph="1">
        <v>707</v>
      </c>
      <c r="G442" s="13" t="s" ph="1">
        <v>4758</v>
      </c>
      <c r="H442" s="13" t="s" ph="1">
        <v>716</v>
      </c>
      <c r="I442" s="15" t="s" ph="1">
        <v>4810</v>
      </c>
      <c r="M442" s="14" t="str" ph="1">
        <f>IFERROR(INDEX([1]!_born[生没年],
MATCH(I442,[1]!_born[作],0)),"")</f>
        <v/>
      </c>
      <c r="N442" s="14" t="str" ph="1">
        <f>IFERROR(INDEX([1]!_born[生没年],
MATCH(K442,[1]!_born[作],0)),"")</f>
        <v/>
      </c>
      <c r="O442" s="13" t="s" ph="1">
        <v>4813</v>
      </c>
      <c r="T442" s="13" t="s" ph="1">
        <v>3780</v>
      </c>
      <c r="W442" s="17" ph="1">
        <v>0</v>
      </c>
      <c r="X442" s="5" t="s" ph="1">
        <v>4814</v>
      </c>
      <c r="Y442" s="5" ph="1"/>
    </row>
    <row r="443" spans="1:25" ht="22.5" customHeight="1" ph="1" x14ac:dyDescent="0.35">
      <c r="C443" s="13" t="s" ph="1">
        <v>707</v>
      </c>
      <c r="G443" s="13" t="s" ph="1">
        <v>3599</v>
      </c>
      <c r="H443" s="13" t="s" ph="1">
        <v>716</v>
      </c>
      <c r="I443" s="15" t="s" ph="1">
        <v>4815</v>
      </c>
      <c r="K443" s="13" t="s" ph="1">
        <v>4816</v>
      </c>
      <c r="L443" s="13" t="s" ph="1">
        <v>4142</v>
      </c>
      <c r="M443" s="14" t="str" ph="1">
        <f>IFERROR(INDEX([1]!_born[生没年],
MATCH(I443,[1]!_born[作],0)),"")</f>
        <v/>
      </c>
      <c r="N443" s="14" t="str" ph="1">
        <f>IFERROR(INDEX([1]!_born[生没年],
MATCH(K443,[1]!_born[作],0)),"")</f>
        <v/>
      </c>
      <c r="O443" s="13" t="s" ph="1">
        <v>4817</v>
      </c>
      <c r="T443" s="13" t="s" ph="1">
        <v>3780</v>
      </c>
      <c r="W443" s="17" ph="1">
        <v>0</v>
      </c>
      <c r="X443" s="5" t="s" ph="1">
        <v>4814</v>
      </c>
      <c r="Y443" s="5" ph="1"/>
    </row>
    <row r="444" spans="1:25" ht="22.5" customHeight="1" ph="1" x14ac:dyDescent="0.35">
      <c r="C444" s="13" t="s" ph="1">
        <v>707</v>
      </c>
      <c r="G444" s="13" t="s" ph="1">
        <v>4758</v>
      </c>
      <c r="H444" s="13" t="s" ph="1">
        <v>716</v>
      </c>
      <c r="I444" s="13" t="s" ph="1">
        <v>4818</v>
      </c>
      <c r="M444" s="14" t="str" ph="1">
        <f>IFERROR(INDEX([1]!_born[生没年],
MATCH(I444,[1]!_born[作],0)),"")</f>
        <v/>
      </c>
      <c r="N444" s="14" t="str" ph="1">
        <f>IFERROR(INDEX([1]!_born[生没年],
MATCH(K444,[1]!_born[作],0)),"")</f>
        <v/>
      </c>
      <c r="O444" s="13" t="s" ph="1">
        <v>4819</v>
      </c>
      <c r="S444" s="13" t="s" ph="1">
        <v>4820</v>
      </c>
      <c r="T444" s="13" t="s" ph="1">
        <v>4626</v>
      </c>
    </row>
    <row r="445" spans="1:25" ht="22.5" customHeight="1" ph="1" x14ac:dyDescent="0.35">
      <c r="C445" s="13" t="s" ph="1">
        <v>707</v>
      </c>
      <c r="G445" s="13" t="s" ph="1">
        <v>4758</v>
      </c>
      <c r="H445" s="13" t="s" ph="1">
        <v>716</v>
      </c>
      <c r="I445" s="13" t="s" ph="1">
        <v>4821</v>
      </c>
      <c r="M445" s="14" t="str" ph="1">
        <f>IFERROR(INDEX([1]!_born[生没年],
MATCH(I445,[1]!_born[作],0)),"")</f>
        <v/>
      </c>
      <c r="N445" s="14" t="str" ph="1">
        <f>IFERROR(INDEX([1]!_born[生没年],
MATCH(K445,[1]!_born[作],0)),"")</f>
        <v/>
      </c>
      <c r="O445" s="13" t="s" ph="1">
        <v>4822</v>
      </c>
      <c r="R445" s="16" t="s" ph="1">
        <v>1003</v>
      </c>
      <c r="T445" s="13" t="s" ph="1">
        <v>3926</v>
      </c>
      <c r="V445" s="17" ph="1">
        <v>780</v>
      </c>
      <c r="Y445" s="13" t="s" ph="1">
        <v>4823</v>
      </c>
    </row>
    <row r="446" spans="1:25" ht="22.5" customHeight="1" ph="1" x14ac:dyDescent="0.35">
      <c r="A446" s="106" t="s" ph="1">
        <v>2078</v>
      </c>
      <c r="B446" s="5" t="s" ph="1">
        <v>2079</v>
      </c>
      <c r="C446" s="13" t="s" ph="1">
        <v>707</v>
      </c>
      <c r="G446" s="13" t="s" ph="1">
        <v>4758</v>
      </c>
      <c r="H446" s="13" t="s" ph="1">
        <v>716</v>
      </c>
      <c r="I446" s="13" t="s" ph="1">
        <v>4821</v>
      </c>
      <c r="M446" s="14" t="str" ph="1">
        <f>IFERROR(INDEX([1]!_born[生没年],
MATCH(I446,[1]!_born[作],0)),"")</f>
        <v/>
      </c>
      <c r="N446" s="14" t="str" ph="1">
        <f>IFERROR(INDEX([1]!_born[生没年],
MATCH(K446,[1]!_born[作],0)),"")</f>
        <v/>
      </c>
      <c r="O446" s="13" t="s" ph="1">
        <v>4824</v>
      </c>
      <c r="R446" s="16" t="s" ph="1">
        <v>976</v>
      </c>
      <c r="T446" s="13" t="s" ph="1">
        <v>3926</v>
      </c>
      <c r="U446" s="16" ph="1">
        <v>38962</v>
      </c>
      <c r="V446" s="17" ph="1">
        <f>1700*1.05</f>
        <v>1785</v>
      </c>
      <c r="W446" s="17" ph="1">
        <v>900</v>
      </c>
      <c r="X446" s="13" t="s" ph="1">
        <v>1908</v>
      </c>
    </row>
    <row r="447" spans="1:25" ht="22.5" customHeight="1" ph="1" x14ac:dyDescent="0.35">
      <c r="C447" s="13" t="s" ph="1">
        <v>707</v>
      </c>
      <c r="G447" s="13" t="s" ph="1">
        <v>4758</v>
      </c>
      <c r="H447" s="13" t="s" ph="1">
        <v>716</v>
      </c>
      <c r="I447" s="13" t="s" ph="1">
        <v>4825</v>
      </c>
      <c r="M447" s="14" t="str" ph="1">
        <f>IFERROR(INDEX([1]!_born[生没年],
MATCH(I447,[1]!_born[作],0)),"")</f>
        <v/>
      </c>
      <c r="N447" s="14" t="str" ph="1">
        <f>IFERROR(INDEX([1]!_born[生没年],
MATCH(K447,[1]!_born[作],0)),"")</f>
        <v/>
      </c>
      <c r="O447" s="13" t="s" ph="1">
        <v>4826</v>
      </c>
      <c r="T447" s="13" t="s" ph="1">
        <v>4827</v>
      </c>
    </row>
    <row r="448" spans="1:25" ht="22.5" customHeight="1" ph="1" x14ac:dyDescent="0.35">
      <c r="C448" s="13" t="s" ph="1">
        <v>707</v>
      </c>
      <c r="G448" s="13" t="s" ph="1">
        <v>4758</v>
      </c>
      <c r="H448" s="13" t="s" ph="1">
        <v>716</v>
      </c>
      <c r="I448" s="13" t="s" ph="1">
        <v>4828</v>
      </c>
      <c r="M448" s="14" t="str" ph="1">
        <f>IFERROR(INDEX([1]!_born[生没年],
MATCH(I448,[1]!_born[作],0)),"")</f>
        <v/>
      </c>
      <c r="N448" s="14" t="str" ph="1">
        <f>IFERROR(INDEX([1]!_born[生没年],
MATCH(K448,[1]!_born[作],0)),"")</f>
        <v/>
      </c>
      <c r="O448" s="13" t="s" ph="1">
        <v>4829</v>
      </c>
      <c r="T448" s="13" t="s" ph="1">
        <v>4626</v>
      </c>
    </row>
    <row r="449" spans="1:25" ht="22.5" customHeight="1" ph="1" x14ac:dyDescent="0.35">
      <c r="C449" s="13" t="s" ph="1">
        <v>707</v>
      </c>
      <c r="G449" s="13" t="s" ph="1">
        <v>4758</v>
      </c>
      <c r="H449" s="13" t="s" ph="1">
        <v>716</v>
      </c>
      <c r="I449" s="13" t="s" ph="1">
        <v>4828</v>
      </c>
      <c r="M449" s="14" t="str" ph="1">
        <f>IFERROR(INDEX([1]!_born[生没年],
MATCH(I449,[1]!_born[作],0)),"")</f>
        <v/>
      </c>
      <c r="N449" s="14" t="str" ph="1">
        <f>IFERROR(INDEX([1]!_born[生没年],
MATCH(K449,[1]!_born[作],0)),"")</f>
        <v/>
      </c>
      <c r="O449" s="13" t="s" ph="1">
        <v>4830</v>
      </c>
      <c r="T449" s="13" t="s" ph="1">
        <v>4626</v>
      </c>
    </row>
    <row r="450" spans="1:25" s="19" customFormat="1" ht="22.5" customHeight="1" ph="1" x14ac:dyDescent="0.35">
      <c r="A450" s="107" ph="1"/>
      <c r="B450" s="18" ph="1"/>
      <c r="C450" s="19" t="s" ph="1">
        <v>707</v>
      </c>
      <c r="D450" s="124" ph="1"/>
      <c r="E450" s="124" ph="1"/>
      <c r="G450" s="19" t="s" ph="1">
        <v>4831</v>
      </c>
      <c r="H450" s="19" t="s" ph="1">
        <v>716</v>
      </c>
      <c r="I450" s="19" t="s" ph="1">
        <v>4832</v>
      </c>
      <c r="M450" s="14" t="str" ph="1">
        <f>IFERROR(INDEX([1]!_born[生没年],
MATCH(I450,[1]!_born[作],0)),"")</f>
        <v/>
      </c>
      <c r="N450" s="27" t="str" ph="1">
        <f>IFERROR(INDEX([1]!_born[生没年],
MATCH(K450,[1]!_born[作],0)),"")</f>
        <v/>
      </c>
      <c r="O450" s="19" t="s" ph="1">
        <v>315</v>
      </c>
      <c r="R450" s="20" t="s" ph="1">
        <v>1482</v>
      </c>
      <c r="T450" s="19" t="s" ph="1">
        <v>4833</v>
      </c>
      <c r="U450" s="20" ph="1">
        <v>37121</v>
      </c>
      <c r="V450" s="21" ph="1">
        <f>1400*1.05</f>
        <v>1470</v>
      </c>
      <c r="W450" s="21" ph="1">
        <f>1400*1.05</f>
        <v>1470</v>
      </c>
      <c r="Y450" s="19" t="s" ph="1">
        <v>4834</v>
      </c>
    </row>
    <row r="451" spans="1:25" ht="22.5" customHeight="1" ph="1" x14ac:dyDescent="0.35">
      <c r="C451" s="13" t="s" ph="1">
        <v>707</v>
      </c>
      <c r="G451" s="13" t="s" ph="1">
        <v>4758</v>
      </c>
      <c r="H451" s="13" t="s" ph="1">
        <v>716</v>
      </c>
      <c r="I451" s="13" t="s" ph="1">
        <v>4835</v>
      </c>
      <c r="K451" s="13" t="s" ph="1">
        <v>4836</v>
      </c>
      <c r="L451" s="13" t="s" ph="1">
        <v>3616</v>
      </c>
      <c r="M451" s="14" t="str" ph="1">
        <f>IFERROR(INDEX([1]!_born[生没年],
MATCH(I451,[1]!_born[作],0)),"")</f>
        <v/>
      </c>
      <c r="N451" s="14" t="str" ph="1">
        <f>IFERROR(INDEX([1]!_born[生没年],
MATCH(K451,[1]!_born[作],0)),"")</f>
        <v/>
      </c>
      <c r="O451" s="13" t="s" ph="1">
        <v>4837</v>
      </c>
      <c r="R451" s="16" t="s" ph="1">
        <v>2080</v>
      </c>
      <c r="S451" s="13" t="s" ph="1">
        <v>4838</v>
      </c>
      <c r="T451" s="13" t="s" ph="1">
        <v>4839</v>
      </c>
      <c r="U451" s="16" ph="1">
        <v>36807</v>
      </c>
      <c r="W451" s="17" ph="1">
        <v>0</v>
      </c>
      <c r="X451" s="13" t="s" ph="1">
        <v>3622</v>
      </c>
      <c r="Y451" s="13" t="s" ph="1">
        <v>4840</v>
      </c>
    </row>
    <row r="452" spans="1:25" ht="22.5" customHeight="1" ph="1" x14ac:dyDescent="0.35">
      <c r="C452" s="13" t="s" ph="1">
        <v>707</v>
      </c>
      <c r="G452" s="13" t="s" ph="1">
        <v>4758</v>
      </c>
      <c r="H452" s="13" t="s" ph="1">
        <v>716</v>
      </c>
      <c r="I452" s="13" t="s" ph="1">
        <v>4841</v>
      </c>
      <c r="M452" s="14" t="str" ph="1">
        <f>IFERROR(INDEX([1]!_born[生没年],
MATCH(I452,[1]!_born[作],0)),"")</f>
        <v/>
      </c>
      <c r="N452" s="14" t="str" ph="1">
        <f>IFERROR(INDEX([1]!_born[生没年],
MATCH(K452,[1]!_born[作],0)),"")</f>
        <v/>
      </c>
      <c r="O452" s="13" t="s" ph="1">
        <v>4842</v>
      </c>
      <c r="T452" s="13" t="s" ph="1">
        <v>3739</v>
      </c>
    </row>
    <row r="453" spans="1:25" ht="22.5" customHeight="1" ph="1" x14ac:dyDescent="0.35">
      <c r="C453" s="13" t="s" ph="1">
        <v>707</v>
      </c>
      <c r="G453" s="13" t="s" ph="1">
        <v>4758</v>
      </c>
      <c r="H453" s="13" t="s" ph="1">
        <v>716</v>
      </c>
      <c r="I453" s="13" t="s" ph="1">
        <v>4843</v>
      </c>
      <c r="M453" s="14" t="str" ph="1">
        <f>IFERROR(INDEX([1]!_born[生没年],
MATCH(I453,[1]!_born[作],0)),"")</f>
        <v/>
      </c>
      <c r="N453" s="14" t="str" ph="1">
        <f>IFERROR(INDEX([1]!_born[生没年],
MATCH(K453,[1]!_born[作],0)),"")</f>
        <v/>
      </c>
      <c r="O453" s="13" t="s" ph="1">
        <v>4844</v>
      </c>
      <c r="R453" s="16" t="s" ph="1">
        <v>742</v>
      </c>
      <c r="T453" s="13" t="s" ph="1">
        <v>4839</v>
      </c>
      <c r="U453" s="16" ph="1">
        <v>36892</v>
      </c>
      <c r="V453" s="17" ph="1">
        <f>1400*1.05</f>
        <v>1470</v>
      </c>
      <c r="W453" s="17" ph="1">
        <f>1400*1.05</f>
        <v>1470</v>
      </c>
      <c r="Y453" s="13" t="s" ph="1">
        <v>4845</v>
      </c>
    </row>
    <row r="454" spans="1:25" ht="22.5" customHeight="1" ph="1" x14ac:dyDescent="0.35">
      <c r="C454" s="13" t="s" ph="1">
        <v>707</v>
      </c>
      <c r="G454" s="13" t="s" ph="1">
        <v>4758</v>
      </c>
      <c r="H454" s="13" t="s" ph="1">
        <v>716</v>
      </c>
      <c r="I454" s="13" t="s" ph="1">
        <v>4843</v>
      </c>
      <c r="M454" s="14" t="str" ph="1">
        <f>IFERROR(INDEX([1]!_born[生没年],
MATCH(I454,[1]!_born[作],0)),"")</f>
        <v/>
      </c>
      <c r="N454" s="14" t="str" ph="1">
        <f>IFERROR(INDEX([1]!_born[生没年],
MATCH(K454,[1]!_born[作],0)),"")</f>
        <v/>
      </c>
      <c r="O454" s="13" t="s" ph="1">
        <v>4846</v>
      </c>
      <c r="T454" s="13" t="s" ph="1">
        <v>4839</v>
      </c>
      <c r="U454" s="16" ph="1">
        <v>36892</v>
      </c>
      <c r="V454" s="17" ph="1">
        <f>1300*1.05</f>
        <v>1365</v>
      </c>
      <c r="W454" s="17" ph="1">
        <f>1300*1.05</f>
        <v>1365</v>
      </c>
    </row>
    <row r="455" spans="1:25" ht="22.5" customHeight="1" ph="1" x14ac:dyDescent="0.35">
      <c r="C455" s="13" t="s" ph="1">
        <v>707</v>
      </c>
      <c r="G455" s="13" t="s" ph="1">
        <v>4758</v>
      </c>
      <c r="H455" s="13" t="s" ph="1">
        <v>716</v>
      </c>
      <c r="I455" s="13" t="s" ph="1">
        <v>4843</v>
      </c>
      <c r="M455" s="14" t="str" ph="1">
        <f>IFERROR(INDEX([1]!_born[生没年],
MATCH(I455,[1]!_born[作],0)),"")</f>
        <v/>
      </c>
      <c r="N455" s="14" t="str" ph="1">
        <f>IFERROR(INDEX([1]!_born[生没年],
MATCH(K455,[1]!_born[作],0)),"")</f>
        <v/>
      </c>
      <c r="O455" s="13" t="s" ph="1">
        <v>4847</v>
      </c>
      <c r="R455" s="16" t="s" ph="1">
        <v>711</v>
      </c>
      <c r="T455" s="13" t="s" ph="1">
        <v>4839</v>
      </c>
      <c r="U455" s="16" ph="1">
        <v>37142</v>
      </c>
      <c r="V455" s="17" ph="1">
        <v>1500</v>
      </c>
      <c r="W455" s="17" ph="1">
        <v>900</v>
      </c>
      <c r="X455" s="13" t="s" ph="1">
        <v>4848</v>
      </c>
    </row>
    <row r="456" spans="1:25" ht="22.5" customHeight="1" ph="1" x14ac:dyDescent="0.35">
      <c r="C456" s="13" t="s" ph="1">
        <v>707</v>
      </c>
      <c r="G456" s="13" t="s" ph="1">
        <v>4758</v>
      </c>
      <c r="H456" s="13" t="s" ph="1">
        <v>716</v>
      </c>
      <c r="I456" s="13" t="s" ph="1">
        <v>4843</v>
      </c>
      <c r="M456" s="14" t="str" ph="1">
        <f>IFERROR(INDEX([1]!_born[生没年],
MATCH(I456,[1]!_born[作],0)),"")</f>
        <v/>
      </c>
      <c r="N456" s="14" t="str" ph="1">
        <f>IFERROR(INDEX([1]!_born[生没年],
MATCH(K456,[1]!_born[作],0)),"")</f>
        <v/>
      </c>
      <c r="O456" s="13" t="s" ph="1">
        <v>4849</v>
      </c>
      <c r="R456" s="16" t="s" ph="1">
        <v>2081</v>
      </c>
      <c r="T456" s="13" t="s" ph="1">
        <v>4626</v>
      </c>
      <c r="U456" s="16" ph="1">
        <v>37142</v>
      </c>
      <c r="V456" s="17" ph="1">
        <v>1300</v>
      </c>
      <c r="W456" s="17" ph="1">
        <v>900</v>
      </c>
      <c r="X456" s="13" t="s" ph="1">
        <v>4848</v>
      </c>
    </row>
    <row r="457" spans="1:25" ht="22.5" customHeight="1" ph="1" x14ac:dyDescent="0.35">
      <c r="C457" s="13" t="s" ph="1">
        <v>707</v>
      </c>
      <c r="G457" s="13" t="s" ph="1">
        <v>4758</v>
      </c>
      <c r="H457" s="13" t="s" ph="1">
        <v>716</v>
      </c>
      <c r="I457" s="13" t="s" ph="1">
        <v>4850</v>
      </c>
      <c r="M457" s="14" t="str" ph="1">
        <f>IFERROR(INDEX([1]!_born[生没年],
MATCH(I457,[1]!_born[作],0)),"")</f>
        <v/>
      </c>
      <c r="N457" s="14" t="str" ph="1">
        <f>IFERROR(INDEX([1]!_born[生没年],
MATCH(K457,[1]!_born[作],0)),"")</f>
        <v/>
      </c>
      <c r="O457" s="13" t="s" ph="1">
        <v>4851</v>
      </c>
      <c r="T457" s="13" t="s" ph="1">
        <v>4852</v>
      </c>
    </row>
    <row r="458" spans="1:25" ht="22.5" customHeight="1" ph="1" x14ac:dyDescent="0.35">
      <c r="C458" s="13" t="s" ph="1">
        <v>707</v>
      </c>
      <c r="G458" s="13" t="s" ph="1">
        <v>3599</v>
      </c>
      <c r="H458" s="13" t="s" ph="1">
        <v>716</v>
      </c>
      <c r="I458" s="13" t="s" ph="1">
        <v>4853</v>
      </c>
      <c r="M458" s="14" t="str" ph="1">
        <f>IFERROR(INDEX([1]!_born[生没年],
MATCH(I458,[1]!_born[作],0)),"")</f>
        <v/>
      </c>
      <c r="N458" s="14" t="str" ph="1">
        <f>IFERROR(INDEX([1]!_born[生没年],
MATCH(K458,[1]!_born[作],0)),"")</f>
        <v/>
      </c>
      <c r="O458" s="13" t="s" ph="1">
        <v>4854</v>
      </c>
      <c r="T458" s="13" t="s" ph="1">
        <v>3958</v>
      </c>
      <c r="V458" s="17" ph="1">
        <v>1500</v>
      </c>
    </row>
    <row r="459" spans="1:25" ht="22.5" customHeight="1" ph="1" x14ac:dyDescent="0.35">
      <c r="A459" s="106" t="s" ph="1">
        <v>2921</v>
      </c>
      <c r="B459" s="5" t="s" ph="1">
        <v>2922</v>
      </c>
      <c r="C459" s="13" t="s" ph="1">
        <v>25</v>
      </c>
      <c r="G459" s="13" t="s" ph="1">
        <v>3599</v>
      </c>
      <c r="H459" s="13" t="s" ph="1">
        <v>61</v>
      </c>
      <c r="I459" s="13" t="s" ph="1">
        <v>4855</v>
      </c>
      <c r="M459" s="14" t="str" ph="1">
        <f>IFERROR(INDEX([1]!_born[生没年],
MATCH(I459,[1]!_born[作],0)),"")</f>
        <v/>
      </c>
      <c r="N459" s="14" t="str" ph="1">
        <f>IFERROR(INDEX([1]!_born[生没年],
MATCH(K459,[1]!_born[作],0)),"")</f>
        <v/>
      </c>
      <c r="O459" s="13" t="s" ph="1">
        <v>4856</v>
      </c>
      <c r="T459" s="13" t="s" ph="1">
        <v>3643</v>
      </c>
      <c r="U459" s="16" t="s" ph="1">
        <v>2923</v>
      </c>
      <c r="V459" s="17" ph="1">
        <f>2200*1.08</f>
        <v>2376</v>
      </c>
      <c r="W459" s="17" ph="1">
        <f>2200*1.08</f>
        <v>2376</v>
      </c>
    </row>
    <row r="460" spans="1:25" ht="22.5" customHeight="1" ph="1" x14ac:dyDescent="0.35">
      <c r="C460" s="13" t="s" ph="1">
        <v>707</v>
      </c>
      <c r="G460" s="13" t="s" ph="1">
        <v>3599</v>
      </c>
      <c r="H460" s="13" t="s" ph="1">
        <v>716</v>
      </c>
      <c r="I460" s="13" t="s" ph="1">
        <v>4857</v>
      </c>
      <c r="M460" s="14" t="str" ph="1">
        <f>IFERROR(INDEX([1]!_born[生没年],
MATCH(I460,[1]!_born[作],0)),"")</f>
        <v/>
      </c>
      <c r="N460" s="14" t="str" ph="1">
        <f>IFERROR(INDEX([1]!_born[生没年],
MATCH(K460,[1]!_born[作],0)),"")</f>
        <v/>
      </c>
      <c r="O460" s="13" t="s" ph="1">
        <v>4858</v>
      </c>
      <c r="T460" s="13" t="s" ph="1">
        <v>4805</v>
      </c>
      <c r="V460" s="17" ph="1">
        <v>2500</v>
      </c>
    </row>
    <row r="461" spans="1:25" ht="22.5" customHeight="1" ph="1" x14ac:dyDescent="0.35">
      <c r="C461" s="13" t="s" ph="1">
        <v>707</v>
      </c>
      <c r="G461" s="13" t="s" ph="1">
        <v>3599</v>
      </c>
      <c r="H461" s="13" t="s" ph="1">
        <v>716</v>
      </c>
      <c r="I461" s="13" t="s" ph="1">
        <v>4859</v>
      </c>
      <c r="M461" s="14" t="str" ph="1">
        <f>IFERROR(INDEX([1]!_born[生没年],
MATCH(I461,[1]!_born[作],0)),"")</f>
        <v/>
      </c>
      <c r="N461" s="14" t="str" ph="1">
        <f>IFERROR(INDEX([1]!_born[生没年],
MATCH(K461,[1]!_born[作],0)),"")</f>
        <v/>
      </c>
      <c r="O461" s="13" t="s" ph="1">
        <v>4860</v>
      </c>
      <c r="T461" s="13" t="s" ph="1">
        <v>4805</v>
      </c>
    </row>
    <row r="462" spans="1:25" ht="22.5" customHeight="1" ph="1" x14ac:dyDescent="0.35">
      <c r="C462" s="13" t="s" ph="1">
        <v>707</v>
      </c>
      <c r="G462" s="13" t="s" ph="1">
        <v>4758</v>
      </c>
      <c r="H462" s="13" t="s" ph="1">
        <v>716</v>
      </c>
      <c r="I462" s="13" t="s" ph="1">
        <v>4859</v>
      </c>
      <c r="M462" s="14" t="str" ph="1">
        <f>IFERROR(INDEX([1]!_born[生没年],
MATCH(I462,[1]!_born[作],0)),"")</f>
        <v/>
      </c>
      <c r="N462" s="14" t="str" ph="1">
        <f>IFERROR(INDEX([1]!_born[生没年],
MATCH(K462,[1]!_born[作],0)),"")</f>
        <v/>
      </c>
      <c r="O462" s="13" t="s" ph="1">
        <v>4861</v>
      </c>
      <c r="T462" s="13" t="s" ph="1">
        <v>4805</v>
      </c>
    </row>
    <row r="463" spans="1:25" ht="22.5" customHeight="1" ph="1" x14ac:dyDescent="0.35">
      <c r="C463" s="13" t="s" ph="1">
        <v>707</v>
      </c>
      <c r="G463" s="13" t="s" ph="1">
        <v>4758</v>
      </c>
      <c r="H463" s="13" t="s" ph="1">
        <v>716</v>
      </c>
      <c r="I463" s="13" t="s" ph="1">
        <v>4859</v>
      </c>
      <c r="M463" s="14" t="str" ph="1">
        <f>IFERROR(INDEX([1]!_born[生没年],
MATCH(I463,[1]!_born[作],0)),"")</f>
        <v/>
      </c>
      <c r="N463" s="14" t="str" ph="1">
        <f>IFERROR(INDEX([1]!_born[生没年],
MATCH(K463,[1]!_born[作],0)),"")</f>
        <v/>
      </c>
      <c r="O463" s="13" t="s" ph="1">
        <v>4862</v>
      </c>
      <c r="T463" s="13" t="s" ph="1">
        <v>4626</v>
      </c>
    </row>
    <row r="464" spans="1:25" ht="22.5" customHeight="1" ph="1" x14ac:dyDescent="0.35">
      <c r="C464" s="13" t="s" ph="1">
        <v>707</v>
      </c>
      <c r="G464" s="13" t="s" ph="1">
        <v>4758</v>
      </c>
      <c r="H464" s="13" t="s" ph="1">
        <v>716</v>
      </c>
      <c r="I464" s="13" t="s" ph="1">
        <v>4859</v>
      </c>
      <c r="M464" s="14" t="str" ph="1">
        <f>IFERROR(INDEX([1]!_born[生没年],
MATCH(I464,[1]!_born[作],0)),"")</f>
        <v/>
      </c>
      <c r="N464" s="14" t="str" ph="1">
        <f>IFERROR(INDEX([1]!_born[生没年],
MATCH(K464,[1]!_born[作],0)),"")</f>
        <v/>
      </c>
      <c r="O464" s="13" t="s" ph="1">
        <v>4863</v>
      </c>
      <c r="T464" s="13" t="s" ph="1">
        <v>4827</v>
      </c>
    </row>
    <row r="465" spans="1:25" ht="22.5" customHeight="1" ph="1" x14ac:dyDescent="0.35">
      <c r="C465" s="13" t="s" ph="1">
        <v>707</v>
      </c>
      <c r="G465" s="13" t="s" ph="1">
        <v>4758</v>
      </c>
      <c r="H465" s="13" t="s" ph="1">
        <v>716</v>
      </c>
      <c r="I465" s="13" t="s" ph="1">
        <v>4859</v>
      </c>
      <c r="M465" s="14" t="str" ph="1">
        <f>IFERROR(INDEX([1]!_born[生没年],
MATCH(I465,[1]!_born[作],0)),"")</f>
        <v/>
      </c>
      <c r="N465" s="14" t="str" ph="1">
        <f>IFERROR(INDEX([1]!_born[生没年],
MATCH(K465,[1]!_born[作],0)),"")</f>
        <v/>
      </c>
      <c r="O465" s="13" t="s" ph="1">
        <v>4864</v>
      </c>
      <c r="T465" s="13" t="s" ph="1">
        <v>4827</v>
      </c>
    </row>
    <row r="466" spans="1:25" ht="22.5" customHeight="1" ph="1" x14ac:dyDescent="0.35">
      <c r="C466" s="13" t="s" ph="1">
        <v>707</v>
      </c>
      <c r="G466" s="13" t="s" ph="1">
        <v>4758</v>
      </c>
      <c r="H466" s="13" t="s" ph="1">
        <v>716</v>
      </c>
      <c r="I466" s="13" t="s" ph="1">
        <v>4859</v>
      </c>
      <c r="M466" s="14" t="str" ph="1">
        <f>IFERROR(INDEX([1]!_born[生没年],
MATCH(I466,[1]!_born[作],0)),"")</f>
        <v/>
      </c>
      <c r="N466" s="14" t="str" ph="1">
        <f>IFERROR(INDEX([1]!_born[生没年],
MATCH(K466,[1]!_born[作],0)),"")</f>
        <v/>
      </c>
      <c r="O466" s="13" t="s" ph="1">
        <v>4865</v>
      </c>
      <c r="T466" s="13" t="s" ph="1">
        <v>4866</v>
      </c>
    </row>
    <row r="467" spans="1:25" ht="22.5" customHeight="1" ph="1" x14ac:dyDescent="0.35">
      <c r="C467" s="13" t="s" ph="1">
        <v>707</v>
      </c>
      <c r="G467" s="13" t="s" ph="1">
        <v>4758</v>
      </c>
      <c r="H467" s="13" t="s" ph="1">
        <v>716</v>
      </c>
      <c r="I467" s="13" t="s" ph="1">
        <v>4859</v>
      </c>
      <c r="M467" s="14" t="str" ph="1">
        <f>IFERROR(INDEX([1]!_born[生没年],
MATCH(I467,[1]!_born[作],0)),"")</f>
        <v/>
      </c>
      <c r="N467" s="14" t="str" ph="1">
        <f>IFERROR(INDEX([1]!_born[生没年],
MATCH(K467,[1]!_born[作],0)),"")</f>
        <v/>
      </c>
      <c r="O467" s="13" t="s" ph="1">
        <v>4867</v>
      </c>
      <c r="T467" s="13" t="s" ph="1">
        <v>3926</v>
      </c>
    </row>
    <row r="468" spans="1:25" ht="22.5" customHeight="1" ph="1" x14ac:dyDescent="0.35">
      <c r="C468" s="13" t="s" ph="1">
        <v>707</v>
      </c>
      <c r="G468" s="13" t="s" ph="1">
        <v>3599</v>
      </c>
      <c r="H468" s="13" t="s" ph="1">
        <v>716</v>
      </c>
      <c r="I468" s="13" t="s" ph="1">
        <v>4868</v>
      </c>
      <c r="M468" s="14" t="str" ph="1">
        <f>IFERROR(INDEX([1]!_born[生没年],
MATCH(I468,[1]!_born[作],0)),"")</f>
        <v/>
      </c>
      <c r="N468" s="14" t="str" ph="1">
        <f>IFERROR(INDEX([1]!_born[生没年],
MATCH(K468,[1]!_born[作],0)),"")</f>
        <v/>
      </c>
      <c r="O468" s="13" t="s" ph="1">
        <v>4869</v>
      </c>
      <c r="T468" s="13" t="s" ph="1">
        <v>4402</v>
      </c>
    </row>
    <row r="469" spans="1:25" ht="22.5" customHeight="1" ph="1" x14ac:dyDescent="0.35">
      <c r="C469" s="13" t="s" ph="1">
        <v>707</v>
      </c>
      <c r="G469" s="13" t="s" ph="1">
        <v>4758</v>
      </c>
      <c r="H469" s="13" t="s" ph="1">
        <v>716</v>
      </c>
      <c r="I469" s="13" t="s" ph="1">
        <v>4870</v>
      </c>
      <c r="M469" s="14" t="str" ph="1">
        <f>IFERROR(INDEX([1]!_born[生没年],
MATCH(I469,[1]!_born[作],0)),"")</f>
        <v/>
      </c>
      <c r="N469" s="14" t="str" ph="1">
        <f>IFERROR(INDEX([1]!_born[生没年],
MATCH(K469,[1]!_born[作],0)),"")</f>
        <v/>
      </c>
      <c r="O469" s="13" t="s" ph="1">
        <v>4871</v>
      </c>
      <c r="T469" s="13" t="s" ph="1">
        <v>3780</v>
      </c>
      <c r="W469" s="17" ph="1">
        <v>0</v>
      </c>
      <c r="X469" s="5" t="s" ph="1">
        <v>4814</v>
      </c>
      <c r="Y469" s="5" ph="1"/>
    </row>
    <row r="470" spans="1:25" ht="22.5" customHeight="1" ph="1" x14ac:dyDescent="0.35">
      <c r="A470" s="106" t="s" ph="1">
        <v>2082</v>
      </c>
      <c r="B470" s="5" t="s" ph="1">
        <v>2079</v>
      </c>
      <c r="C470" s="13" t="s" ph="1">
        <v>707</v>
      </c>
      <c r="G470" s="13" t="s" ph="1">
        <v>4758</v>
      </c>
      <c r="H470" s="13" t="s" ph="1">
        <v>716</v>
      </c>
      <c r="I470" s="13" t="s" ph="1">
        <v>4872</v>
      </c>
      <c r="M470" s="14" t="str" ph="1">
        <f>IFERROR(INDEX([1]!_born[生没年],
MATCH(I470,[1]!_born[作],0)),"")</f>
        <v/>
      </c>
      <c r="N470" s="14" t="str" ph="1">
        <f>IFERROR(INDEX([1]!_born[生没年],
MATCH(K470,[1]!_born[作],0)),"")</f>
        <v/>
      </c>
      <c r="O470" s="13" t="s" ph="1">
        <v>4873</v>
      </c>
      <c r="T470" s="13" t="s" ph="1">
        <v>4626</v>
      </c>
      <c r="U470" s="16" t="s" ph="1">
        <v>2083</v>
      </c>
      <c r="V470" s="17" ph="1">
        <f>1300*1.05</f>
        <v>1365</v>
      </c>
      <c r="W470" s="17" ph="1">
        <f>1300*1.05</f>
        <v>1365</v>
      </c>
    </row>
    <row r="471" spans="1:25" ht="22.5" customHeight="1" ph="1" x14ac:dyDescent="0.35">
      <c r="C471" s="13" t="s" ph="1">
        <v>707</v>
      </c>
      <c r="G471" s="13" t="s" ph="1">
        <v>3599</v>
      </c>
      <c r="H471" s="13" t="s" ph="1">
        <v>716</v>
      </c>
      <c r="I471" s="13" t="s" ph="1">
        <v>4874</v>
      </c>
      <c r="K471" s="13" t="s" ph="1">
        <v>4875</v>
      </c>
      <c r="L471" s="13" t="s" ph="1">
        <v>3953</v>
      </c>
      <c r="M471" s="14" t="str" ph="1">
        <f>IFERROR(INDEX([1]!_born[生没年],
MATCH(I471,[1]!_born[作],0)),"")</f>
        <v/>
      </c>
      <c r="N471" s="14" t="str" ph="1">
        <f>IFERROR(INDEX([1]!_born[生没年],
MATCH(K471,[1]!_born[作],0)),"")</f>
        <v/>
      </c>
      <c r="O471" s="13" t="s" ph="1">
        <v>4876</v>
      </c>
      <c r="T471" s="13" t="s" ph="1">
        <v>4877</v>
      </c>
      <c r="V471" s="17" ph="1">
        <f>1905*1.05</f>
        <v>2000.25</v>
      </c>
    </row>
    <row r="472" spans="1:25" ht="22.5" customHeight="1" ph="1" x14ac:dyDescent="0.35">
      <c r="C472" s="13" t="s" ph="1">
        <v>707</v>
      </c>
      <c r="G472" s="13" t="s" ph="1">
        <v>4758</v>
      </c>
      <c r="H472" s="13" t="s" ph="1">
        <v>716</v>
      </c>
      <c r="I472" s="13" t="s" ph="1">
        <v>4878</v>
      </c>
      <c r="M472" s="14" t="str" ph="1">
        <f>IFERROR(INDEX([1]!_born[生没年],
MATCH(I472,[1]!_born[作],0)),"")</f>
        <v/>
      </c>
      <c r="N472" s="14" t="str" ph="1">
        <f>IFERROR(INDEX([1]!_born[生没年],
MATCH(K472,[1]!_born[作],0)),"")</f>
        <v/>
      </c>
      <c r="O472" s="13" t="s" ph="1">
        <v>4879</v>
      </c>
      <c r="T472" s="13" t="s" ph="1">
        <v>4880</v>
      </c>
    </row>
    <row r="473" spans="1:25" ht="22.5" customHeight="1" ph="1" x14ac:dyDescent="0.35">
      <c r="A473" s="106" t="s" ph="1">
        <v>2084</v>
      </c>
      <c r="B473" s="5" t="s" ph="1">
        <v>2079</v>
      </c>
      <c r="C473" s="13" t="s" ph="1">
        <v>707</v>
      </c>
      <c r="G473" s="13" t="s" ph="1">
        <v>4758</v>
      </c>
      <c r="H473" s="13" t="s" ph="1">
        <v>716</v>
      </c>
      <c r="I473" s="13" t="s" ph="1">
        <v>4881</v>
      </c>
      <c r="M473" s="14" t="str" ph="1">
        <f>IFERROR(INDEX([1]!_born[生没年],
MATCH(I473,[1]!_born[作],0)),"")</f>
        <v/>
      </c>
      <c r="N473" s="14" t="str" ph="1">
        <f>IFERROR(INDEX([1]!_born[生没年],
MATCH(K473,[1]!_born[作],0)),"")</f>
        <v/>
      </c>
      <c r="O473" s="13" t="s" ph="1">
        <v>4882</v>
      </c>
      <c r="T473" s="13" t="s" ph="1">
        <v>3780</v>
      </c>
      <c r="U473" s="16" ph="1">
        <v>39239</v>
      </c>
      <c r="V473" s="17" ph="1">
        <f>1400*1.05</f>
        <v>1470</v>
      </c>
      <c r="W473" s="17" ph="1">
        <f>1400*1.05</f>
        <v>1470</v>
      </c>
      <c r="X473" s="13" t="s" ph="1">
        <v>3802</v>
      </c>
    </row>
    <row r="474" spans="1:25" ht="22.5" customHeight="1" ph="1" x14ac:dyDescent="0.35">
      <c r="A474" s="106" t="s" ph="1">
        <v>2085</v>
      </c>
      <c r="B474" s="5" t="s" ph="1">
        <v>2079</v>
      </c>
      <c r="C474" s="13" t="s" ph="1">
        <v>707</v>
      </c>
      <c r="G474" s="13" t="s" ph="1">
        <v>4758</v>
      </c>
      <c r="H474" s="13" t="s" ph="1">
        <v>716</v>
      </c>
      <c r="I474" s="13" t="s" ph="1">
        <v>4881</v>
      </c>
      <c r="M474" s="14" t="str" ph="1">
        <f>IFERROR(INDEX([1]!_born[生没年],
MATCH(I474,[1]!_born[作],0)),"")</f>
        <v/>
      </c>
      <c r="N474" s="14" t="str" ph="1">
        <f>IFERROR(INDEX([1]!_born[生没年],
MATCH(K474,[1]!_born[作],0)),"")</f>
        <v/>
      </c>
      <c r="O474" s="13" t="s" ph="1">
        <v>4883</v>
      </c>
      <c r="T474" s="13" t="s" ph="1">
        <v>4880</v>
      </c>
      <c r="U474" s="16" t="s" ph="1">
        <v>772</v>
      </c>
      <c r="V474" s="17" ph="1">
        <f>1429*1.05</f>
        <v>1500.45</v>
      </c>
      <c r="W474" s="17" ph="1">
        <f>1429*1.05</f>
        <v>1500.45</v>
      </c>
    </row>
    <row r="475" spans="1:25" ht="22.5" customHeight="1" ph="1" x14ac:dyDescent="0.35">
      <c r="A475" s="106" t="s" ph="1">
        <v>2803</v>
      </c>
      <c r="B475" s="5" t="s" ph="1">
        <v>2079</v>
      </c>
      <c r="C475" s="13" t="s" ph="1">
        <v>25</v>
      </c>
      <c r="G475" s="13" t="s" ph="1">
        <v>4758</v>
      </c>
      <c r="H475" s="13" t="s" ph="1">
        <v>61</v>
      </c>
      <c r="I475" s="13" t="s" ph="1">
        <v>4881</v>
      </c>
      <c r="M475" s="14" t="str" ph="1">
        <f>IFERROR(INDEX([1]!_born[生没年],
MATCH(I475,[1]!_born[作],0)),"")</f>
        <v/>
      </c>
      <c r="N475" s="14" t="str" ph="1">
        <f>IFERROR(INDEX([1]!_born[生没年],
MATCH(K475,[1]!_born[作],0)),"")</f>
        <v/>
      </c>
      <c r="O475" s="13" t="s" ph="1">
        <v>4884</v>
      </c>
      <c r="R475" s="16" ph="1">
        <v>38989</v>
      </c>
      <c r="T475" s="13" t="s" ph="1">
        <v>3926</v>
      </c>
      <c r="U475" s="16" t="s" ph="1">
        <v>2797</v>
      </c>
      <c r="V475" s="17" ph="1">
        <f>1300*1.05</f>
        <v>1365</v>
      </c>
      <c r="W475" s="17" ph="1">
        <v>0</v>
      </c>
      <c r="X475" s="13" t="s" ph="1">
        <v>4885</v>
      </c>
    </row>
    <row r="476" spans="1:25" ht="22.5" customHeight="1" ph="1" x14ac:dyDescent="0.35">
      <c r="A476" s="106" t="s" ph="1">
        <v>3095</v>
      </c>
      <c r="B476" s="5" t="s" ph="1">
        <v>2079</v>
      </c>
      <c r="C476" s="13" t="s" ph="1">
        <v>25</v>
      </c>
      <c r="G476" s="13" t="s" ph="1">
        <v>4758</v>
      </c>
      <c r="H476" s="13" t="s" ph="1">
        <v>61</v>
      </c>
      <c r="I476" s="13" t="s" ph="1">
        <v>4881</v>
      </c>
      <c r="M476" s="14" t="str" ph="1">
        <f>IFERROR(INDEX([1]!_born[生没年],
MATCH(I476,[1]!_born[作],0)),"")</f>
        <v/>
      </c>
      <c r="N476" s="14" t="str" ph="1">
        <f>IFERROR(INDEX([1]!_born[生没年],
MATCH(K476,[1]!_born[作],0)),"")</f>
        <v/>
      </c>
      <c r="O476" s="13" t="s" ph="1">
        <v>4886</v>
      </c>
      <c r="R476" s="16" ph="1">
        <v>42482</v>
      </c>
      <c r="S476" s="13" t="s" ph="1">
        <v>4887</v>
      </c>
      <c r="T476" s="13" t="s" ph="1">
        <v>3926</v>
      </c>
      <c r="U476" s="16" t="s" ph="1">
        <v>3093</v>
      </c>
      <c r="V476" s="17" ph="1">
        <f>1500*1.08</f>
        <v>1620</v>
      </c>
      <c r="W476" s="17" t="s" ph="1">
        <v>1225</v>
      </c>
    </row>
    <row r="477" spans="1:25" ht="22.5" customHeight="1" ph="1" x14ac:dyDescent="0.35">
      <c r="A477" s="106" t="s" ph="1">
        <v>3096</v>
      </c>
      <c r="B477" s="5" t="s" ph="1">
        <v>2079</v>
      </c>
      <c r="C477" s="13" t="s" ph="1">
        <v>25</v>
      </c>
      <c r="G477" s="13" t="s" ph="1">
        <v>4758</v>
      </c>
      <c r="H477" s="13" t="s" ph="1">
        <v>61</v>
      </c>
      <c r="I477" s="13" t="s" ph="1">
        <v>4881</v>
      </c>
      <c r="M477" s="14" t="str" ph="1">
        <f>IFERROR(INDEX([1]!_born[生没年],
MATCH(I477,[1]!_born[作],0)),"")</f>
        <v/>
      </c>
      <c r="N477" s="14" t="str" ph="1">
        <f>IFERROR(INDEX([1]!_born[生没年],
MATCH(K477,[1]!_born[作],0)),"")</f>
        <v/>
      </c>
      <c r="O477" s="13" t="s" ph="1">
        <v>4888</v>
      </c>
      <c r="R477" s="16" ph="1">
        <v>43718</v>
      </c>
      <c r="S477" s="13" t="s" ph="1">
        <v>4889</v>
      </c>
      <c r="T477" s="13" t="s" ph="1">
        <v>4890</v>
      </c>
      <c r="U477" s="16" t="s" ph="1">
        <v>3093</v>
      </c>
      <c r="V477" s="17" ph="1">
        <f>1600*1.08</f>
        <v>1728</v>
      </c>
      <c r="W477" s="17" t="s" ph="1">
        <v>1225</v>
      </c>
      <c r="Y477" s="13" t="s" ph="1">
        <v>4891</v>
      </c>
    </row>
    <row r="478" spans="1:25" ht="22.5" customHeight="1" ph="1" x14ac:dyDescent="0.35">
      <c r="A478" s="106" t="s" ph="1">
        <v>3097</v>
      </c>
      <c r="B478" s="5" t="s" ph="1">
        <v>2079</v>
      </c>
      <c r="C478" s="13" t="s" ph="1">
        <v>25</v>
      </c>
      <c r="G478" s="13" t="s" ph="1">
        <v>4758</v>
      </c>
      <c r="H478" s="13" t="s" ph="1">
        <v>61</v>
      </c>
      <c r="I478" s="13" t="s" ph="1">
        <v>4881</v>
      </c>
      <c r="M478" s="14" t="str" ph="1">
        <f>IFERROR(INDEX([1]!_born[生没年],
MATCH(I478,[1]!_born[作],0)),"")</f>
        <v/>
      </c>
      <c r="N478" s="14" t="str" ph="1">
        <f>IFERROR(INDEX([1]!_born[生没年],
MATCH(K478,[1]!_born[作],0)),"")</f>
        <v/>
      </c>
      <c r="O478" s="13" t="s" ph="1">
        <v>4892</v>
      </c>
      <c r="R478" s="16" ph="1">
        <v>43018</v>
      </c>
      <c r="S478" s="13" t="s" ph="1">
        <v>4893</v>
      </c>
      <c r="T478" s="13" t="s" ph="1">
        <v>4894</v>
      </c>
      <c r="U478" s="16" t="s" ph="1">
        <v>3093</v>
      </c>
      <c r="V478" s="17" ph="1">
        <f>1700*1.08</f>
        <v>1836.0000000000002</v>
      </c>
      <c r="W478" s="17" t="s" ph="1">
        <v>1225</v>
      </c>
    </row>
    <row r="479" spans="1:25" ht="22.5" customHeight="1" ph="1" x14ac:dyDescent="0.35">
      <c r="C479" s="13" t="s" ph="1">
        <v>707</v>
      </c>
      <c r="G479" s="13" t="s" ph="1">
        <v>4758</v>
      </c>
      <c r="H479" s="13" t="s" ph="1">
        <v>716</v>
      </c>
      <c r="I479" s="13" t="s" ph="1">
        <v>4895</v>
      </c>
      <c r="M479" s="14" t="str" ph="1">
        <f>IFERROR(INDEX([1]!_born[生没年],
MATCH(I479,[1]!_born[作],0)),"")</f>
        <v/>
      </c>
      <c r="N479" s="14" t="str" ph="1">
        <f>IFERROR(INDEX([1]!_born[生没年],
MATCH(K479,[1]!_born[作],0)),"")</f>
        <v/>
      </c>
      <c r="O479" s="13" t="s" ph="1">
        <v>4896</v>
      </c>
      <c r="T479" s="13" t="s" ph="1">
        <v>4880</v>
      </c>
    </row>
    <row r="480" spans="1:25" ht="22.5" customHeight="1" ph="1" x14ac:dyDescent="0.35">
      <c r="C480" s="13" t="s" ph="1">
        <v>707</v>
      </c>
      <c r="G480" s="13" t="s" ph="1">
        <v>4897</v>
      </c>
      <c r="H480" s="13" t="s" ph="1">
        <v>716</v>
      </c>
      <c r="I480" s="13" t="s" ph="1">
        <v>4898</v>
      </c>
      <c r="M480" s="14" t="str" ph="1">
        <f>IFERROR(INDEX([1]!_born[生没年],
MATCH(I480,[1]!_born[作],0)),"")</f>
        <v/>
      </c>
      <c r="N480" s="14" t="str" ph="1">
        <f>IFERROR(INDEX([1]!_born[生没年],
MATCH(K480,[1]!_born[作],0)),"")</f>
        <v/>
      </c>
      <c r="O480" s="13" t="s" ph="1">
        <v>527</v>
      </c>
      <c r="T480" s="13" t="s" ph="1">
        <v>4393</v>
      </c>
    </row>
    <row r="481" spans="1:25" ht="22.5" customHeight="1" ph="1" x14ac:dyDescent="0.35">
      <c r="A481" s="106" t="s" ph="1">
        <v>2714</v>
      </c>
      <c r="C481" s="13" t="s" ph="1">
        <v>25</v>
      </c>
      <c r="G481" s="13" t="s" ph="1">
        <v>4758</v>
      </c>
      <c r="H481" s="13" t="s" ph="1">
        <v>61</v>
      </c>
      <c r="I481" s="13" t="s" ph="1">
        <v>4899</v>
      </c>
      <c r="M481" s="14" t="str" ph="1">
        <f>IFERROR(INDEX([1]!_born[生没年],
MATCH(I481,[1]!_born[作],0)),"")</f>
        <v/>
      </c>
      <c r="N481" s="14" t="str" ph="1">
        <f>IFERROR(INDEX([1]!_born[生没年],
MATCH(K481,[1]!_born[作],0)),"")</f>
        <v/>
      </c>
      <c r="O481" s="13" t="s" ph="1">
        <v>4900</v>
      </c>
      <c r="R481" s="16" t="s" ph="1">
        <v>2726</v>
      </c>
      <c r="S481" s="13" t="s" ph="1">
        <v>4901</v>
      </c>
      <c r="T481" s="13" t="s" ph="1">
        <v>4902</v>
      </c>
      <c r="U481" s="16" t="s" ph="1">
        <v>50</v>
      </c>
      <c r="V481" s="17" t="s" ph="1">
        <v>2728</v>
      </c>
      <c r="W481" s="17" ph="1">
        <v>0</v>
      </c>
      <c r="X481" s="13" t="s" ph="1">
        <v>4724</v>
      </c>
      <c r="Y481" s="13" t="s" ph="1">
        <v>4903</v>
      </c>
    </row>
    <row r="482" spans="1:25" ht="22.5" customHeight="1" ph="1" x14ac:dyDescent="0.35">
      <c r="C482" s="13" t="s" ph="1">
        <v>25</v>
      </c>
      <c r="G482" s="13" t="s" ph="1">
        <v>4758</v>
      </c>
      <c r="H482" s="13" t="s" ph="1">
        <v>61</v>
      </c>
      <c r="I482" s="13" t="s" ph="1">
        <v>4904</v>
      </c>
      <c r="M482" s="14" t="str" ph="1">
        <f>IFERROR(INDEX([1]!_born[生没年],
MATCH(I482,[1]!_born[作],0)),"")</f>
        <v/>
      </c>
      <c r="N482" s="14" t="str" ph="1">
        <f>IFERROR(INDEX([1]!_born[生没年],
MATCH(K482,[1]!_born[作],0)),"")</f>
        <v/>
      </c>
      <c r="O482" s="13" t="s" ph="1">
        <v>4905</v>
      </c>
      <c r="T482" s="13" t="s" ph="1">
        <v>4906</v>
      </c>
      <c r="W482" s="17" ph="1">
        <v>0</v>
      </c>
      <c r="X482" s="5" t="s" ph="1">
        <v>4814</v>
      </c>
      <c r="Y482" s="5" ph="1"/>
    </row>
    <row r="483" spans="1:25" ht="22.5" customHeight="1" ph="1" x14ac:dyDescent="0.35">
      <c r="A483" s="106" t="s" ph="1">
        <v>10057</v>
      </c>
      <c r="C483" s="13" t="s" ph="1">
        <v>707</v>
      </c>
      <c r="G483" s="13" t="s" ph="1">
        <v>4758</v>
      </c>
      <c r="H483" s="13" t="s" ph="1">
        <v>716</v>
      </c>
      <c r="I483" s="13" t="s" ph="1">
        <v>10166</v>
      </c>
      <c r="K483" s="13" t="s" ph="1">
        <v>3616</v>
      </c>
      <c r="M483" s="14" t="str" ph="1">
        <f>IFERROR(INDEX([1]!_born[生没年],
MATCH(I483,[1]!_born[作],0)),"")</f>
        <v/>
      </c>
      <c r="N483" s="14" t="str" ph="1">
        <f>IFERROR(INDEX([1]!_born[生没年],
MATCH(K483,[1]!_born[作],0)),"")</f>
        <v/>
      </c>
      <c r="O483" s="13" t="s" ph="1">
        <v>10167</v>
      </c>
      <c r="R483" s="16" ph="1">
        <v>29798</v>
      </c>
      <c r="U483" s="16" t="s" ph="1">
        <v>10059</v>
      </c>
      <c r="V483" s="17" ph="1">
        <v>2000</v>
      </c>
      <c r="W483" s="17" t="s" ph="1">
        <v>1225</v>
      </c>
      <c r="X483" s="5" t="s" ph="1">
        <v>10168</v>
      </c>
      <c r="Y483" s="5" ph="1"/>
    </row>
    <row r="484" spans="1:25" ht="22.5" customHeight="1" ph="1" x14ac:dyDescent="0.35">
      <c r="C484" s="13" t="s" ph="1">
        <v>707</v>
      </c>
      <c r="G484" s="13" t="s" ph="1">
        <v>4907</v>
      </c>
      <c r="H484" s="13" t="s" ph="1">
        <v>2086</v>
      </c>
      <c r="I484" s="15" t="s" ph="1">
        <v>4908</v>
      </c>
      <c r="K484" s="13" t="s" ph="1">
        <v>4909</v>
      </c>
      <c r="L484" s="13" t="s" ph="1">
        <v>3628</v>
      </c>
      <c r="M484" s="14" t="str" ph="1">
        <f>IFERROR(INDEX([1]!_born[生没年],
MATCH(I484,[1]!_born[作],0)),"")</f>
        <v/>
      </c>
      <c r="N484" s="14" t="str" ph="1">
        <f>IFERROR(INDEX([1]!_born[生没年],
MATCH(K484,[1]!_born[作],0)),"")</f>
        <v/>
      </c>
      <c r="O484" s="13" t="s" ph="1">
        <v>4910</v>
      </c>
      <c r="T484" s="13" t="s" ph="1">
        <v>3739</v>
      </c>
    </row>
    <row r="485" spans="1:25" ht="22.5" customHeight="1" ph="1" x14ac:dyDescent="0.35">
      <c r="C485" s="13" t="s" ph="1">
        <v>707</v>
      </c>
      <c r="G485" s="13" t="s" ph="1">
        <v>4911</v>
      </c>
      <c r="H485" s="13" t="s" ph="1">
        <v>716</v>
      </c>
      <c r="I485" s="15" t="s" ph="1">
        <v>4912</v>
      </c>
      <c r="M485" s="14" t="str" ph="1">
        <f>IFERROR(INDEX([1]!_born[生没年],
MATCH(I485,[1]!_born[作],0)),"")</f>
        <v/>
      </c>
      <c r="N485" s="14" t="str" ph="1">
        <f>IFERROR(INDEX([1]!_born[生没年],
MATCH(K485,[1]!_born[作],0)),"")</f>
        <v/>
      </c>
      <c r="O485" s="13" t="s" ph="1">
        <v>4913</v>
      </c>
      <c r="T485" s="13" t="s" ph="1">
        <v>3958</v>
      </c>
    </row>
    <row r="486" spans="1:25" ht="22.5" customHeight="1" ph="1" x14ac:dyDescent="0.35">
      <c r="C486" s="13" t="s" ph="1">
        <v>707</v>
      </c>
      <c r="G486" s="13" t="s" ph="1">
        <v>4758</v>
      </c>
      <c r="H486" s="13" t="s" ph="1">
        <v>716</v>
      </c>
      <c r="I486" s="13" t="s" ph="1">
        <v>4914</v>
      </c>
      <c r="M486" s="14" t="str" ph="1">
        <f>IFERROR(INDEX([1]!_born[生没年],
MATCH(I486,[1]!_born[作],0)),"")</f>
        <v/>
      </c>
      <c r="N486" s="14" t="str" ph="1">
        <f>IFERROR(INDEX([1]!_born[生没年],
MATCH(K486,[1]!_born[作],0)),"")</f>
        <v/>
      </c>
      <c r="O486" s="13" t="s" ph="1">
        <v>4915</v>
      </c>
      <c r="T486" s="13" t="s" ph="1">
        <v>3780</v>
      </c>
      <c r="V486" s="17" ph="1">
        <v>900</v>
      </c>
    </row>
    <row r="487" spans="1:25" ht="22.5" customHeight="1" ph="1" x14ac:dyDescent="0.35">
      <c r="C487" s="13" t="s" ph="1">
        <v>707</v>
      </c>
      <c r="G487" s="13" t="s" ph="1">
        <v>3599</v>
      </c>
      <c r="H487" s="13" t="s" ph="1">
        <v>716</v>
      </c>
      <c r="I487" s="13" t="s" ph="1">
        <v>4916</v>
      </c>
      <c r="M487" s="14" t="str" ph="1">
        <f>IFERROR(INDEX([1]!_born[生没年],
MATCH(I487,[1]!_born[作],0)),"")</f>
        <v/>
      </c>
      <c r="N487" s="14" t="str" ph="1">
        <f>IFERROR(INDEX([1]!_born[生没年],
MATCH(K487,[1]!_born[作],0)),"")</f>
        <v/>
      </c>
      <c r="O487" s="13" t="s" ph="1">
        <v>4917</v>
      </c>
      <c r="T487" s="13" t="s" ph="1">
        <v>3780</v>
      </c>
      <c r="V487" s="17" ph="1">
        <v>1100</v>
      </c>
    </row>
    <row r="488" spans="1:25" ht="22.5" customHeight="1" ph="1" x14ac:dyDescent="0.35">
      <c r="C488" s="13" t="s" ph="1">
        <v>707</v>
      </c>
      <c r="G488" s="13" t="s" ph="1">
        <v>4758</v>
      </c>
      <c r="H488" s="13" t="s" ph="1">
        <v>4918</v>
      </c>
      <c r="I488" s="13" t="s" ph="1">
        <v>4919</v>
      </c>
      <c r="M488" s="14" t="str" ph="1">
        <f>IFERROR(INDEX([1]!_born[生没年],
MATCH(I488,[1]!_born[作],0)),"")</f>
        <v/>
      </c>
      <c r="N488" s="14" t="str" ph="1">
        <f>IFERROR(INDEX([1]!_born[生没年],
MATCH(K488,[1]!_born[作],0)),"")</f>
        <v/>
      </c>
      <c r="O488" s="13" t="s" ph="1">
        <v>4920</v>
      </c>
      <c r="T488" s="13" t="s" ph="1">
        <v>3958</v>
      </c>
      <c r="V488" s="17" ph="1">
        <v>880</v>
      </c>
    </row>
    <row r="489" spans="1:25" s="19" customFormat="1" ht="22.5" customHeight="1" ph="1" x14ac:dyDescent="0.35">
      <c r="A489" s="107" ph="1"/>
      <c r="B489" s="18" ph="1"/>
      <c r="C489" s="19" t="s" ph="1">
        <v>25</v>
      </c>
      <c r="D489" s="124" ph="1"/>
      <c r="E489" s="124" ph="1"/>
      <c r="G489" s="19" t="s" ph="1">
        <v>1039</v>
      </c>
      <c r="H489" s="19" t="s" ph="1">
        <v>61</v>
      </c>
      <c r="I489" s="19" t="s" ph="1">
        <v>4921</v>
      </c>
      <c r="K489" s="19" t="s" ph="1">
        <v>4922</v>
      </c>
      <c r="L489" s="19" t="s" ph="1">
        <v>4535</v>
      </c>
      <c r="M489" s="14" t="str" ph="1">
        <f>IFERROR(INDEX([1]!_born[生没年],
MATCH(I489,[1]!_born[作],0)),"")</f>
        <v/>
      </c>
      <c r="N489" s="27" t="str" ph="1">
        <f>IFERROR(INDEX([1]!_born[生没年],
MATCH(K489,[1]!_born[作],0)),"")</f>
        <v/>
      </c>
      <c r="O489" s="19" t="s" ph="1">
        <v>4923</v>
      </c>
      <c r="R489" s="20" t="s" ph="1">
        <v>10045</v>
      </c>
      <c r="S489" s="19" t="s" ph="1">
        <v>4924</v>
      </c>
      <c r="T489" s="19" t="s" ph="1">
        <v>4925</v>
      </c>
      <c r="U489" s="20" ph="1">
        <v>37403</v>
      </c>
      <c r="V489" s="21" ph="1">
        <v>850</v>
      </c>
      <c r="W489" s="21" ph="1">
        <v>50</v>
      </c>
      <c r="X489" s="19" t="s" ph="1">
        <v>4926</v>
      </c>
      <c r="Y489" s="19" t="s" ph="1">
        <v>4927</v>
      </c>
    </row>
    <row r="490" spans="1:25" ht="22.5" customHeight="1" ph="1" x14ac:dyDescent="0.35">
      <c r="C490" s="13" t="s" ph="1">
        <v>707</v>
      </c>
      <c r="G490" s="13" t="s" ph="1">
        <v>4758</v>
      </c>
      <c r="H490" s="13" t="s" ph="1">
        <v>716</v>
      </c>
      <c r="I490" s="13" t="s" ph="1">
        <v>4928</v>
      </c>
      <c r="M490" s="14" t="str" ph="1">
        <f>IFERROR(INDEX([1]!_born[生没年],
MATCH(I490,[1]!_born[作],0)),"")</f>
        <v/>
      </c>
      <c r="N490" s="14" t="str" ph="1">
        <f>IFERROR(INDEX([1]!_born[生没年],
MATCH(K490,[1]!_born[作],0)),"")</f>
        <v/>
      </c>
      <c r="O490" s="13" t="s" ph="1">
        <v>4929</v>
      </c>
      <c r="T490" s="13" t="s" ph="1">
        <v>4930</v>
      </c>
      <c r="U490" s="16" t="s" ph="1">
        <v>706</v>
      </c>
      <c r="W490" s="17" ph="1">
        <v>250</v>
      </c>
    </row>
    <row r="491" spans="1:25" ht="22.5" customHeight="1" ph="1" x14ac:dyDescent="0.35">
      <c r="C491" s="13" t="s" ph="1">
        <v>707</v>
      </c>
      <c r="E491" s="123" ph="1">
        <v>2</v>
      </c>
      <c r="G491" s="13" t="s" ph="1">
        <v>4758</v>
      </c>
      <c r="H491" s="13" t="s" ph="1">
        <v>716</v>
      </c>
      <c r="I491" s="13" t="s" ph="1">
        <v>4931</v>
      </c>
      <c r="M491" s="14" t="str" ph="1">
        <f>IFERROR(INDEX([1]!_born[生没年],
MATCH(I491,[1]!_born[作],0)),"")</f>
        <v/>
      </c>
      <c r="N491" s="14" t="str" ph="1">
        <f>IFERROR(INDEX([1]!_born[生没年],
MATCH(K491,[1]!_born[作],0)),"")</f>
        <v/>
      </c>
      <c r="O491" s="13" t="s" ph="1">
        <v>4932</v>
      </c>
      <c r="R491" s="16" t="s" ph="1">
        <v>2726</v>
      </c>
      <c r="T491" s="13" t="s" ph="1">
        <v>3780</v>
      </c>
      <c r="V491" s="17" ph="1">
        <f>700*2</f>
        <v>1400</v>
      </c>
      <c r="Y491" s="13" t="s" ph="1">
        <v>4933</v>
      </c>
    </row>
    <row r="492" spans="1:25" ht="22.5" customHeight="1" ph="1" x14ac:dyDescent="0.35">
      <c r="C492" s="13" t="s" ph="1">
        <v>707</v>
      </c>
      <c r="G492" s="13" t="s" ph="1">
        <v>3599</v>
      </c>
      <c r="H492" s="13" t="s" ph="1">
        <v>716</v>
      </c>
      <c r="I492" s="13" t="s" ph="1">
        <v>4931</v>
      </c>
      <c r="M492" s="14" t="str" ph="1">
        <f>IFERROR(INDEX([1]!_born[生没年],
MATCH(I492,[1]!_born[作],0)),"")</f>
        <v/>
      </c>
      <c r="N492" s="14" t="str" ph="1">
        <f>IFERROR(INDEX([1]!_born[生没年],
MATCH(K492,[1]!_born[作],0)),"")</f>
        <v/>
      </c>
      <c r="O492" s="13" t="s" ph="1">
        <v>4934</v>
      </c>
      <c r="T492" s="13" t="s" ph="1">
        <v>4827</v>
      </c>
    </row>
    <row r="493" spans="1:25" ht="22.5" customHeight="1" ph="1" x14ac:dyDescent="0.35">
      <c r="C493" s="13" t="s" ph="1">
        <v>707</v>
      </c>
      <c r="G493" s="13" t="s" ph="1">
        <v>3599</v>
      </c>
      <c r="H493" s="13" t="s" ph="1">
        <v>716</v>
      </c>
      <c r="I493" s="13" t="s" ph="1">
        <v>4931</v>
      </c>
      <c r="M493" s="14" t="str" ph="1">
        <f>IFERROR(INDEX([1]!_born[生没年],
MATCH(I493,[1]!_born[作],0)),"")</f>
        <v/>
      </c>
      <c r="N493" s="14" t="str" ph="1">
        <f>IFERROR(INDEX([1]!_born[生没年],
MATCH(K493,[1]!_born[作],0)),"")</f>
        <v/>
      </c>
      <c r="O493" s="13" t="s" ph="1">
        <v>4935</v>
      </c>
      <c r="R493" s="16" t="s" ph="1">
        <v>2836</v>
      </c>
      <c r="T493" s="13" t="s" ph="1">
        <v>4936</v>
      </c>
      <c r="U493" s="16" ph="1">
        <v>37094</v>
      </c>
      <c r="V493" s="17" ph="1">
        <v>1700</v>
      </c>
      <c r="W493" s="17" ph="1">
        <v>2000</v>
      </c>
      <c r="X493" s="13" t="s" ph="1">
        <v>4937</v>
      </c>
    </row>
    <row r="494" spans="1:25" ht="22.5" customHeight="1" ph="1" x14ac:dyDescent="0.35">
      <c r="C494" s="13" t="s" ph="1">
        <v>707</v>
      </c>
      <c r="G494" s="13" t="s" ph="1">
        <v>4758</v>
      </c>
      <c r="H494" s="13" t="s" ph="1">
        <v>716</v>
      </c>
      <c r="I494" s="13" t="s" ph="1">
        <v>4938</v>
      </c>
      <c r="M494" s="14" t="str" ph="1">
        <f>IFERROR(INDEX([1]!_born[生没年],
MATCH(I494,[1]!_born[作],0)),"")</f>
        <v/>
      </c>
      <c r="N494" s="14" t="str" ph="1">
        <f>IFERROR(INDEX([1]!_born[生没年],
MATCH(K494,[1]!_born[作],0)),"")</f>
        <v/>
      </c>
      <c r="O494" s="13" t="s" ph="1">
        <v>4939</v>
      </c>
      <c r="T494" s="13" t="s" ph="1">
        <v>4880</v>
      </c>
    </row>
    <row r="495" spans="1:25" ht="22.5" customHeight="1" ph="1" x14ac:dyDescent="0.35">
      <c r="C495" s="13" t="s" ph="1">
        <v>707</v>
      </c>
      <c r="G495" s="13" t="s" ph="1">
        <v>4758</v>
      </c>
      <c r="H495" s="13" t="s" ph="1">
        <v>716</v>
      </c>
      <c r="I495" s="13" t="s" ph="1">
        <v>4940</v>
      </c>
      <c r="M495" s="14" t="str" ph="1">
        <f>IFERROR(INDEX([1]!_born[生没年],
MATCH(I495,[1]!_born[作],0)),"")</f>
        <v/>
      </c>
      <c r="N495" s="14" t="str" ph="1">
        <f>IFERROR(INDEX([1]!_born[生没年],
MATCH(K495,[1]!_born[作],0)),"")</f>
        <v/>
      </c>
      <c r="O495" s="13" t="s" ph="1">
        <v>4941</v>
      </c>
      <c r="T495" s="13" t="s" ph="1">
        <v>3958</v>
      </c>
      <c r="W495" s="17" t="s">
        <v>734</v>
      </c>
      <c r="X495" s="5" t="s" ph="1">
        <v>4814</v>
      </c>
      <c r="Y495" s="5" ph="1"/>
    </row>
    <row r="496" spans="1:25" ht="22.5" customHeight="1" ph="1" x14ac:dyDescent="0.35">
      <c r="C496" s="13" t="s" ph="1">
        <v>707</v>
      </c>
      <c r="G496" s="13" t="s" ph="1">
        <v>3599</v>
      </c>
      <c r="H496" s="13" t="s" ph="1">
        <v>716</v>
      </c>
      <c r="I496" s="13" t="s" ph="1">
        <v>4942</v>
      </c>
      <c r="M496" s="14" t="str" ph="1">
        <f>IFERROR(INDEX([1]!_born[生没年],
MATCH(I496,[1]!_born[作],0)),"")</f>
        <v/>
      </c>
      <c r="N496" s="14" t="str" ph="1">
        <f>IFERROR(INDEX([1]!_born[生没年],
MATCH(K496,[1]!_born[作],0)),"")</f>
        <v/>
      </c>
      <c r="O496" s="13" t="s" ph="1">
        <v>4943</v>
      </c>
      <c r="T496" s="13" t="s" ph="1">
        <v>4944</v>
      </c>
      <c r="V496" s="17" ph="1">
        <v>1000</v>
      </c>
    </row>
    <row r="497" spans="1:25" ht="22.5" customHeight="1" ph="1" x14ac:dyDescent="0.35">
      <c r="C497" s="13" t="s" ph="1">
        <v>707</v>
      </c>
      <c r="G497" s="13" t="s" ph="1">
        <v>4758</v>
      </c>
      <c r="H497" s="13" t="s" ph="1">
        <v>716</v>
      </c>
      <c r="I497" s="13" t="s" ph="1">
        <v>4945</v>
      </c>
      <c r="M497" s="14" t="str" ph="1">
        <f>IFERROR(INDEX([1]!_born[生没年],
MATCH(I497,[1]!_born[作],0)),"")</f>
        <v/>
      </c>
      <c r="N497" s="14" t="str" ph="1">
        <f>IFERROR(INDEX([1]!_born[生没年],
MATCH(K497,[1]!_born[作],0)),"")</f>
        <v/>
      </c>
      <c r="O497" s="13" t="s" ph="1">
        <v>4946</v>
      </c>
      <c r="T497" s="13" t="s" ph="1">
        <v>3926</v>
      </c>
    </row>
    <row r="498" spans="1:25" ht="22.5" customHeight="1" ph="1" x14ac:dyDescent="0.35">
      <c r="C498" s="13" t="s" ph="1">
        <v>707</v>
      </c>
      <c r="G498" s="13" t="s" ph="1">
        <v>3599</v>
      </c>
      <c r="H498" s="13" t="s" ph="1">
        <v>716</v>
      </c>
      <c r="I498" s="13" t="s" ph="1">
        <v>4947</v>
      </c>
      <c r="M498" s="14" t="str" ph="1">
        <f>IFERROR(INDEX([1]!_born[生没年],
MATCH(I498,[1]!_born[作],0)),"")</f>
        <v/>
      </c>
      <c r="N498" s="14" t="str" ph="1">
        <f>IFERROR(INDEX([1]!_born[生没年],
MATCH(K498,[1]!_born[作],0)),"")</f>
        <v/>
      </c>
      <c r="O498" s="13" t="s" ph="1">
        <v>4948</v>
      </c>
      <c r="R498" s="16" t="s" ph="1">
        <v>10058</v>
      </c>
      <c r="T498" s="13" t="s" ph="1">
        <v>3780</v>
      </c>
      <c r="U498" s="16" ph="1">
        <v>37094</v>
      </c>
      <c r="V498" s="17" ph="1">
        <v>1300</v>
      </c>
      <c r="W498" s="17" ph="1">
        <v>500</v>
      </c>
      <c r="X498" s="13" t="s" ph="1">
        <v>4937</v>
      </c>
      <c r="Y498" s="13" t="s" ph="1">
        <v>4949</v>
      </c>
    </row>
    <row r="499" spans="1:25" ht="22.5" customHeight="1" ph="1" x14ac:dyDescent="0.35">
      <c r="C499" s="13" t="s" ph="1">
        <v>707</v>
      </c>
      <c r="G499" s="13" t="s" ph="1">
        <v>4758</v>
      </c>
      <c r="H499" s="13" t="s" ph="1">
        <v>716</v>
      </c>
      <c r="I499" s="13" t="s" ph="1">
        <v>4947</v>
      </c>
      <c r="M499" s="14" t="str" ph="1">
        <f>IFERROR(INDEX([1]!_born[生没年],
MATCH(I499,[1]!_born[作],0)),"")</f>
        <v/>
      </c>
      <c r="N499" s="14" t="str" ph="1">
        <f>IFERROR(INDEX([1]!_born[生没年],
MATCH(K499,[1]!_born[作],0)),"")</f>
        <v/>
      </c>
      <c r="O499" s="13" t="s" ph="1">
        <v>4950</v>
      </c>
      <c r="R499" s="16" t="s" ph="1">
        <v>2087</v>
      </c>
      <c r="T499" s="13" t="s" ph="1">
        <v>4297</v>
      </c>
      <c r="U499" s="16" ph="1">
        <v>37320</v>
      </c>
      <c r="V499" s="17" ph="1">
        <f>1500*1.05</f>
        <v>1575</v>
      </c>
      <c r="W499" s="17" ph="1">
        <v>0</v>
      </c>
      <c r="X499" s="13" t="s" ph="1">
        <v>4951</v>
      </c>
      <c r="Y499" s="13" t="s" ph="1">
        <v>4952</v>
      </c>
    </row>
    <row r="500" spans="1:25" s="19" customFormat="1" ht="22.5" customHeight="1" ph="1" x14ac:dyDescent="0.35">
      <c r="A500" s="107" ph="1"/>
      <c r="B500" s="18" ph="1"/>
      <c r="C500" s="19" t="s" ph="1">
        <v>707</v>
      </c>
      <c r="D500" s="124" ph="1"/>
      <c r="E500" s="124" ph="1"/>
      <c r="G500" s="19" t="s" ph="1">
        <v>4831</v>
      </c>
      <c r="H500" s="19" t="s" ph="1">
        <v>716</v>
      </c>
      <c r="I500" s="19" t="s" ph="1">
        <v>4953</v>
      </c>
      <c r="M500" s="14" t="str" ph="1">
        <f>IFERROR(INDEX([1]!_born[生没年],
MATCH(I500,[1]!_born[作],0)),"")</f>
        <v/>
      </c>
      <c r="N500" s="27" t="str" ph="1">
        <f>IFERROR(INDEX([1]!_born[生没年],
MATCH(K500,[1]!_born[作],0)),"")</f>
        <v/>
      </c>
      <c r="O500" s="19" t="s" ph="1">
        <v>4954</v>
      </c>
      <c r="R500" s="20" t="s" ph="1">
        <v>2088</v>
      </c>
      <c r="T500" s="19" t="s" ph="1">
        <v>4955</v>
      </c>
      <c r="U500" s="20" ph="1">
        <v>36764</v>
      </c>
      <c r="V500" s="21" ph="1">
        <f>1400*1.05</f>
        <v>1470</v>
      </c>
      <c r="W500" s="21" ph="1">
        <f>1400*1.05</f>
        <v>1470</v>
      </c>
    </row>
    <row r="501" spans="1:25" ht="22.5" customHeight="1" ph="1" x14ac:dyDescent="0.35">
      <c r="C501" s="13" t="s" ph="1">
        <v>707</v>
      </c>
      <c r="E501" s="123" ph="1">
        <v>2</v>
      </c>
      <c r="G501" s="13" t="s" ph="1">
        <v>4758</v>
      </c>
      <c r="H501" s="13" t="s" ph="1">
        <v>716</v>
      </c>
      <c r="I501" s="13" t="s" ph="1">
        <v>4956</v>
      </c>
      <c r="M501" s="14" t="str" ph="1">
        <f>IFERROR(INDEX([1]!_born[生没年],
MATCH(I501,[1]!_born[作],0)),"")</f>
        <v/>
      </c>
      <c r="N501" s="14" t="str" ph="1">
        <f>IFERROR(INDEX([1]!_born[生没年],
MATCH(K501,[1]!_born[作],0)),"")</f>
        <v/>
      </c>
      <c r="O501" s="13" t="s" ph="1">
        <v>4957</v>
      </c>
      <c r="S501" s="13" t="s" ph="1">
        <v>4958</v>
      </c>
      <c r="T501" s="13" t="s" ph="1">
        <v>3780</v>
      </c>
    </row>
    <row r="502" spans="1:25" ht="22.5" customHeight="1" ph="1" x14ac:dyDescent="0.35">
      <c r="C502" s="13" t="s" ph="1">
        <v>707</v>
      </c>
      <c r="G502" s="13" t="s" ph="1">
        <v>3599</v>
      </c>
      <c r="H502" s="13" t="s" ph="1">
        <v>716</v>
      </c>
      <c r="I502" s="13" t="s" ph="1">
        <v>4959</v>
      </c>
      <c r="M502" s="14" t="str" ph="1">
        <f>IFERROR(INDEX([1]!_born[生没年],
MATCH(I502,[1]!_born[作],0)),"")</f>
        <v/>
      </c>
      <c r="N502" s="14" t="str" ph="1">
        <f>IFERROR(INDEX([1]!_born[生没年],
MATCH(K502,[1]!_born[作],0)),"")</f>
        <v/>
      </c>
      <c r="O502" s="13" t="s" ph="1">
        <v>4960</v>
      </c>
      <c r="T502" s="13" t="s" ph="1">
        <v>4961</v>
      </c>
      <c r="V502" s="17" ph="1">
        <v>1300</v>
      </c>
      <c r="W502" s="17"/>
      <c r="X502" s="5" t="s" ph="1">
        <v>4962</v>
      </c>
      <c r="Y502" s="5" ph="1"/>
    </row>
    <row r="503" spans="1:25" ht="22.5" customHeight="1" ph="1" x14ac:dyDescent="0.35">
      <c r="C503" s="13" t="s" ph="1">
        <v>707</v>
      </c>
      <c r="G503" s="13" t="s" ph="1">
        <v>4758</v>
      </c>
      <c r="H503" s="13" t="s" ph="1">
        <v>716</v>
      </c>
      <c r="I503" s="13" t="s" ph="1">
        <v>4963</v>
      </c>
      <c r="M503" s="14" t="str" ph="1">
        <f>IFERROR(INDEX([1]!_born[生没年],
MATCH(I503,[1]!_born[作],0)),"")</f>
        <v/>
      </c>
      <c r="N503" s="14" t="str" ph="1">
        <f>IFERROR(INDEX([1]!_born[生没年],
MATCH(K503,[1]!_born[作],0)),"")</f>
        <v/>
      </c>
      <c r="O503" s="13" t="s" ph="1">
        <v>4964</v>
      </c>
      <c r="T503" s="13" t="s" ph="1">
        <v>3780</v>
      </c>
    </row>
    <row r="504" spans="1:25" ht="22.5" customHeight="1" ph="1" x14ac:dyDescent="0.35">
      <c r="C504" s="13" t="s" ph="1">
        <v>707</v>
      </c>
      <c r="G504" s="13" t="s" ph="1">
        <v>4758</v>
      </c>
      <c r="H504" s="13" t="s" ph="1">
        <v>716</v>
      </c>
      <c r="I504" s="13" t="s" ph="1">
        <v>4965</v>
      </c>
      <c r="M504" s="14" t="str" ph="1">
        <f>IFERROR(INDEX([1]!_born[生没年],
MATCH(I504,[1]!_born[作],0)),"")</f>
        <v/>
      </c>
      <c r="N504" s="14" t="str" ph="1">
        <f>IFERROR(INDEX([1]!_born[生没年],
MATCH(K504,[1]!_born[作],0)),"")</f>
        <v/>
      </c>
      <c r="O504" s="13" t="s" ph="1">
        <v>4966</v>
      </c>
      <c r="R504" s="16" t="s" ph="1">
        <v>2089</v>
      </c>
      <c r="T504" s="13" t="s" ph="1">
        <v>2090</v>
      </c>
      <c r="U504" s="16" ph="1">
        <v>37691</v>
      </c>
      <c r="V504" s="17" ph="1">
        <f>1600*1.05</f>
        <v>1680</v>
      </c>
    </row>
    <row r="505" spans="1:25" ht="22.5" customHeight="1" ph="1" x14ac:dyDescent="0.35">
      <c r="A505" s="106" t="s" ph="1">
        <v>2838</v>
      </c>
      <c r="B505" s="5" t="s" ph="1">
        <v>2839</v>
      </c>
      <c r="C505" s="13" t="s" ph="1">
        <v>25</v>
      </c>
      <c r="G505" s="13" t="s" ph="1">
        <v>4758</v>
      </c>
      <c r="H505" s="13" t="s" ph="1">
        <v>61</v>
      </c>
      <c r="I505" s="13" t="s" ph="1">
        <v>4967</v>
      </c>
      <c r="M505" s="14" t="str" ph="1">
        <f>IFERROR(INDEX([1]!_born[生没年],
MATCH(I505,[1]!_born[作],0)),"")</f>
        <v/>
      </c>
      <c r="N505" s="14" t="str" ph="1">
        <f>IFERROR(INDEX([1]!_born[生没年],
MATCH(K505,[1]!_born[作],0)),"")</f>
        <v/>
      </c>
      <c r="O505" s="13" t="s" ph="1">
        <v>4968</v>
      </c>
      <c r="R505" s="16" ph="1">
        <v>36991</v>
      </c>
      <c r="S505" s="13" t="s" ph="1">
        <v>4969</v>
      </c>
      <c r="T505" s="13" t="s" ph="1">
        <v>4890</v>
      </c>
      <c r="U505" s="16" t="s" ph="1">
        <v>2835</v>
      </c>
      <c r="V505" s="17" t="s" ph="1">
        <v>2840</v>
      </c>
      <c r="W505" s="17" ph="1">
        <v>0</v>
      </c>
      <c r="X505" s="13" t="s" ph="1">
        <v>4970</v>
      </c>
    </row>
    <row r="506" spans="1:25" ht="22.5" customHeight="1" ph="1" x14ac:dyDescent="0.35">
      <c r="A506" s="106" t="s" ph="1">
        <v>3092</v>
      </c>
      <c r="B506" s="5" t="s" ph="1">
        <v>2079</v>
      </c>
      <c r="C506" s="13" t="s" ph="1">
        <v>25</v>
      </c>
      <c r="G506" s="13" t="s" ph="1">
        <v>4758</v>
      </c>
      <c r="H506" s="13" t="s" ph="1">
        <v>61</v>
      </c>
      <c r="I506" s="13" t="s" ph="1">
        <v>4971</v>
      </c>
      <c r="M506" s="14" t="str" ph="1">
        <f>IFERROR(INDEX([1]!_born[生没年],
MATCH(I506,[1]!_born[作],0)),"")</f>
        <v/>
      </c>
      <c r="N506" s="14" t="str" ph="1">
        <f>IFERROR(INDEX([1]!_born[生没年],
MATCH(K506,[1]!_born[作],0)),"")</f>
        <v/>
      </c>
      <c r="O506" s="13" t="s" ph="1">
        <v>4972</v>
      </c>
      <c r="R506" s="16" ph="1">
        <v>36574</v>
      </c>
      <c r="S506" s="13" t="s" ph="1">
        <v>4973</v>
      </c>
      <c r="T506" s="13" t="s" ph="1">
        <v>4974</v>
      </c>
      <c r="U506" s="16" t="s" ph="1">
        <v>3093</v>
      </c>
      <c r="V506" s="17" ph="1">
        <f>1200*1.08</f>
        <v>1296</v>
      </c>
      <c r="W506" s="17" ph="1">
        <v>0</v>
      </c>
      <c r="X506" s="13" t="s" ph="1">
        <v>4975</v>
      </c>
    </row>
    <row r="507" spans="1:25" ht="22.5" customHeight="1" ph="1" x14ac:dyDescent="0.35">
      <c r="A507" s="106" t="s" ph="1">
        <v>3231</v>
      </c>
      <c r="B507" s="5" t="s" ph="1">
        <v>571</v>
      </c>
      <c r="C507" s="13" t="s" ph="1">
        <v>25</v>
      </c>
      <c r="G507" s="13" t="s" ph="1">
        <v>4758</v>
      </c>
      <c r="H507" s="13" t="s" ph="1">
        <v>61</v>
      </c>
      <c r="I507" s="13" t="s" ph="1">
        <v>4971</v>
      </c>
      <c r="M507" s="14" t="str" ph="1">
        <f>IFERROR(INDEX([1]!_born[生没年],
MATCH(I507,[1]!_born[作],0)),"")</f>
        <v/>
      </c>
      <c r="N507" s="14" t="str" ph="1">
        <f>IFERROR(INDEX([1]!_born[生没年],
MATCH(K507,[1]!_born[作],0)),"")</f>
        <v/>
      </c>
      <c r="O507" s="13" t="s" ph="1">
        <v>4976</v>
      </c>
      <c r="R507" s="16" t="s" ph="1">
        <v>4977</v>
      </c>
      <c r="T507" s="13" t="s" ph="1">
        <v>4978</v>
      </c>
      <c r="U507" s="16" t="s" ph="1">
        <v>3229</v>
      </c>
      <c r="V507" s="17" ph="1">
        <f>1500*1.1</f>
        <v>1650.0000000000002</v>
      </c>
      <c r="W507" s="17" t="s" ph="1">
        <v>1225</v>
      </c>
      <c r="X507" s="13" t="s" ph="1">
        <v>4979</v>
      </c>
    </row>
    <row r="508" spans="1:25" ht="22.5" customHeight="1" ph="1" x14ac:dyDescent="0.35">
      <c r="A508" s="106" t="s" ph="1">
        <v>2091</v>
      </c>
      <c r="B508" s="5" t="s" ph="1">
        <v>2079</v>
      </c>
      <c r="C508" s="13" t="s" ph="1">
        <v>707</v>
      </c>
      <c r="G508" s="13" t="s" ph="1">
        <v>4758</v>
      </c>
      <c r="H508" s="13" t="s" ph="1">
        <v>716</v>
      </c>
      <c r="I508" s="13" t="s" ph="1">
        <v>4980</v>
      </c>
      <c r="M508" s="14" t="str" ph="1">
        <f>IFERROR(INDEX([1]!_born[生没年],
MATCH(I508,[1]!_born[作],0)),"")</f>
        <v/>
      </c>
      <c r="N508" s="14" t="str" ph="1">
        <f>IFERROR(INDEX([1]!_born[生没年],
MATCH(K508,[1]!_born[作],0)),"")</f>
        <v/>
      </c>
      <c r="O508" s="13" t="s" ph="1">
        <v>4981</v>
      </c>
      <c r="R508" s="16" t="s" ph="1">
        <v>2092</v>
      </c>
      <c r="T508" s="13" t="s" ph="1">
        <v>3926</v>
      </c>
      <c r="U508" s="16" t="s" ph="1">
        <v>2093</v>
      </c>
      <c r="V508" s="17" ph="1">
        <f>1700*1.05</f>
        <v>1785</v>
      </c>
    </row>
    <row r="509" spans="1:25" ht="22.5" customHeight="1" ph="1" x14ac:dyDescent="0.35">
      <c r="C509" s="13" t="s" ph="1">
        <v>707</v>
      </c>
      <c r="G509" s="13" t="s" ph="1">
        <v>3599</v>
      </c>
      <c r="H509" s="13" t="s" ph="1">
        <v>716</v>
      </c>
      <c r="I509" s="13" t="s" ph="1">
        <v>4982</v>
      </c>
      <c r="M509" s="14" t="str" ph="1">
        <f>IFERROR(INDEX([1]!_born[生没年],
MATCH(I509,[1]!_born[作],0)),"")</f>
        <v/>
      </c>
      <c r="N509" s="14" t="str" ph="1">
        <f>IFERROR(INDEX([1]!_born[生没年],
MATCH(K509,[1]!_born[作],0)),"")</f>
        <v/>
      </c>
      <c r="O509" s="13" t="s" ph="1">
        <v>4983</v>
      </c>
      <c r="T509" s="13" t="s" ph="1">
        <v>4984</v>
      </c>
      <c r="V509" s="17" ph="1">
        <v>1250</v>
      </c>
    </row>
    <row r="510" spans="1:25" ht="22.5" customHeight="1" ph="1" x14ac:dyDescent="0.35">
      <c r="C510" s="13" t="s" ph="1">
        <v>707</v>
      </c>
      <c r="G510" s="13" t="s" ph="1">
        <v>3599</v>
      </c>
      <c r="H510" s="13" t="s" ph="1">
        <v>716</v>
      </c>
      <c r="I510" s="13" t="s" ph="1">
        <v>4985</v>
      </c>
      <c r="M510" s="14" t="str" ph="1">
        <f>IFERROR(INDEX([1]!_born[生没年],
MATCH(I510,[1]!_born[作],0)),"")</f>
        <v/>
      </c>
      <c r="N510" s="14" t="str" ph="1">
        <f>IFERROR(INDEX([1]!_born[生没年],
MATCH(K510,[1]!_born[作],0)),"")</f>
        <v/>
      </c>
      <c r="O510" s="13" t="s" ph="1">
        <v>4986</v>
      </c>
      <c r="R510" s="16" t="s" ph="1">
        <v>743</v>
      </c>
      <c r="T510" s="13" t="s" ph="1">
        <v>4985</v>
      </c>
      <c r="V510" s="17" ph="1">
        <v>1250</v>
      </c>
    </row>
    <row r="511" spans="1:25" ht="22.5" customHeight="1" ph="1" x14ac:dyDescent="0.35">
      <c r="C511" s="13" t="s" ph="1">
        <v>707</v>
      </c>
      <c r="G511" s="13" t="s" ph="1">
        <v>4987</v>
      </c>
      <c r="H511" s="13" t="s" ph="1">
        <v>716</v>
      </c>
      <c r="I511" s="13" t="s" ph="1">
        <v>4988</v>
      </c>
      <c r="M511" s="14" t="str" ph="1">
        <f>IFERROR(INDEX([1]!_born[生没年],
MATCH(I511,[1]!_born[作],0)),"")</f>
        <v/>
      </c>
      <c r="N511" s="14" t="str" ph="1">
        <f>IFERROR(INDEX([1]!_born[生没年],
MATCH(K511,[1]!_born[作],0)),"")</f>
        <v/>
      </c>
      <c r="O511" s="13" t="s" ph="1">
        <v>4989</v>
      </c>
      <c r="S511" s="13" t="s" ph="1">
        <v>4990</v>
      </c>
      <c r="T511" s="13" t="s" ph="1">
        <v>3780</v>
      </c>
    </row>
    <row r="512" spans="1:25" ht="22.5" customHeight="1" ph="1" x14ac:dyDescent="0.35">
      <c r="C512" s="13" t="s" ph="1">
        <v>707</v>
      </c>
      <c r="G512" s="13" t="s" ph="1">
        <v>4987</v>
      </c>
      <c r="H512" s="13" t="s" ph="1">
        <v>716</v>
      </c>
      <c r="I512" s="13" t="s" ph="1">
        <v>4988</v>
      </c>
      <c r="M512" s="14" t="str" ph="1">
        <f>IFERROR(INDEX([1]!_born[生没年],
MATCH(I512,[1]!_born[作],0)),"")</f>
        <v/>
      </c>
      <c r="N512" s="14" t="str" ph="1">
        <f>IFERROR(INDEX([1]!_born[生没年],
MATCH(K512,[1]!_born[作],0)),"")</f>
        <v/>
      </c>
      <c r="O512" s="13" t="s" ph="1">
        <v>4818</v>
      </c>
      <c r="S512" s="13" t="s" ph="1">
        <v>4990</v>
      </c>
      <c r="T512" s="13" t="s" ph="1">
        <v>3780</v>
      </c>
    </row>
    <row r="513" spans="1:25" ht="22.5" customHeight="1" ph="1" x14ac:dyDescent="0.35">
      <c r="C513" s="13" t="s" ph="1">
        <v>707</v>
      </c>
      <c r="G513" s="13" t="s" ph="1">
        <v>4987</v>
      </c>
      <c r="H513" s="13" t="s" ph="1">
        <v>716</v>
      </c>
      <c r="I513" s="13" t="s" ph="1">
        <v>4988</v>
      </c>
      <c r="M513" s="14" t="str" ph="1">
        <f>IFERROR(INDEX([1]!_born[生没年],
MATCH(I513,[1]!_born[作],0)),"")</f>
        <v/>
      </c>
      <c r="N513" s="14" t="str" ph="1">
        <f>IFERROR(INDEX([1]!_born[生没年],
MATCH(K513,[1]!_born[作],0)),"")</f>
        <v/>
      </c>
      <c r="O513" s="13" t="s" ph="1">
        <v>4828</v>
      </c>
      <c r="S513" s="13" t="s" ph="1">
        <v>4990</v>
      </c>
      <c r="T513" s="13" t="s" ph="1">
        <v>3780</v>
      </c>
    </row>
    <row r="514" spans="1:25" ht="22.5" customHeight="1" ph="1" x14ac:dyDescent="0.35">
      <c r="C514" s="13" t="s" ph="1">
        <v>707</v>
      </c>
      <c r="G514" s="13" t="s" ph="1">
        <v>4987</v>
      </c>
      <c r="H514" s="13" t="s" ph="1">
        <v>716</v>
      </c>
      <c r="I514" s="13" t="s" ph="1">
        <v>4988</v>
      </c>
      <c r="M514" s="14" t="str" ph="1">
        <f>IFERROR(INDEX([1]!_born[生没年],
MATCH(I514,[1]!_born[作],0)),"")</f>
        <v/>
      </c>
      <c r="N514" s="14" t="str" ph="1">
        <f>IFERROR(INDEX([1]!_born[生没年],
MATCH(K514,[1]!_born[作],0)),"")</f>
        <v/>
      </c>
      <c r="O514" s="13" t="s" ph="1">
        <v>4991</v>
      </c>
      <c r="S514" s="13" t="s" ph="1">
        <v>4990</v>
      </c>
      <c r="T514" s="13" t="s" ph="1">
        <v>3780</v>
      </c>
    </row>
    <row r="515" spans="1:25" ht="22.5" customHeight="1" ph="1" x14ac:dyDescent="0.35">
      <c r="C515" s="13" t="s" ph="1">
        <v>707</v>
      </c>
      <c r="G515" s="13" t="s" ph="1">
        <v>4987</v>
      </c>
      <c r="H515" s="13" t="s" ph="1">
        <v>716</v>
      </c>
      <c r="I515" s="13" t="s" ph="1">
        <v>4988</v>
      </c>
      <c r="M515" s="14" t="str" ph="1">
        <f>IFERROR(INDEX([1]!_born[生没年],
MATCH(I515,[1]!_born[作],0)),"")</f>
        <v/>
      </c>
      <c r="N515" s="14" t="str" ph="1">
        <f>IFERROR(INDEX([1]!_born[生没年],
MATCH(K515,[1]!_born[作],0)),"")</f>
        <v/>
      </c>
      <c r="O515" s="13" t="s" ph="1">
        <v>3951</v>
      </c>
      <c r="S515" s="13" t="s" ph="1">
        <v>4990</v>
      </c>
      <c r="T515" s="13" t="s" ph="1">
        <v>3780</v>
      </c>
    </row>
    <row r="516" spans="1:25" ht="22.5" customHeight="1" ph="1" x14ac:dyDescent="0.35">
      <c r="C516" s="13" t="s" ph="1">
        <v>707</v>
      </c>
      <c r="G516" s="13" t="s" ph="1">
        <v>4987</v>
      </c>
      <c r="H516" s="13" t="s" ph="1">
        <v>716</v>
      </c>
      <c r="I516" s="13" t="s" ph="1">
        <v>4988</v>
      </c>
      <c r="M516" s="14" t="str" ph="1">
        <f>IFERROR(INDEX([1]!_born[生没年],
MATCH(I516,[1]!_born[作],0)),"")</f>
        <v/>
      </c>
      <c r="N516" s="14" t="str" ph="1">
        <f>IFERROR(INDEX([1]!_born[生没年],
MATCH(K516,[1]!_born[作],0)),"")</f>
        <v/>
      </c>
      <c r="O516" s="13" t="s" ph="1">
        <v>4992</v>
      </c>
      <c r="S516" s="13" t="s" ph="1">
        <v>4990</v>
      </c>
      <c r="T516" s="13" t="s" ph="1">
        <v>3780</v>
      </c>
    </row>
    <row r="517" spans="1:25" s="7" customFormat="1" ht="22.5" customHeight="1" ph="1" x14ac:dyDescent="0.35">
      <c r="A517" s="106" ph="1"/>
      <c r="B517" s="5" ph="1"/>
      <c r="C517" s="9" t="s" ph="1">
        <v>707</v>
      </c>
      <c r="D517" s="122" ph="1"/>
      <c r="E517" s="122" ph="1"/>
      <c r="G517" s="8" t="s" ph="1">
        <v>4758</v>
      </c>
      <c r="H517" s="9" t="s" ph="1">
        <v>709</v>
      </c>
      <c r="M517" s="7" t="str" ph="1">
        <f>IFERROR(INDEX([1]!_born[生没年],
MATCH(I517,[1]!_born[作],0)),"")</f>
        <v/>
      </c>
      <c r="N517" s="7" t="str" ph="1">
        <f>IFERROR(INDEX([1]!_born[生没年],
MATCH(K517,[1]!_born[作],0)),"")</f>
        <v/>
      </c>
      <c r="R517" s="10" ph="1"/>
      <c r="U517" s="10" ph="1"/>
      <c r="V517" s="11" ph="1"/>
      <c r="W517" s="11" ph="1"/>
    </row>
    <row r="518" spans="1:25" ht="22.5" customHeight="1" ph="1" x14ac:dyDescent="0.35">
      <c r="A518" s="106" t="s" ph="1">
        <v>2708</v>
      </c>
      <c r="C518" s="13" t="s" ph="1">
        <v>25</v>
      </c>
      <c r="G518" s="13" t="s" ph="1">
        <v>4758</v>
      </c>
      <c r="H518" s="13" t="s" ph="1">
        <v>2675</v>
      </c>
      <c r="I518" s="13" t="s" ph="1">
        <v>4993</v>
      </c>
      <c r="J518" s="13" t="s" ph="1">
        <v>3664</v>
      </c>
      <c r="K518" s="13" t="s" ph="1">
        <v>4994</v>
      </c>
      <c r="L518" s="13" t="s" ph="1">
        <v>4794</v>
      </c>
      <c r="M518" s="14" t="str" ph="1">
        <f>IFERROR(INDEX([1]!_born[生没年],
MATCH(I518,[1]!_born[作],0)),"")</f>
        <v/>
      </c>
      <c r="N518" s="14" t="str" ph="1">
        <f>IFERROR(INDEX([1]!_born[生没年],
MATCH(K518,[1]!_born[作],0)),"")</f>
        <v/>
      </c>
      <c r="O518" s="13" t="s" ph="1">
        <v>4995</v>
      </c>
      <c r="R518" s="16" ph="1">
        <v>26492</v>
      </c>
      <c r="S518" s="13" t="s" ph="1">
        <v>4996</v>
      </c>
      <c r="T518" s="13" t="s" ph="1">
        <v>4753</v>
      </c>
      <c r="U518" s="16" t="s" ph="1">
        <v>50</v>
      </c>
      <c r="V518" s="17" ph="1">
        <v>290</v>
      </c>
      <c r="W518" s="17" ph="1">
        <v>290</v>
      </c>
      <c r="X518" s="13" t="s" ph="1">
        <v>4724</v>
      </c>
      <c r="Y518" s="13" t="s" ph="1">
        <v>4725</v>
      </c>
    </row>
    <row r="519" spans="1:25" ht="22.5" customHeight="1" ph="1" x14ac:dyDescent="0.35">
      <c r="A519" s="106" t="s" ph="1">
        <v>2693</v>
      </c>
      <c r="C519" s="13" t="s" ph="1">
        <v>25</v>
      </c>
      <c r="G519" s="13" t="s" ph="1">
        <v>4758</v>
      </c>
      <c r="H519" s="13" t="s" ph="1">
        <v>2675</v>
      </c>
      <c r="I519" s="13" t="s" ph="1">
        <v>4997</v>
      </c>
      <c r="J519" s="13" t="s" ph="1">
        <v>3664</v>
      </c>
      <c r="K519" s="13" t="s" ph="1">
        <v>4998</v>
      </c>
      <c r="L519" s="13" t="s" ph="1">
        <v>4794</v>
      </c>
      <c r="M519" s="14" t="str" ph="1">
        <f>IFERROR(INDEX([1]!_born[生没年],
MATCH(I519,[1]!_born[作],0)),"")</f>
        <v/>
      </c>
      <c r="N519" s="14" t="str" ph="1">
        <f>IFERROR(INDEX([1]!_born[生没年],
MATCH(K519,[1]!_born[作],0)),"")</f>
        <v/>
      </c>
      <c r="O519" s="13" t="s" ph="1">
        <v>4999</v>
      </c>
      <c r="R519" s="16" ph="1">
        <v>26628</v>
      </c>
      <c r="S519" s="13" t="s" ph="1">
        <v>5000</v>
      </c>
      <c r="T519" s="13" t="s" ph="1">
        <v>4753</v>
      </c>
      <c r="U519" s="16" t="s" ph="1">
        <v>50</v>
      </c>
      <c r="V519" s="17" ph="1">
        <v>290</v>
      </c>
      <c r="W519" s="17" ph="1">
        <v>290</v>
      </c>
      <c r="X519" s="13" t="s" ph="1">
        <v>4724</v>
      </c>
      <c r="Y519" s="13" t="s" ph="1">
        <v>4725</v>
      </c>
    </row>
    <row r="520" spans="1:25" ht="22.5" customHeight="1" ph="1" x14ac:dyDescent="0.35">
      <c r="A520" s="106" t="s" ph="1">
        <v>2676</v>
      </c>
      <c r="C520" s="13" t="s" ph="1">
        <v>25</v>
      </c>
      <c r="G520" s="13" t="s" ph="1">
        <v>4758</v>
      </c>
      <c r="H520" s="13" t="s" ph="1">
        <v>2675</v>
      </c>
      <c r="I520" s="13" t="s" ph="1">
        <v>5001</v>
      </c>
      <c r="J520" s="13" t="s" ph="1">
        <v>3664</v>
      </c>
      <c r="K520" s="13" t="s" ph="1">
        <v>5002</v>
      </c>
      <c r="L520" s="13" t="s" ph="1">
        <v>4794</v>
      </c>
      <c r="M520" s="14" t="str" ph="1">
        <f>IFERROR(INDEX([1]!_born[生没年],
MATCH(I520,[1]!_born[作],0)),"")</f>
        <v/>
      </c>
      <c r="N520" s="14" t="str" ph="1">
        <f>IFERROR(INDEX([1]!_born[生没年],
MATCH(K520,[1]!_born[作],0)),"")</f>
        <v/>
      </c>
      <c r="O520" s="13" t="s" ph="1">
        <v>5003</v>
      </c>
      <c r="R520" s="16" ph="1">
        <v>27292</v>
      </c>
      <c r="S520" s="13" t="s" ph="1">
        <v>5004</v>
      </c>
      <c r="T520" s="13" t="s" ph="1">
        <v>4753</v>
      </c>
      <c r="U520" s="16" t="s" ph="1">
        <v>50</v>
      </c>
      <c r="V520" s="17" ph="1">
        <v>420</v>
      </c>
      <c r="W520" s="17" ph="1">
        <v>420</v>
      </c>
      <c r="X520" s="13" t="s" ph="1">
        <v>4724</v>
      </c>
      <c r="Y520" s="13" t="s" ph="1">
        <v>4725</v>
      </c>
    </row>
    <row r="521" spans="1:25" ht="22.5" customHeight="1" ph="1" x14ac:dyDescent="0.35">
      <c r="A521" s="106" t="s" ph="1">
        <v>2717</v>
      </c>
      <c r="C521" s="13" t="s" ph="1">
        <v>25</v>
      </c>
      <c r="G521" s="13" t="s" ph="1">
        <v>4758</v>
      </c>
      <c r="H521" s="13" t="s" ph="1">
        <v>43</v>
      </c>
      <c r="I521" s="13" t="s" ph="1">
        <v>2718</v>
      </c>
      <c r="J521" s="13" t="s" ph="1">
        <v>3664</v>
      </c>
      <c r="K521" s="13" t="s" ph="1">
        <v>5005</v>
      </c>
      <c r="L521" s="13" t="s" ph="1">
        <v>4794</v>
      </c>
      <c r="M521" s="14" t="str" ph="1">
        <f>IFERROR(INDEX([1]!_born[生没年],
MATCH(I521,[1]!_born[作],0)),"")</f>
        <v/>
      </c>
      <c r="N521" s="14" t="str" ph="1">
        <f>IFERROR(INDEX([1]!_born[生没年],
MATCH(K521,[1]!_born[作],0)),"")</f>
        <v/>
      </c>
      <c r="O521" s="13" t="s" ph="1">
        <v>5006</v>
      </c>
      <c r="R521" s="16" t="s" ph="1">
        <v>2716</v>
      </c>
      <c r="S521" s="13" t="s" ph="1">
        <v>5007</v>
      </c>
      <c r="T521" s="13" t="s" ph="1">
        <v>4753</v>
      </c>
      <c r="U521" s="16" t="s" ph="1">
        <v>50</v>
      </c>
      <c r="V521" s="17" ph="1">
        <v>320</v>
      </c>
      <c r="W521" s="17" ph="1">
        <v>320</v>
      </c>
      <c r="X521" s="13" t="s" ph="1">
        <v>4724</v>
      </c>
      <c r="Y521" s="13" t="s" ph="1">
        <v>4725</v>
      </c>
    </row>
    <row r="522" spans="1:25" ht="22.5" customHeight="1" ph="1" x14ac:dyDescent="0.35">
      <c r="A522" s="106" t="s" ph="1">
        <v>2709</v>
      </c>
      <c r="C522" s="13" t="s" ph="1">
        <v>25</v>
      </c>
      <c r="G522" s="13" t="s" ph="1">
        <v>4758</v>
      </c>
      <c r="H522" s="13" t="s" ph="1">
        <v>43</v>
      </c>
      <c r="I522" s="13" t="s" ph="1">
        <v>2711</v>
      </c>
      <c r="J522" s="13" t="s" ph="1">
        <v>3664</v>
      </c>
      <c r="K522" s="13" t="s" ph="1">
        <v>5008</v>
      </c>
      <c r="L522" s="13" t="s" ph="1">
        <v>4794</v>
      </c>
      <c r="M522" s="14" t="str" ph="1">
        <f>IFERROR(INDEX([1]!_born[生没年],
MATCH(I522,[1]!_born[作],0)),"")</f>
        <v/>
      </c>
      <c r="N522" s="14" t="str" ph="1">
        <f>IFERROR(INDEX([1]!_born[生没年],
MATCH(K522,[1]!_born[作],0)),"")</f>
        <v/>
      </c>
      <c r="O522" s="13" t="s" ph="1">
        <v>5009</v>
      </c>
      <c r="R522" s="16" t="s" ph="1">
        <v>2710</v>
      </c>
      <c r="S522" s="13" t="s" ph="1">
        <v>5010</v>
      </c>
      <c r="T522" s="13" t="s" ph="1">
        <v>4753</v>
      </c>
      <c r="U522" s="16" t="s" ph="1">
        <v>50</v>
      </c>
      <c r="V522" s="17" ph="1">
        <v>290</v>
      </c>
      <c r="W522" s="17" ph="1">
        <v>290</v>
      </c>
      <c r="X522" s="13" t="s" ph="1">
        <v>4724</v>
      </c>
      <c r="Y522" s="13" t="s" ph="1">
        <v>4725</v>
      </c>
    </row>
    <row r="523" spans="1:25" ht="22.5" customHeight="1" ph="1" x14ac:dyDescent="0.35">
      <c r="A523" s="106" t="s" ph="1">
        <v>2702</v>
      </c>
      <c r="C523" s="13" t="s" ph="1">
        <v>25</v>
      </c>
      <c r="G523" s="13" t="s" ph="1">
        <v>4758</v>
      </c>
      <c r="H523" s="13" t="s" ph="1">
        <v>43</v>
      </c>
      <c r="I523" s="13" t="s" ph="1">
        <v>2703</v>
      </c>
      <c r="J523" s="13" t="s" ph="1">
        <v>3664</v>
      </c>
      <c r="K523" s="13" t="s" ph="1">
        <v>5011</v>
      </c>
      <c r="L523" s="13" t="s" ph="1">
        <v>4794</v>
      </c>
      <c r="M523" s="14" t="str" ph="1">
        <f>IFERROR(INDEX([1]!_born[生没年],
MATCH(I523,[1]!_born[作],0)),"")</f>
        <v/>
      </c>
      <c r="N523" s="14" t="str" ph="1">
        <f>IFERROR(INDEX([1]!_born[生没年],
MATCH(K523,[1]!_born[作],0)),"")</f>
        <v/>
      </c>
      <c r="O523" s="13" t="s" ph="1">
        <v>5012</v>
      </c>
      <c r="R523" s="16" t="s" ph="1">
        <v>2704</v>
      </c>
      <c r="S523" s="13" t="s" ph="1">
        <v>5013</v>
      </c>
      <c r="T523" s="13" t="s" ph="1">
        <v>4753</v>
      </c>
      <c r="U523" s="16" t="s" ph="1">
        <v>50</v>
      </c>
      <c r="V523" s="17" ph="1">
        <v>320</v>
      </c>
      <c r="W523" s="17" ph="1">
        <v>320</v>
      </c>
      <c r="X523" s="13" t="s" ph="1">
        <v>4724</v>
      </c>
      <c r="Y523" s="13" t="s" ph="1">
        <v>4725</v>
      </c>
    </row>
    <row r="524" spans="1:25" ht="22.5" customHeight="1" ph="1" x14ac:dyDescent="0.35">
      <c r="A524" s="106" t="s" ph="1">
        <v>2701</v>
      </c>
      <c r="C524" s="13" t="s" ph="1">
        <v>25</v>
      </c>
      <c r="G524" s="13" t="s" ph="1">
        <v>4758</v>
      </c>
      <c r="H524" s="13" t="s" ph="1">
        <v>43</v>
      </c>
      <c r="I524" s="13" t="s" ph="1">
        <v>564</v>
      </c>
      <c r="J524" s="13" t="s" ph="1">
        <v>3664</v>
      </c>
      <c r="K524" s="13" t="s" ph="1">
        <v>5014</v>
      </c>
      <c r="L524" s="13" t="s" ph="1">
        <v>4794</v>
      </c>
      <c r="M524" s="14" t="str" ph="1">
        <f>IFERROR(INDEX([1]!_born[生没年],
MATCH(I524,[1]!_born[作],0)),"")</f>
        <v/>
      </c>
      <c r="N524" s="14" t="str" ph="1">
        <f>IFERROR(INDEX([1]!_born[生没年],
MATCH(K524,[1]!_born[作],0)),"")</f>
        <v/>
      </c>
      <c r="O524" s="13" t="s" ph="1">
        <v>5015</v>
      </c>
      <c r="R524" s="16" t="s" ph="1">
        <v>2700</v>
      </c>
      <c r="S524" s="13" t="s" ph="1">
        <v>5016</v>
      </c>
      <c r="T524" s="13" t="s" ph="1">
        <v>4753</v>
      </c>
      <c r="U524" s="16" t="s" ph="1">
        <v>50</v>
      </c>
      <c r="V524" s="17" ph="1">
        <v>290</v>
      </c>
      <c r="W524" s="17" ph="1">
        <v>0</v>
      </c>
      <c r="X524" s="13" t="s" ph="1">
        <v>4724</v>
      </c>
      <c r="Y524" s="13" t="s" ph="1">
        <v>5017</v>
      </c>
    </row>
    <row r="525" spans="1:25" ht="22.5" customHeight="1" ph="1" x14ac:dyDescent="0.35">
      <c r="A525" s="106" t="s" ph="1">
        <v>2699</v>
      </c>
      <c r="C525" s="13" t="s" ph="1">
        <v>25</v>
      </c>
      <c r="G525" s="13" t="s" ph="1">
        <v>4758</v>
      </c>
      <c r="H525" s="13" t="s" ph="1">
        <v>43</v>
      </c>
      <c r="I525" s="13" t="s" ph="1">
        <v>2722</v>
      </c>
      <c r="J525" s="13" t="s" ph="1">
        <v>3664</v>
      </c>
      <c r="K525" s="13" t="s" ph="1">
        <v>5018</v>
      </c>
      <c r="L525" s="13" t="s" ph="1">
        <v>4794</v>
      </c>
      <c r="M525" s="14" t="str" ph="1">
        <f>IFERROR(INDEX([1]!_born[生没年],
MATCH(I525,[1]!_born[作],0)),"")</f>
        <v/>
      </c>
      <c r="N525" s="14" t="str" ph="1">
        <f>IFERROR(INDEX([1]!_born[生没年],
MATCH(K525,[1]!_born[作],0)),"")</f>
        <v/>
      </c>
      <c r="O525" s="13" t="s" ph="1">
        <v>5019</v>
      </c>
      <c r="R525" s="16" t="s" ph="1">
        <v>2700</v>
      </c>
      <c r="S525" s="13" t="s" ph="1">
        <v>5020</v>
      </c>
      <c r="T525" s="13" t="s" ph="1">
        <v>4753</v>
      </c>
      <c r="U525" s="16" t="s" ph="1">
        <v>50</v>
      </c>
      <c r="V525" s="17" ph="1">
        <v>290</v>
      </c>
      <c r="W525" s="17" ph="1">
        <v>290</v>
      </c>
      <c r="X525" s="13" t="s" ph="1">
        <v>4724</v>
      </c>
      <c r="Y525" s="13" t="s" ph="1">
        <v>4725</v>
      </c>
    </row>
    <row r="526" spans="1:25" ht="22.5" customHeight="1" ph="1" x14ac:dyDescent="0.35">
      <c r="A526" s="106" t="s" ph="1">
        <v>2697</v>
      </c>
      <c r="C526" s="13" t="s" ph="1">
        <v>25</v>
      </c>
      <c r="G526" s="13" t="s" ph="1">
        <v>4758</v>
      </c>
      <c r="H526" s="13" t="s" ph="1">
        <v>43</v>
      </c>
      <c r="I526" s="13" t="s" ph="1">
        <v>2723</v>
      </c>
      <c r="J526" s="13" t="s" ph="1">
        <v>3664</v>
      </c>
      <c r="K526" s="13" t="s" ph="1">
        <v>5021</v>
      </c>
      <c r="L526" s="13" t="s" ph="1">
        <v>4794</v>
      </c>
      <c r="M526" s="14" t="str" ph="1">
        <f>IFERROR(INDEX([1]!_born[生没年],
MATCH(I526,[1]!_born[作],0)),"")</f>
        <v/>
      </c>
      <c r="N526" s="14" t="str" ph="1">
        <f>IFERROR(INDEX([1]!_born[生没年],
MATCH(K526,[1]!_born[作],0)),"")</f>
        <v/>
      </c>
      <c r="O526" s="13" t="s" ph="1">
        <v>5022</v>
      </c>
      <c r="R526" s="16" t="s" ph="1">
        <v>2698</v>
      </c>
      <c r="S526" s="13" t="s" ph="1">
        <v>5023</v>
      </c>
      <c r="T526" s="13" t="s" ph="1">
        <v>4753</v>
      </c>
      <c r="U526" s="16" t="s" ph="1">
        <v>50</v>
      </c>
      <c r="V526" s="17" ph="1">
        <v>290</v>
      </c>
      <c r="W526" s="17" ph="1">
        <v>290</v>
      </c>
      <c r="X526" s="13" t="s" ph="1">
        <v>4724</v>
      </c>
      <c r="Y526" s="13" t="s" ph="1">
        <v>4725</v>
      </c>
    </row>
    <row r="527" spans="1:25" ht="22.5" customHeight="1" ph="1" x14ac:dyDescent="0.35">
      <c r="A527" s="106" t="s" ph="1">
        <v>2695</v>
      </c>
      <c r="C527" s="13" t="s" ph="1">
        <v>25</v>
      </c>
      <c r="G527" s="13" t="s" ph="1">
        <v>4758</v>
      </c>
      <c r="H527" s="13" t="s" ph="1">
        <v>43</v>
      </c>
      <c r="I527" s="13" t="s" ph="1">
        <v>5024</v>
      </c>
      <c r="J527" s="13" t="s" ph="1">
        <v>3664</v>
      </c>
      <c r="K527" s="13" t="s" ph="1">
        <v>5025</v>
      </c>
      <c r="L527" s="13" t="s" ph="1">
        <v>4794</v>
      </c>
      <c r="M527" s="14" t="str" ph="1">
        <f>IFERROR(INDEX([1]!_born[生没年],
MATCH(I527,[1]!_born[作],0)),"")</f>
        <v/>
      </c>
      <c r="N527" s="14" t="str" ph="1">
        <f>IFERROR(INDEX([1]!_born[生没年],
MATCH(K527,[1]!_born[作],0)),"")</f>
        <v/>
      </c>
      <c r="O527" s="13" t="s" ph="1">
        <v>5026</v>
      </c>
      <c r="R527" s="16" t="s" ph="1">
        <v>2696</v>
      </c>
      <c r="S527" s="13" t="s" ph="1">
        <v>5027</v>
      </c>
      <c r="T527" s="13" t="s" ph="1">
        <v>4753</v>
      </c>
      <c r="U527" s="16" t="s" ph="1">
        <v>50</v>
      </c>
      <c r="V527" s="17" ph="1">
        <v>320</v>
      </c>
      <c r="W527" s="17" ph="1">
        <v>320</v>
      </c>
      <c r="X527" s="13" t="s" ph="1">
        <v>4724</v>
      </c>
      <c r="Y527" s="13" t="s" ph="1">
        <v>4725</v>
      </c>
    </row>
    <row r="528" spans="1:25" ht="22.5" customHeight="1" ph="1" x14ac:dyDescent="0.35">
      <c r="A528" s="106" t="s" ph="1">
        <v>2684</v>
      </c>
      <c r="C528" s="13" t="s" ph="1">
        <v>25</v>
      </c>
      <c r="G528" s="13" t="s" ph="1">
        <v>4758</v>
      </c>
      <c r="H528" s="13" t="s" ph="1">
        <v>43</v>
      </c>
      <c r="I528" s="13" t="s" ph="1">
        <v>2685</v>
      </c>
      <c r="J528" s="13" t="s" ph="1">
        <v>3664</v>
      </c>
      <c r="K528" s="13" t="s" ph="1">
        <v>5028</v>
      </c>
      <c r="L528" s="13" t="s" ph="1">
        <v>4794</v>
      </c>
      <c r="M528" s="14" t="str" ph="1">
        <f>IFERROR(INDEX([1]!_born[生没年],
MATCH(I528,[1]!_born[作],0)),"")</f>
        <v/>
      </c>
      <c r="N528" s="14" t="str" ph="1">
        <f>IFERROR(INDEX([1]!_born[生没年],
MATCH(K528,[1]!_born[作],0)),"")</f>
        <v/>
      </c>
      <c r="O528" s="13" t="s" ph="1">
        <v>5029</v>
      </c>
      <c r="R528" s="16" t="s" ph="1">
        <v>2686</v>
      </c>
      <c r="S528" s="13" t="s" ph="1">
        <v>5030</v>
      </c>
      <c r="T528" s="13" t="s" ph="1">
        <v>4753</v>
      </c>
      <c r="U528" s="16" t="s" ph="1">
        <v>50</v>
      </c>
      <c r="V528" s="17" ph="1">
        <v>480</v>
      </c>
      <c r="W528" s="17" ph="1">
        <v>480</v>
      </c>
      <c r="X528" s="13" t="s" ph="1">
        <v>4724</v>
      </c>
      <c r="Y528" s="13" t="s" ph="1">
        <v>4725</v>
      </c>
    </row>
    <row r="529" spans="1:25" ht="22.5" customHeight="1" ph="1" x14ac:dyDescent="0.35">
      <c r="A529" s="106" t="s" ph="1">
        <v>2681</v>
      </c>
      <c r="C529" s="13" t="s" ph="1">
        <v>25</v>
      </c>
      <c r="G529" s="13" t="s" ph="1">
        <v>4758</v>
      </c>
      <c r="H529" s="13" t="s" ph="1">
        <v>43</v>
      </c>
      <c r="I529" s="13" t="s" ph="1">
        <v>2682</v>
      </c>
      <c r="J529" s="13" t="s" ph="1">
        <v>3664</v>
      </c>
      <c r="K529" s="13" t="s" ph="1">
        <v>5031</v>
      </c>
      <c r="L529" s="13" t="s" ph="1">
        <v>4794</v>
      </c>
      <c r="M529" s="14" t="str" ph="1">
        <f>IFERROR(INDEX([1]!_born[生没年],
MATCH(I529,[1]!_born[作],0)),"")</f>
        <v/>
      </c>
      <c r="N529" s="14" t="str" ph="1">
        <f>IFERROR(INDEX([1]!_born[生没年],
MATCH(K529,[1]!_born[作],0)),"")</f>
        <v/>
      </c>
      <c r="O529" s="13" t="s" ph="1">
        <v>5032</v>
      </c>
      <c r="R529" s="16" t="s" ph="1">
        <v>2683</v>
      </c>
      <c r="S529" s="13" t="s" ph="1">
        <v>5033</v>
      </c>
      <c r="T529" s="13" t="s" ph="1">
        <v>4753</v>
      </c>
      <c r="U529" s="16" t="s" ph="1">
        <v>50</v>
      </c>
      <c r="V529" s="17" ph="1">
        <v>350</v>
      </c>
      <c r="W529" s="17" ph="1">
        <v>350</v>
      </c>
      <c r="X529" s="13" t="s" ph="1">
        <v>4724</v>
      </c>
      <c r="Y529" s="13" t="s" ph="1">
        <v>4725</v>
      </c>
    </row>
    <row r="530" spans="1:25" ht="22.5" customHeight="1" ph="1" x14ac:dyDescent="0.35">
      <c r="A530" s="106" t="s" ph="1">
        <v>2680</v>
      </c>
      <c r="C530" s="13" t="s" ph="1">
        <v>25</v>
      </c>
      <c r="G530" s="13" t="s" ph="1">
        <v>4758</v>
      </c>
      <c r="H530" s="13" t="s" ph="1">
        <v>43</v>
      </c>
      <c r="I530" s="13" t="s" ph="1">
        <v>287</v>
      </c>
      <c r="J530" s="13" t="s" ph="1">
        <v>3664</v>
      </c>
      <c r="K530" s="13" t="s" ph="1">
        <v>5034</v>
      </c>
      <c r="L530" s="13" t="s" ph="1">
        <v>4794</v>
      </c>
      <c r="M530" s="14" t="str" ph="1">
        <f>IFERROR(INDEX([1]!_born[生没年],
MATCH(I530,[1]!_born[作],0)),"")</f>
        <v/>
      </c>
      <c r="N530" s="14" t="str" ph="1">
        <f>IFERROR(INDEX([1]!_born[生没年],
MATCH(K530,[1]!_born[作],0)),"")</f>
        <v/>
      </c>
      <c r="O530" s="13" t="s" ph="1">
        <v>5035</v>
      </c>
      <c r="R530" s="16" t="s" ph="1">
        <v>2679</v>
      </c>
      <c r="S530" s="13" t="s" ph="1">
        <v>5036</v>
      </c>
      <c r="T530" s="13" t="s" ph="1">
        <v>4753</v>
      </c>
      <c r="U530" s="16" t="s" ph="1">
        <v>50</v>
      </c>
      <c r="V530" s="17" ph="1">
        <v>350</v>
      </c>
      <c r="W530" s="17" ph="1">
        <v>350</v>
      </c>
      <c r="X530" s="13" t="s" ph="1">
        <v>4724</v>
      </c>
      <c r="Y530" s="13" t="s" ph="1">
        <v>4725</v>
      </c>
    </row>
    <row r="531" spans="1:25" ht="22.5" customHeight="1" ph="1" x14ac:dyDescent="0.35">
      <c r="A531" s="106" t="s" ph="1">
        <v>2721</v>
      </c>
      <c r="C531" s="13" t="s" ph="1">
        <v>25</v>
      </c>
      <c r="G531" s="13" t="s" ph="1">
        <v>4758</v>
      </c>
      <c r="H531" s="13" t="s" ph="1">
        <v>43</v>
      </c>
      <c r="I531" s="13" t="s" ph="1">
        <v>2725</v>
      </c>
      <c r="J531" s="13" t="s" ph="1">
        <v>3664</v>
      </c>
      <c r="K531" s="13" t="s" ph="1">
        <v>5037</v>
      </c>
      <c r="L531" s="13" t="s" ph="1">
        <v>5038</v>
      </c>
      <c r="M531" s="14" t="str" ph="1">
        <f>IFERROR(INDEX([1]!_born[生没年],
MATCH(I531,[1]!_born[作],0)),"")</f>
        <v/>
      </c>
      <c r="N531" s="14" t="str" ph="1">
        <f>IFERROR(INDEX([1]!_born[生没年],
MATCH(K531,[1]!_born[作],0)),"")</f>
        <v/>
      </c>
      <c r="O531" s="13" t="s" ph="1">
        <v>5039</v>
      </c>
      <c r="R531" s="16" t="s" ph="1">
        <v>2724</v>
      </c>
      <c r="S531" s="13" t="s" ph="1">
        <v>5040</v>
      </c>
      <c r="T531" s="13" t="s" ph="1">
        <v>5041</v>
      </c>
      <c r="U531" s="16" t="s" ph="1">
        <v>50</v>
      </c>
      <c r="V531" s="17" ph="1">
        <v>450</v>
      </c>
      <c r="W531" s="17" ph="1">
        <v>0</v>
      </c>
      <c r="X531" s="13" t="s" ph="1">
        <v>4724</v>
      </c>
      <c r="Y531" s="13" t="s" ph="1">
        <v>4903</v>
      </c>
    </row>
    <row r="532" spans="1:25" ht="22.5" customHeight="1" ph="1" x14ac:dyDescent="0.35">
      <c r="C532" s="13" t="s" ph="1">
        <v>707</v>
      </c>
      <c r="G532" s="13" t="s" ph="1">
        <v>4907</v>
      </c>
      <c r="H532" s="13" t="s" ph="1">
        <v>1035</v>
      </c>
      <c r="I532" s="13" t="s" ph="1">
        <v>5042</v>
      </c>
      <c r="K532" s="13" t="s" ph="1">
        <v>5043</v>
      </c>
      <c r="L532" s="13" t="s" ph="1">
        <v>3628</v>
      </c>
      <c r="M532" s="14" t="str" ph="1">
        <f>IFERROR(INDEX([1]!_born[生没年],
MATCH(I532,[1]!_born[作],0)),"")</f>
        <v/>
      </c>
      <c r="N532" s="14" t="str" ph="1">
        <f>IFERROR(INDEX([1]!_born[生没年],
MATCH(K532,[1]!_born[作],0)),"")</f>
        <v/>
      </c>
      <c r="O532" s="13" t="s" ph="1">
        <v>5044</v>
      </c>
      <c r="R532" s="16" t="s" ph="1">
        <v>2094</v>
      </c>
      <c r="S532" s="13" t="s" ph="1">
        <v>5045</v>
      </c>
      <c r="T532" s="13" t="s" ph="1">
        <v>3780</v>
      </c>
      <c r="U532" s="16" ph="1">
        <v>38093</v>
      </c>
      <c r="V532" s="17" t="s" ph="1">
        <v>5046</v>
      </c>
      <c r="W532" s="17" ph="1">
        <f>650*1.05</f>
        <v>682.5</v>
      </c>
      <c r="X532" s="13" t="s" ph="1">
        <v>3718</v>
      </c>
      <c r="Y532" s="13" t="s" ph="1">
        <v>2095</v>
      </c>
    </row>
    <row r="533" spans="1:25" ht="22.5" customHeight="1" ph="1" x14ac:dyDescent="0.35">
      <c r="C533" s="13" t="s" ph="1">
        <v>707</v>
      </c>
      <c r="G533" s="13" t="s" ph="1">
        <v>4758</v>
      </c>
      <c r="H533" s="13" t="s" ph="1">
        <v>709</v>
      </c>
      <c r="I533" s="13" t="s" ph="1">
        <v>307</v>
      </c>
      <c r="K533" s="13" t="s" ph="1">
        <v>5047</v>
      </c>
      <c r="L533" s="13" t="s" ph="1">
        <v>3628</v>
      </c>
      <c r="M533" s="14" t="str" ph="1">
        <f>IFERROR(INDEX([1]!_born[生没年],
MATCH(I533,[1]!_born[作],0)),"")</f>
        <v/>
      </c>
      <c r="N533" s="14" t="str" ph="1">
        <f>IFERROR(INDEX([1]!_born[生没年],
MATCH(K533,[1]!_born[作],0)),"")</f>
        <v/>
      </c>
      <c r="O533" s="13" t="s" ph="1">
        <v>5048</v>
      </c>
      <c r="R533" s="16" t="s" ph="1">
        <v>2096</v>
      </c>
      <c r="T533" s="13" t="s" ph="1">
        <v>3810</v>
      </c>
      <c r="U533" s="16" ph="1">
        <v>37403</v>
      </c>
      <c r="V533" s="17" ph="1">
        <v>1600</v>
      </c>
      <c r="W533" s="17" ph="1">
        <v>1000</v>
      </c>
      <c r="X533" s="13" t="s" ph="1">
        <v>4076</v>
      </c>
    </row>
    <row r="534" spans="1:25" ht="22.5" customHeight="1" ph="1" x14ac:dyDescent="0.35">
      <c r="C534" s="13" t="s" ph="1">
        <v>707</v>
      </c>
      <c r="G534" s="13" t="s" ph="1">
        <v>3599</v>
      </c>
      <c r="H534" s="13" t="s" ph="1">
        <v>709</v>
      </c>
      <c r="I534" s="13" t="s" ph="1">
        <v>35</v>
      </c>
      <c r="K534" s="13" t="s" ph="1">
        <v>5049</v>
      </c>
      <c r="L534" s="13" t="s" ph="1">
        <v>3628</v>
      </c>
      <c r="M534" s="14" t="str" ph="1">
        <f>IFERROR(INDEX([1]!_born[生没年],
MATCH(I534,[1]!_born[作],0)),"")</f>
        <v/>
      </c>
      <c r="N534" s="14" t="str" ph="1">
        <f>IFERROR(INDEX([1]!_born[生没年],
MATCH(K534,[1]!_born[作],0)),"")</f>
        <v/>
      </c>
      <c r="O534" s="13" t="s" ph="1">
        <v>5050</v>
      </c>
      <c r="R534" s="16" t="s" ph="1">
        <v>1518</v>
      </c>
      <c r="T534" s="13" t="s" ph="1">
        <v>4805</v>
      </c>
      <c r="V534" s="17" ph="1">
        <v>1600</v>
      </c>
    </row>
    <row r="535" spans="1:25" ht="22.5" customHeight="1" ph="1" x14ac:dyDescent="0.35">
      <c r="C535" s="13" t="s" ph="1">
        <v>707</v>
      </c>
      <c r="G535" s="13" t="s" ph="1">
        <v>4758</v>
      </c>
      <c r="H535" s="13" t="s" ph="1">
        <v>1035</v>
      </c>
      <c r="I535" s="13" t="s" ph="1">
        <v>412</v>
      </c>
      <c r="K535" s="13" t="s" ph="1">
        <v>5051</v>
      </c>
      <c r="L535" s="13" t="s" ph="1">
        <v>3628</v>
      </c>
      <c r="M535" s="14" t="str" ph="1">
        <f>IFERROR(INDEX([1]!_born[生没年],
MATCH(I535,[1]!_born[作],0)),"")</f>
        <v/>
      </c>
      <c r="N535" s="14" t="str" ph="1">
        <f>IFERROR(INDEX([1]!_born[生没年],
MATCH(K535,[1]!_born[作],0)),"")</f>
        <v/>
      </c>
      <c r="O535" s="13" t="s" ph="1">
        <v>5052</v>
      </c>
      <c r="R535" s="16" t="s" ph="1">
        <v>2097</v>
      </c>
      <c r="S535" s="13" t="s" ph="1">
        <v>5053</v>
      </c>
      <c r="T535" s="13" t="s" ph="1">
        <v>3780</v>
      </c>
      <c r="V535" s="17" ph="1">
        <f>2000*1.05</f>
        <v>2100</v>
      </c>
    </row>
    <row r="536" spans="1:25" ht="22.5" customHeight="1" ph="1" x14ac:dyDescent="0.35">
      <c r="C536" s="13" t="s" ph="1">
        <v>707</v>
      </c>
      <c r="G536" s="13" t="s" ph="1">
        <v>4758</v>
      </c>
      <c r="H536" s="13" t="s" ph="1">
        <v>709</v>
      </c>
      <c r="I536" s="13" t="s" ph="1">
        <v>413</v>
      </c>
      <c r="K536" s="13" t="s" ph="1">
        <v>5054</v>
      </c>
      <c r="L536" s="13" t="s" ph="1">
        <v>3628</v>
      </c>
      <c r="M536" s="14" t="str" ph="1">
        <f>IFERROR(INDEX([1]!_born[生没年],
MATCH(I536,[1]!_born[作],0)),"")</f>
        <v/>
      </c>
      <c r="N536" s="14" t="str" ph="1">
        <f>IFERROR(INDEX([1]!_born[生没年],
MATCH(K536,[1]!_born[作],0)),"")</f>
        <v/>
      </c>
      <c r="O536" s="13" t="s" ph="1">
        <v>5055</v>
      </c>
      <c r="R536" s="16" t="s" ph="1">
        <v>2096</v>
      </c>
      <c r="T536" s="13" t="s" ph="1">
        <v>4880</v>
      </c>
      <c r="V536" s="17" ph="1">
        <v>1700</v>
      </c>
      <c r="W536" s="17" ph="1">
        <v>500</v>
      </c>
    </row>
    <row r="537" spans="1:25" ht="22.5" customHeight="1" ph="1" x14ac:dyDescent="0.35">
      <c r="A537" s="106" t="s" ph="1">
        <v>2098</v>
      </c>
      <c r="B537" s="5" t="s" ph="1">
        <v>2099</v>
      </c>
      <c r="C537" s="13" t="s" ph="1">
        <v>707</v>
      </c>
      <c r="G537" s="13" t="s" ph="1">
        <v>4758</v>
      </c>
      <c r="H537" s="13" t="s" ph="1">
        <v>1035</v>
      </c>
      <c r="I537" s="13" t="s" ph="1">
        <v>194</v>
      </c>
      <c r="K537" s="13" t="s" ph="1">
        <v>5056</v>
      </c>
      <c r="L537" s="13" t="s" ph="1">
        <v>3628</v>
      </c>
      <c r="M537" s="14" t="str" ph="1">
        <f>IFERROR(INDEX([1]!_born[生没年],
MATCH(I537,[1]!_born[作],0)),"")</f>
        <v/>
      </c>
      <c r="N537" s="14" t="str" ph="1">
        <f>IFERROR(INDEX([1]!_born[生没年],
MATCH(K537,[1]!_born[作],0)),"")</f>
        <v/>
      </c>
      <c r="O537" s="13" t="s" ph="1">
        <v>5057</v>
      </c>
      <c r="R537" s="16" t="s" ph="1">
        <v>2100</v>
      </c>
      <c r="T537" s="13" t="s" ph="1">
        <v>5058</v>
      </c>
      <c r="U537" s="16" ph="1">
        <v>38897</v>
      </c>
      <c r="V537" s="17" ph="1">
        <f>1942*1.03</f>
        <v>2000.26</v>
      </c>
      <c r="W537" s="17" ph="1">
        <v>840</v>
      </c>
      <c r="X537" s="13" t="s" ph="1">
        <v>3792</v>
      </c>
    </row>
    <row r="538" spans="1:25" ht="22.5" customHeight="1" ph="1" x14ac:dyDescent="0.35">
      <c r="A538" s="106" t="s" ph="1">
        <v>2631</v>
      </c>
      <c r="C538" s="13" t="s" ph="1">
        <v>25</v>
      </c>
      <c r="D538" s="123" ph="1">
        <v>1</v>
      </c>
      <c r="E538" s="123" ph="1">
        <v>2</v>
      </c>
      <c r="G538" s="13" t="s" ph="1">
        <v>4758</v>
      </c>
      <c r="H538" s="13" t="s" ph="1">
        <v>43</v>
      </c>
      <c r="I538" s="13" t="s" ph="1">
        <v>414</v>
      </c>
      <c r="K538" s="13" t="s" ph="1">
        <v>5059</v>
      </c>
      <c r="L538" s="13" t="s" ph="1">
        <v>3628</v>
      </c>
      <c r="M538" s="14" t="str" ph="1">
        <f>IFERROR(INDEX([1]!_born[生没年],
MATCH(I538,[1]!_born[作],0)),"")</f>
        <v/>
      </c>
      <c r="N538" s="14" t="str" ph="1">
        <f>IFERROR(INDEX([1]!_born[生没年],
MATCH(K538,[1]!_born[作],0)),"")</f>
        <v/>
      </c>
      <c r="O538" s="13" t="s" ph="1">
        <v>5060</v>
      </c>
      <c r="R538" s="16" t="s" ph="1">
        <v>2101</v>
      </c>
      <c r="S538" s="13" t="s" ph="1">
        <v>5061</v>
      </c>
      <c r="T538" s="13" t="s" ph="1">
        <v>4626</v>
      </c>
      <c r="U538" s="16" ph="1">
        <v>41221</v>
      </c>
      <c r="V538" s="17" ph="1">
        <v>1600</v>
      </c>
      <c r="W538" s="17" ph="1">
        <f>(2500+250)/2</f>
        <v>1375</v>
      </c>
      <c r="X538" s="13" t="s" ph="1">
        <v>5062</v>
      </c>
    </row>
    <row r="539" spans="1:25" ht="22.5" customHeight="1" ph="1" x14ac:dyDescent="0.35">
      <c r="A539" s="106" t="s" ph="1">
        <v>2632</v>
      </c>
      <c r="C539" s="13" t="s" ph="1">
        <v>25</v>
      </c>
      <c r="D539" s="123" ph="1">
        <v>2</v>
      </c>
      <c r="E539" s="123" ph="1">
        <v>2</v>
      </c>
      <c r="G539" s="13" t="s" ph="1">
        <v>4758</v>
      </c>
      <c r="H539" s="13" t="s" ph="1">
        <v>43</v>
      </c>
      <c r="I539" s="13" t="s" ph="1">
        <v>414</v>
      </c>
      <c r="K539" s="13" t="s" ph="1">
        <v>5059</v>
      </c>
      <c r="L539" s="13" t="s" ph="1">
        <v>3628</v>
      </c>
      <c r="M539" s="14" t="str" ph="1">
        <f>IFERROR(INDEX([1]!_born[生没年],
MATCH(I539,[1]!_born[作],0)),"")</f>
        <v/>
      </c>
      <c r="N539" s="14" t="str" ph="1">
        <f>IFERROR(INDEX([1]!_born[生没年],
MATCH(K539,[1]!_born[作],0)),"")</f>
        <v/>
      </c>
      <c r="O539" s="13" t="s" ph="1">
        <v>5063</v>
      </c>
      <c r="R539" s="16" t="s" ph="1">
        <v>2101</v>
      </c>
      <c r="S539" s="13" t="s" ph="1">
        <v>5061</v>
      </c>
      <c r="T539" s="13" t="s" ph="1">
        <v>4626</v>
      </c>
      <c r="U539" s="16" ph="1">
        <v>41221</v>
      </c>
      <c r="V539" s="17" ph="1">
        <v>1600</v>
      </c>
      <c r="W539" s="17" ph="1">
        <f>(2500+250)/2</f>
        <v>1375</v>
      </c>
      <c r="X539" s="13" t="s" ph="1">
        <v>5062</v>
      </c>
    </row>
    <row r="540" spans="1:25" s="19" customFormat="1" ht="22.5" customHeight="1" ph="1" x14ac:dyDescent="0.35">
      <c r="A540" s="107" ph="1"/>
      <c r="B540" s="18" ph="1"/>
      <c r="C540" s="19" t="s" ph="1">
        <v>707</v>
      </c>
      <c r="D540" s="124" ph="1">
        <v>1</v>
      </c>
      <c r="E540" s="124" ph="1">
        <v>2</v>
      </c>
      <c r="G540" s="19" t="s" ph="1">
        <v>4831</v>
      </c>
      <c r="H540" s="19" t="s" ph="1">
        <v>709</v>
      </c>
      <c r="I540" s="19" t="s" ph="1">
        <v>414</v>
      </c>
      <c r="K540" s="19" t="s" ph="1">
        <v>5064</v>
      </c>
      <c r="L540" s="19" t="s" ph="1">
        <v>4535</v>
      </c>
      <c r="M540" s="27" t="str" ph="1">
        <f>IFERROR(INDEX([1]!_born[生没年],
MATCH(I540,[1]!_born[作],0)),"")</f>
        <v/>
      </c>
      <c r="N540" s="27" t="str" ph="1">
        <f>IFERROR(INDEX([1]!_born[生没年],
MATCH(K540,[1]!_born[作],0)),"")</f>
        <v/>
      </c>
      <c r="O540" s="19" t="s" ph="1">
        <v>5065</v>
      </c>
      <c r="R540" s="20" t="s" ph="1">
        <v>2101</v>
      </c>
      <c r="S540" s="19" t="s" ph="1">
        <v>5066</v>
      </c>
      <c r="T540" s="19" t="s" ph="1">
        <v>5067</v>
      </c>
      <c r="U540" s="20" ph="1"/>
      <c r="V540" s="21" ph="1">
        <v>1600</v>
      </c>
      <c r="W540" s="21" ph="1">
        <v>0</v>
      </c>
      <c r="X540" s="18" t="s" ph="1">
        <v>5068</v>
      </c>
      <c r="Y540" s="18" ph="1"/>
    </row>
    <row r="541" spans="1:25" ht="22.5" customHeight="1" ph="1" x14ac:dyDescent="0.35">
      <c r="C541" s="13" t="s" ph="1">
        <v>707</v>
      </c>
      <c r="G541" s="13" t="s" ph="1">
        <v>4758</v>
      </c>
      <c r="H541" s="13" t="s" ph="1">
        <v>709</v>
      </c>
      <c r="I541" s="13" t="s" ph="1">
        <v>414</v>
      </c>
      <c r="K541" s="13" t="s" ph="1">
        <v>5069</v>
      </c>
      <c r="L541" s="13" t="s" ph="1">
        <v>3628</v>
      </c>
      <c r="M541" s="14" t="str" ph="1">
        <f>IFERROR(INDEX([1]!_born[生没年],
MATCH(I541,[1]!_born[作],0)),"")</f>
        <v/>
      </c>
      <c r="N541" s="14" t="str" ph="1">
        <f>IFERROR(INDEX([1]!_born[生没年],
MATCH(K541,[1]!_born[作],0)),"")</f>
        <v/>
      </c>
      <c r="O541" s="13" t="s" ph="1">
        <v>5070</v>
      </c>
      <c r="R541" s="16" t="s" ph="1">
        <v>2102</v>
      </c>
      <c r="T541" s="13" t="s" ph="1">
        <v>4626</v>
      </c>
      <c r="U541" s="16" ph="1">
        <v>36807</v>
      </c>
      <c r="V541" s="17" ph="1">
        <v>2200</v>
      </c>
      <c r="W541" s="17" ph="1">
        <v>0</v>
      </c>
      <c r="X541" s="13" t="s" ph="1">
        <v>3622</v>
      </c>
      <c r="Y541" s="13" t="s" ph="1">
        <v>4840</v>
      </c>
    </row>
    <row r="542" spans="1:25" ht="22.5" customHeight="1" ph="1" x14ac:dyDescent="0.35">
      <c r="C542" s="13" t="s" ph="1">
        <v>707</v>
      </c>
      <c r="G542" s="13" t="s" ph="1">
        <v>4758</v>
      </c>
      <c r="H542" s="13" t="s" ph="1">
        <v>1035</v>
      </c>
      <c r="I542" s="13" t="s" ph="1">
        <v>218</v>
      </c>
      <c r="K542" s="13" t="s" ph="1">
        <v>5071</v>
      </c>
      <c r="L542" s="13" t="s" ph="1">
        <v>3628</v>
      </c>
      <c r="M542" s="14" t="str" ph="1">
        <f>IFERROR(INDEX([1]!_born[生没年],
MATCH(I542,[1]!_born[作],0)),"")</f>
        <v/>
      </c>
      <c r="N542" s="14" t="str" ph="1">
        <f>IFERROR(INDEX([1]!_born[生没年],
MATCH(K542,[1]!_born[作],0)),"")</f>
        <v/>
      </c>
      <c r="O542" s="13" t="s" ph="1">
        <v>5072</v>
      </c>
      <c r="R542" s="16" t="s" ph="1">
        <v>2103</v>
      </c>
      <c r="T542" s="13" t="s" ph="1">
        <v>3643</v>
      </c>
      <c r="U542" s="16" ph="1">
        <v>36743</v>
      </c>
      <c r="V542" s="17" ph="1">
        <v>1200</v>
      </c>
      <c r="W542" s="17" ph="1">
        <v>1800</v>
      </c>
      <c r="X542" s="5" t="s" ph="1">
        <v>4034</v>
      </c>
      <c r="Y542" s="5" ph="1"/>
    </row>
    <row r="543" spans="1:25" ht="22.5" customHeight="1" ph="1" x14ac:dyDescent="0.35">
      <c r="C543" s="13" t="s" ph="1">
        <v>707</v>
      </c>
      <c r="G543" s="13" t="s" ph="1">
        <v>4758</v>
      </c>
      <c r="H543" s="13" t="s" ph="1">
        <v>1541</v>
      </c>
      <c r="I543" s="13" t="s" ph="1">
        <v>219</v>
      </c>
      <c r="K543" s="13" t="s" ph="1">
        <v>5073</v>
      </c>
      <c r="L543" s="13" t="s" ph="1">
        <v>3628</v>
      </c>
      <c r="M543" s="14" t="str" ph="1">
        <f>IFERROR(INDEX([1]!_born[生没年],
MATCH(I543,[1]!_born[作],0)),"")</f>
        <v/>
      </c>
      <c r="N543" s="14" t="str" ph="1">
        <f>IFERROR(INDEX([1]!_born[生没年],
MATCH(K543,[1]!_born[作],0)),"")</f>
        <v/>
      </c>
      <c r="O543" s="13" t="s" ph="1">
        <v>5074</v>
      </c>
      <c r="R543" s="16" t="s" ph="1">
        <v>2104</v>
      </c>
      <c r="T543" s="13" t="s" ph="1">
        <v>5075</v>
      </c>
      <c r="U543" s="16" ph="1">
        <v>36743</v>
      </c>
      <c r="V543" s="17" ph="1">
        <v>2000</v>
      </c>
      <c r="W543" s="17" ph="1">
        <v>900</v>
      </c>
      <c r="X543" s="5" t="s" ph="1">
        <v>4034</v>
      </c>
      <c r="Y543" s="5" ph="1"/>
    </row>
    <row r="544" spans="1:25" ht="22.5" customHeight="1" ph="1" x14ac:dyDescent="0.35">
      <c r="C544" s="13" t="s" ph="1">
        <v>707</v>
      </c>
      <c r="G544" s="13" t="s" ph="1">
        <v>4758</v>
      </c>
      <c r="H544" s="13" t="s" ph="1">
        <v>1541</v>
      </c>
      <c r="I544" s="13" t="s" ph="1">
        <v>268</v>
      </c>
      <c r="K544" s="13" t="s" ph="1">
        <v>5076</v>
      </c>
      <c r="L544" s="13" t="s" ph="1">
        <v>3628</v>
      </c>
      <c r="M544" s="14" t="str" ph="1">
        <f>IFERROR(INDEX([1]!_born[生没年],
MATCH(I544,[1]!_born[作],0)),"")</f>
        <v/>
      </c>
      <c r="N544" s="14" t="str" ph="1">
        <f>IFERROR(INDEX([1]!_born[生没年],
MATCH(K544,[1]!_born[作],0)),"")</f>
        <v/>
      </c>
      <c r="O544" s="13" t="s" ph="1">
        <v>5077</v>
      </c>
      <c r="R544" s="16" t="s" ph="1">
        <v>2105</v>
      </c>
      <c r="S544" s="13" t="s" ph="1">
        <v>5053</v>
      </c>
      <c r="T544" s="13" t="s" ph="1">
        <v>3780</v>
      </c>
      <c r="V544" s="17" ph="1">
        <v>1500</v>
      </c>
    </row>
    <row r="545" spans="3:25" ht="22.5" customHeight="1" ph="1" x14ac:dyDescent="0.35">
      <c r="C545" s="13" t="s" ph="1">
        <v>707</v>
      </c>
      <c r="G545" s="13" t="s" ph="1">
        <v>4758</v>
      </c>
      <c r="H545" s="13" t="s" ph="1">
        <v>1541</v>
      </c>
      <c r="I545" s="13" t="s" ph="1">
        <v>113</v>
      </c>
      <c r="K545" s="13" t="s" ph="1">
        <v>5078</v>
      </c>
      <c r="L545" s="13" t="s" ph="1">
        <v>3628</v>
      </c>
      <c r="M545" s="14" t="str" ph="1">
        <f>IFERROR(INDEX([1]!_born[生没年],
MATCH(I545,[1]!_born[作],0)),"")</f>
        <v/>
      </c>
      <c r="N545" s="14" t="str" ph="1">
        <f>IFERROR(INDEX([1]!_born[生没年],
MATCH(K545,[1]!_born[作],0)),"")</f>
        <v/>
      </c>
      <c r="O545" s="13" t="s" ph="1">
        <v>5079</v>
      </c>
      <c r="R545" s="16" t="s" ph="1">
        <v>2106</v>
      </c>
      <c r="S545" s="13" t="s" ph="1">
        <v>5061</v>
      </c>
      <c r="T545" s="13" t="s" ph="1">
        <v>4626</v>
      </c>
      <c r="V545" s="17" ph="1">
        <v>850</v>
      </c>
    </row>
    <row r="546" spans="3:25" ht="22.5" customHeight="1" ph="1" x14ac:dyDescent="0.35">
      <c r="C546" s="13" t="s" ph="1">
        <v>707</v>
      </c>
      <c r="G546" s="13" t="s" ph="1">
        <v>4758</v>
      </c>
      <c r="H546" s="13" t="s" ph="1">
        <v>1541</v>
      </c>
      <c r="I546" s="13" t="s" ph="1">
        <v>113</v>
      </c>
      <c r="K546" s="13" t="s" ph="1">
        <v>5080</v>
      </c>
      <c r="L546" s="13" t="s" ph="1">
        <v>3628</v>
      </c>
      <c r="M546" s="14" t="str" ph="1">
        <f>IFERROR(INDEX([1]!_born[生没年],
MATCH(I546,[1]!_born[作],0)),"")</f>
        <v/>
      </c>
      <c r="N546" s="14" t="str" ph="1">
        <f>IFERROR(INDEX([1]!_born[生没年],
MATCH(K546,[1]!_born[作],0)),"")</f>
        <v/>
      </c>
      <c r="O546" s="13" t="s" ph="1">
        <v>5081</v>
      </c>
      <c r="R546" s="16" t="s" ph="1">
        <v>2107</v>
      </c>
      <c r="T546" s="13" t="s" ph="1">
        <v>5075</v>
      </c>
      <c r="U546" s="16" ph="1">
        <v>37556</v>
      </c>
      <c r="V546" s="17" ph="1">
        <v>1900</v>
      </c>
      <c r="W546" s="17" ph="1">
        <v>1500</v>
      </c>
      <c r="X546" s="13" t="s" ph="1">
        <v>5082</v>
      </c>
    </row>
    <row r="547" spans="3:25" ht="22.5" customHeight="1" ph="1" x14ac:dyDescent="0.35">
      <c r="C547" s="13" t="s" ph="1">
        <v>707</v>
      </c>
      <c r="G547" s="13" t="s" ph="1">
        <v>4758</v>
      </c>
      <c r="H547" s="13" t="s" ph="1">
        <v>709</v>
      </c>
      <c r="I547" s="13" t="s" ph="1">
        <v>673</v>
      </c>
      <c r="K547" s="13" t="s" ph="1">
        <v>5083</v>
      </c>
      <c r="L547" s="13" t="s" ph="1">
        <v>5084</v>
      </c>
      <c r="M547" s="14" t="str" ph="1">
        <f>IFERROR(INDEX([1]!_born[生没年],
MATCH(I547,[1]!_born[作],0)),"")</f>
        <v/>
      </c>
      <c r="N547" s="14" t="str" ph="1">
        <f>IFERROR(INDEX([1]!_born[生没年],
MATCH(K547,[1]!_born[作],0)),"")</f>
        <v/>
      </c>
      <c r="O547" s="13" t="s" ph="1">
        <v>5085</v>
      </c>
      <c r="S547" s="13" t="s" ph="1">
        <v>5086</v>
      </c>
      <c r="T547" s="13" t="s" ph="1">
        <v>5075</v>
      </c>
      <c r="U547" s="16" ph="1">
        <v>39429</v>
      </c>
      <c r="V547" s="17" ph="1">
        <v>1800</v>
      </c>
      <c r="W547" s="17" ph="1">
        <v>1260</v>
      </c>
      <c r="X547" s="13" t="s" ph="1">
        <v>3792</v>
      </c>
    </row>
    <row r="548" spans="3:25" ht="22.5" customHeight="1" ph="1" x14ac:dyDescent="0.35">
      <c r="C548" s="13" t="s" ph="1">
        <v>707</v>
      </c>
      <c r="G548" s="13" t="s" ph="1">
        <v>4758</v>
      </c>
      <c r="H548" s="13" t="s" ph="1">
        <v>709</v>
      </c>
      <c r="I548" s="13" t="s" ph="1">
        <v>114</v>
      </c>
      <c r="K548" s="13" t="s" ph="1">
        <v>5087</v>
      </c>
      <c r="L548" s="13" t="s" ph="1">
        <v>3628</v>
      </c>
      <c r="M548" s="14" t="str" ph="1">
        <f>IFERROR(INDEX([1]!_born[生没年],
MATCH(I548,[1]!_born[作],0)),"")</f>
        <v/>
      </c>
      <c r="N548" s="14" t="str" ph="1">
        <f>IFERROR(INDEX([1]!_born[生没年],
MATCH(K548,[1]!_born[作],0)),"")</f>
        <v/>
      </c>
      <c r="O548" s="13" t="s" ph="1">
        <v>5088</v>
      </c>
      <c r="R548" s="16" t="s" ph="1">
        <v>2108</v>
      </c>
      <c r="S548" s="13" t="s" ph="1">
        <v>5089</v>
      </c>
      <c r="T548" s="13" t="s" ph="1">
        <v>5090</v>
      </c>
      <c r="V548" s="17" ph="1">
        <v>1200</v>
      </c>
    </row>
    <row r="549" spans="3:25" ht="22.5" customHeight="1" ph="1" x14ac:dyDescent="0.35">
      <c r="C549" s="13" t="s" ph="1">
        <v>707</v>
      </c>
      <c r="G549" s="13" t="s" ph="1">
        <v>4758</v>
      </c>
      <c r="H549" s="13" t="s" ph="1">
        <v>709</v>
      </c>
      <c r="I549" s="13" t="s" ph="1">
        <v>13</v>
      </c>
      <c r="K549" s="13" t="s" ph="1">
        <v>5091</v>
      </c>
      <c r="L549" s="13" t="s" ph="1">
        <v>3628</v>
      </c>
      <c r="M549" s="14" t="str" ph="1">
        <f>IFERROR(INDEX([1]!_born[生没年],
MATCH(I549,[1]!_born[作],0)),"")</f>
        <v/>
      </c>
      <c r="N549" s="14" t="str" ph="1">
        <f>IFERROR(INDEX([1]!_born[生没年],
MATCH(K549,[1]!_born[作],0)),"")</f>
        <v/>
      </c>
      <c r="O549" s="13" t="s" ph="1">
        <v>5092</v>
      </c>
      <c r="R549" s="16" t="s" ph="1">
        <v>2109</v>
      </c>
      <c r="T549" s="13" t="s" ph="1">
        <v>4351</v>
      </c>
      <c r="V549" s="17" ph="1">
        <v>1200</v>
      </c>
    </row>
    <row r="550" spans="3:25" ht="22.5" customHeight="1" ph="1" x14ac:dyDescent="0.35">
      <c r="C550" s="13" t="s" ph="1">
        <v>707</v>
      </c>
      <c r="G550" s="13" t="s" ph="1">
        <v>4758</v>
      </c>
      <c r="H550" s="13" t="s" ph="1">
        <v>709</v>
      </c>
      <c r="I550" s="13" t="s" ph="1">
        <v>14</v>
      </c>
      <c r="K550" s="13" t="s" ph="1">
        <v>5093</v>
      </c>
      <c r="L550" s="13" t="s" ph="1">
        <v>3628</v>
      </c>
      <c r="M550" s="14" t="str" ph="1">
        <f>IFERROR(INDEX([1]!_born[生没年],
MATCH(I550,[1]!_born[作],0)),"")</f>
        <v/>
      </c>
      <c r="N550" s="14" t="str" ph="1">
        <f>IFERROR(INDEX([1]!_born[生没年],
MATCH(K550,[1]!_born[作],0)),"")</f>
        <v/>
      </c>
      <c r="O550" s="13" t="s" ph="1">
        <v>5094</v>
      </c>
      <c r="R550" s="16" t="s" ph="1">
        <v>1998</v>
      </c>
      <c r="S550" s="13" t="s" ph="1">
        <v>5095</v>
      </c>
      <c r="T550" s="13" t="s" ph="1">
        <v>5096</v>
      </c>
      <c r="V550" s="17" ph="1">
        <v>1600</v>
      </c>
    </row>
    <row r="551" spans="3:25" ht="22.5" customHeight="1" ph="1" x14ac:dyDescent="0.35">
      <c r="C551" s="13" t="s" ph="1">
        <v>707</v>
      </c>
      <c r="G551" s="13" t="s" ph="1">
        <v>4758</v>
      </c>
      <c r="H551" s="13" t="s" ph="1">
        <v>709</v>
      </c>
      <c r="I551" s="13" t="s" ph="1">
        <v>15</v>
      </c>
      <c r="K551" s="13" t="s" ph="1">
        <v>4314</v>
      </c>
      <c r="L551" s="13" t="s" ph="1">
        <v>3628</v>
      </c>
      <c r="M551" s="14" t="str" ph="1">
        <f>IFERROR(INDEX([1]!_born[生没年],
MATCH(I551,[1]!_born[作],0)),"")</f>
        <v/>
      </c>
      <c r="N551" s="14" t="str" ph="1">
        <f>IFERROR(INDEX([1]!_born[生没年],
MATCH(K551,[1]!_born[作],0)),"")</f>
        <v/>
      </c>
      <c r="O551" s="13" t="s" ph="1">
        <v>5097</v>
      </c>
      <c r="R551" s="16" t="s" ph="1">
        <v>2110</v>
      </c>
      <c r="S551" s="13" t="s" ph="1">
        <v>5098</v>
      </c>
      <c r="T551" s="13" t="s" ph="1">
        <v>5099</v>
      </c>
      <c r="V551" s="17" ph="1">
        <v>1300</v>
      </c>
      <c r="W551" s="17" ph="1">
        <v>0</v>
      </c>
      <c r="X551" s="5" t="s" ph="1">
        <v>5100</v>
      </c>
      <c r="Y551" s="5" ph="1"/>
    </row>
    <row r="552" spans="3:25" ht="22.5" customHeight="1" ph="1" x14ac:dyDescent="0.35">
      <c r="C552" s="13" t="s" ph="1">
        <v>707</v>
      </c>
      <c r="G552" s="13" t="s" ph="1">
        <v>4758</v>
      </c>
      <c r="H552" s="13" t="s" ph="1">
        <v>709</v>
      </c>
      <c r="I552" s="13" t="s" ph="1">
        <v>248</v>
      </c>
      <c r="K552" s="13" t="s" ph="1">
        <v>5101</v>
      </c>
      <c r="L552" s="13" t="s" ph="1">
        <v>3628</v>
      </c>
      <c r="M552" s="14" t="str" ph="1">
        <f>IFERROR(INDEX([1]!_born[生没年],
MATCH(I552,[1]!_born[作],0)),"")</f>
        <v/>
      </c>
      <c r="N552" s="14" t="str" ph="1">
        <f>IFERROR(INDEX([1]!_born[生没年],
MATCH(K552,[1]!_born[作],0)),"")</f>
        <v/>
      </c>
      <c r="O552" s="13" t="s" ph="1">
        <v>5102</v>
      </c>
      <c r="R552" s="16" t="s" ph="1">
        <v>2111</v>
      </c>
      <c r="T552" s="13" t="s" ph="1">
        <v>5103</v>
      </c>
      <c r="U552" s="16" ph="1">
        <v>36722</v>
      </c>
      <c r="V552" s="17" ph="1">
        <v>1300</v>
      </c>
      <c r="W552" s="17"/>
      <c r="X552" s="5" t="s" ph="1">
        <v>5104</v>
      </c>
      <c r="Y552" s="5" ph="1"/>
    </row>
    <row r="553" spans="3:25" ht="22.5" customHeight="1" ph="1" x14ac:dyDescent="0.35">
      <c r="C553" s="13" t="s" ph="1">
        <v>707</v>
      </c>
      <c r="G553" s="13" t="s" ph="1">
        <v>4758</v>
      </c>
      <c r="H553" s="13" t="s" ph="1">
        <v>709</v>
      </c>
      <c r="I553" s="13" t="s" ph="1">
        <v>16</v>
      </c>
      <c r="K553" s="13" t="s" ph="1">
        <v>5101</v>
      </c>
      <c r="L553" s="13" t="s" ph="1">
        <v>3628</v>
      </c>
      <c r="M553" s="14" t="str" ph="1">
        <f>IFERROR(INDEX([1]!_born[生没年],
MATCH(I553,[1]!_born[作],0)),"")</f>
        <v/>
      </c>
      <c r="N553" s="14" t="str" ph="1">
        <f>IFERROR(INDEX([1]!_born[生没年],
MATCH(K553,[1]!_born[作],0)),"")</f>
        <v/>
      </c>
      <c r="O553" s="13" t="s" ph="1">
        <v>5105</v>
      </c>
      <c r="R553" s="16" t="s" ph="1">
        <v>2112</v>
      </c>
      <c r="S553" s="13" t="s" ph="1">
        <v>5106</v>
      </c>
      <c r="T553" s="13" t="s" ph="1">
        <v>5107</v>
      </c>
      <c r="V553" s="17" ph="1">
        <v>1500</v>
      </c>
    </row>
    <row r="554" spans="3:25" ht="22.5" customHeight="1" ph="1" x14ac:dyDescent="0.35">
      <c r="C554" s="13" t="s" ph="1">
        <v>707</v>
      </c>
      <c r="G554" s="13" t="s" ph="1">
        <v>4758</v>
      </c>
      <c r="H554" s="13" t="s" ph="1">
        <v>709</v>
      </c>
      <c r="I554" s="13" t="s" ph="1">
        <v>16</v>
      </c>
      <c r="K554" s="13" t="s" ph="1">
        <v>5108</v>
      </c>
      <c r="L554" s="13" t="s" ph="1">
        <v>3628</v>
      </c>
      <c r="M554" s="14" t="str" ph="1">
        <f>IFERROR(INDEX([1]!_born[生没年],
MATCH(I554,[1]!_born[作],0)),"")</f>
        <v/>
      </c>
      <c r="N554" s="14" t="str" ph="1">
        <f>IFERROR(INDEX([1]!_born[生没年],
MATCH(K554,[1]!_born[作],0)),"")</f>
        <v/>
      </c>
      <c r="O554" s="13" t="s" ph="1">
        <v>5109</v>
      </c>
      <c r="R554" s="16" t="s" ph="1">
        <v>2113</v>
      </c>
      <c r="S554" s="13" t="s" ph="1">
        <v>5110</v>
      </c>
      <c r="T554" s="13" t="s" ph="1">
        <v>5111</v>
      </c>
      <c r="V554" s="17" ph="1">
        <v>1200</v>
      </c>
    </row>
    <row r="555" spans="3:25" ht="22.5" customHeight="1" ph="1" x14ac:dyDescent="0.35">
      <c r="C555" s="13" t="s" ph="1">
        <v>707</v>
      </c>
      <c r="G555" s="13" t="s" ph="1">
        <v>4758</v>
      </c>
      <c r="H555" s="13" t="s" ph="1">
        <v>709</v>
      </c>
      <c r="I555" s="13" t="s" ph="1">
        <v>16</v>
      </c>
      <c r="K555" s="13" t="s" ph="1">
        <v>5101</v>
      </c>
      <c r="L555" s="13" t="s" ph="1">
        <v>3628</v>
      </c>
      <c r="M555" s="14" t="str" ph="1">
        <f>IFERROR(INDEX([1]!_born[生没年],
MATCH(I555,[1]!_born[作],0)),"")</f>
        <v/>
      </c>
      <c r="N555" s="14" t="str" ph="1">
        <f>IFERROR(INDEX([1]!_born[生没年],
MATCH(K555,[1]!_born[作],0)),"")</f>
        <v/>
      </c>
      <c r="O555" s="13" t="s" ph="1">
        <v>5112</v>
      </c>
      <c r="R555" s="16" t="s" ph="1">
        <v>1005</v>
      </c>
      <c r="S555" s="13" t="s" ph="1">
        <v>5113</v>
      </c>
      <c r="T555" s="13" t="s" ph="1">
        <v>5114</v>
      </c>
      <c r="V555" s="17" ph="1">
        <v>1400</v>
      </c>
      <c r="Y555" s="13" t="s" ph="1">
        <v>5115</v>
      </c>
    </row>
    <row r="556" spans="3:25" ht="22.5" customHeight="1" ph="1" x14ac:dyDescent="0.35">
      <c r="C556" s="13" t="s" ph="1">
        <v>707</v>
      </c>
      <c r="G556" s="13" t="s" ph="1">
        <v>4758</v>
      </c>
      <c r="H556" s="13" t="s" ph="1">
        <v>709</v>
      </c>
      <c r="I556" s="13" t="s" ph="1">
        <v>16</v>
      </c>
      <c r="K556" s="13" t="s" ph="1">
        <v>5108</v>
      </c>
      <c r="L556" s="13" t="s" ph="1">
        <v>3628</v>
      </c>
      <c r="M556" s="14" t="str" ph="1">
        <f>IFERROR(INDEX([1]!_born[生没年],
MATCH(I556,[1]!_born[作],0)),"")</f>
        <v/>
      </c>
      <c r="N556" s="14" t="str" ph="1">
        <f>IFERROR(INDEX([1]!_born[生没年],
MATCH(K556,[1]!_born[作],0)),"")</f>
        <v/>
      </c>
      <c r="O556" s="13" t="s" ph="1">
        <v>170</v>
      </c>
      <c r="R556" s="16" t="s" ph="1">
        <v>1982</v>
      </c>
      <c r="S556" s="13" t="s" ph="1">
        <v>5116</v>
      </c>
      <c r="T556" s="13" t="s" ph="1">
        <v>5117</v>
      </c>
      <c r="V556" s="17" ph="1">
        <v>1200</v>
      </c>
    </row>
    <row r="557" spans="3:25" ht="22.5" customHeight="1" ph="1" x14ac:dyDescent="0.35">
      <c r="C557" s="13" t="s" ph="1">
        <v>707</v>
      </c>
      <c r="G557" s="13" t="s" ph="1">
        <v>4758</v>
      </c>
      <c r="H557" s="13" t="s" ph="1">
        <v>709</v>
      </c>
      <c r="I557" s="13" t="s" ph="1">
        <v>16</v>
      </c>
      <c r="K557" s="13" t="s" ph="1">
        <v>5118</v>
      </c>
      <c r="L557" s="13" t="s" ph="1">
        <v>3628</v>
      </c>
      <c r="M557" s="14" t="str" ph="1">
        <f>IFERROR(INDEX([1]!_born[生没年],
MATCH(I557,[1]!_born[作],0)),"")</f>
        <v/>
      </c>
      <c r="N557" s="14" t="str" ph="1">
        <f>IFERROR(INDEX([1]!_born[生没年],
MATCH(K557,[1]!_born[作],0)),"")</f>
        <v/>
      </c>
      <c r="O557" s="13" t="s" ph="1">
        <v>5119</v>
      </c>
      <c r="R557" s="16" t="s" ph="1">
        <v>2114</v>
      </c>
      <c r="T557" s="13" t="s" ph="1">
        <v>5075</v>
      </c>
      <c r="V557" s="17" ph="1">
        <v>1300</v>
      </c>
    </row>
    <row r="558" spans="3:25" ht="22.5" customHeight="1" ph="1" x14ac:dyDescent="0.35">
      <c r="C558" s="13" t="s" ph="1">
        <v>707</v>
      </c>
      <c r="G558" s="13" t="s" ph="1">
        <v>4758</v>
      </c>
      <c r="H558" s="13" t="s" ph="1">
        <v>709</v>
      </c>
      <c r="I558" s="13" t="s" ph="1">
        <v>16</v>
      </c>
      <c r="K558" s="13" t="s" ph="1">
        <v>5118</v>
      </c>
      <c r="L558" s="13" t="s" ph="1">
        <v>3628</v>
      </c>
      <c r="M558" s="14" t="str" ph="1">
        <f>IFERROR(INDEX([1]!_born[生没年],
MATCH(I558,[1]!_born[作],0)),"")</f>
        <v/>
      </c>
      <c r="N558" s="14" t="str" ph="1">
        <f>IFERROR(INDEX([1]!_born[生没年],
MATCH(K558,[1]!_born[作],0)),"")</f>
        <v/>
      </c>
      <c r="O558" s="13" t="s" ph="1">
        <v>171</v>
      </c>
      <c r="R558" s="16" t="s" ph="1">
        <v>2115</v>
      </c>
      <c r="S558" s="13" t="s" ph="1">
        <v>5120</v>
      </c>
      <c r="T558" s="13" t="s" ph="1">
        <v>5090</v>
      </c>
      <c r="V558" s="17" ph="1">
        <v>1000</v>
      </c>
    </row>
    <row r="559" spans="3:25" ht="22.5" customHeight="1" ph="1" x14ac:dyDescent="0.35">
      <c r="C559" s="13" t="s" ph="1">
        <v>707</v>
      </c>
      <c r="G559" s="13" t="s" ph="1">
        <v>4758</v>
      </c>
      <c r="H559" s="13" t="s" ph="1">
        <v>709</v>
      </c>
      <c r="I559" s="13" t="s" ph="1">
        <v>16</v>
      </c>
      <c r="K559" s="13" t="s" ph="1">
        <v>5118</v>
      </c>
      <c r="L559" s="13" t="s" ph="1">
        <v>3628</v>
      </c>
      <c r="M559" s="14" t="str" ph="1">
        <f>IFERROR(INDEX([1]!_born[生没年],
MATCH(I559,[1]!_born[作],0)),"")</f>
        <v/>
      </c>
      <c r="N559" s="14" t="str" ph="1">
        <f>IFERROR(INDEX([1]!_born[生没年],
MATCH(K559,[1]!_born[作],0)),"")</f>
        <v/>
      </c>
      <c r="O559" s="13" t="s" ph="1">
        <v>5121</v>
      </c>
      <c r="R559" s="16" t="s" ph="1">
        <v>2116</v>
      </c>
      <c r="T559" s="13" t="s" ph="1">
        <v>3958</v>
      </c>
      <c r="V559" s="17" ph="1">
        <v>1500</v>
      </c>
    </row>
    <row r="560" spans="3:25" ht="22.5" customHeight="1" ph="1" x14ac:dyDescent="0.35">
      <c r="C560" s="13" t="s" ph="1">
        <v>707</v>
      </c>
      <c r="G560" s="13" t="s" ph="1">
        <v>4758</v>
      </c>
      <c r="H560" s="13" t="s" ph="1">
        <v>709</v>
      </c>
      <c r="I560" s="13" t="s" ph="1">
        <v>16</v>
      </c>
      <c r="K560" s="13" t="s" ph="1">
        <v>5122</v>
      </c>
      <c r="L560" s="13" t="s" ph="1">
        <v>3628</v>
      </c>
      <c r="M560" s="14" t="str" ph="1">
        <f>IFERROR(INDEX([1]!_born[生没年],
MATCH(I560,[1]!_born[作],0)),"")</f>
        <v/>
      </c>
      <c r="N560" s="14" t="str" ph="1">
        <f>IFERROR(INDEX([1]!_born[生没年],
MATCH(K560,[1]!_born[作],0)),"")</f>
        <v/>
      </c>
      <c r="O560" s="13" t="s" ph="1">
        <v>5123</v>
      </c>
      <c r="R560" s="16" t="s" ph="1">
        <v>2117</v>
      </c>
      <c r="T560" s="13" t="s" ph="1">
        <v>3926</v>
      </c>
      <c r="V560" s="17" ph="1">
        <v>1300</v>
      </c>
    </row>
    <row r="561" spans="3:25" ht="22.5" customHeight="1" ph="1" x14ac:dyDescent="0.35">
      <c r="C561" s="13" t="s" ph="1">
        <v>707</v>
      </c>
      <c r="G561" s="13" t="s" ph="1">
        <v>4758</v>
      </c>
      <c r="H561" s="13" t="s" ph="1">
        <v>709</v>
      </c>
      <c r="I561" s="13" t="s" ph="1">
        <v>16</v>
      </c>
      <c r="K561" s="13" t="s" ph="1">
        <v>5122</v>
      </c>
      <c r="L561" s="13" t="s" ph="1">
        <v>3628</v>
      </c>
      <c r="M561" s="14" t="str" ph="1">
        <f>IFERROR(INDEX([1]!_born[生没年],
MATCH(I561,[1]!_born[作],0)),"")</f>
        <v/>
      </c>
      <c r="N561" s="14" t="str" ph="1">
        <f>IFERROR(INDEX([1]!_born[生没年],
MATCH(K561,[1]!_born[作],0)),"")</f>
        <v/>
      </c>
      <c r="O561" s="13" t="s" ph="1">
        <v>5124</v>
      </c>
      <c r="R561" s="16" t="s" ph="1">
        <v>2118</v>
      </c>
      <c r="S561" s="13" t="s" ph="1">
        <v>5125</v>
      </c>
      <c r="T561" s="13" t="s" ph="1">
        <v>5126</v>
      </c>
      <c r="V561" s="17" ph="1">
        <v>980</v>
      </c>
    </row>
    <row r="562" spans="3:25" ht="22.5" customHeight="1" ph="1" x14ac:dyDescent="0.35">
      <c r="C562" s="13" t="s" ph="1">
        <v>707</v>
      </c>
      <c r="G562" s="13" t="s" ph="1">
        <v>4758</v>
      </c>
      <c r="H562" s="13" t="s" ph="1">
        <v>709</v>
      </c>
      <c r="I562" s="13" t="s" ph="1">
        <v>16</v>
      </c>
      <c r="K562" s="13" t="s" ph="1">
        <v>5118</v>
      </c>
      <c r="L562" s="13" t="s" ph="1">
        <v>3628</v>
      </c>
      <c r="M562" s="14" t="str" ph="1">
        <f>IFERROR(INDEX([1]!_born[生没年],
MATCH(I562,[1]!_born[作],0)),"")</f>
        <v/>
      </c>
      <c r="N562" s="14" t="str" ph="1">
        <f>IFERROR(INDEX([1]!_born[生没年],
MATCH(K562,[1]!_born[作],0)),"")</f>
        <v/>
      </c>
      <c r="O562" s="13" t="s" ph="1">
        <v>5127</v>
      </c>
      <c r="R562" s="16" t="s" ph="1">
        <v>2119</v>
      </c>
      <c r="S562" s="13" t="s" ph="1">
        <v>5128</v>
      </c>
      <c r="T562" s="13" t="s" ph="1">
        <v>3643</v>
      </c>
      <c r="V562" s="17" ph="1">
        <v>1600</v>
      </c>
    </row>
    <row r="563" spans="3:25" ht="22.5" customHeight="1" ph="1" x14ac:dyDescent="0.35">
      <c r="C563" s="13" t="s" ph="1">
        <v>707</v>
      </c>
      <c r="G563" s="13" t="s" ph="1">
        <v>4758</v>
      </c>
      <c r="H563" s="13" t="s" ph="1">
        <v>709</v>
      </c>
      <c r="I563" s="13" t="s" ph="1">
        <v>16</v>
      </c>
      <c r="K563" s="13" t="s" ph="1">
        <v>5108</v>
      </c>
      <c r="L563" s="13" t="s" ph="1">
        <v>3628</v>
      </c>
      <c r="M563" s="14" t="str" ph="1">
        <f>IFERROR(INDEX([1]!_born[生没年],
MATCH(I563,[1]!_born[作],0)),"")</f>
        <v/>
      </c>
      <c r="N563" s="14" t="str" ph="1">
        <f>IFERROR(INDEX([1]!_born[生没年],
MATCH(K563,[1]!_born[作],0)),"")</f>
        <v/>
      </c>
      <c r="O563" s="13" t="s" ph="1">
        <v>5129</v>
      </c>
      <c r="R563" s="16" t="s" ph="1">
        <v>2120</v>
      </c>
      <c r="T563" s="13" t="s" ph="1">
        <v>5130</v>
      </c>
      <c r="U563" s="16" ph="1">
        <v>37017</v>
      </c>
      <c r="V563" s="17" ph="1">
        <f>1700*1.05</f>
        <v>1785</v>
      </c>
      <c r="W563" s="17" ph="1">
        <f>1700*1.05</f>
        <v>1785</v>
      </c>
      <c r="X563" s="13" t="s" ph="1">
        <v>3802</v>
      </c>
    </row>
    <row r="564" spans="3:25" ht="22.5" customHeight="1" ph="1" x14ac:dyDescent="0.35">
      <c r="C564" s="13" t="s" ph="1">
        <v>707</v>
      </c>
      <c r="G564" s="13" t="s" ph="1">
        <v>4758</v>
      </c>
      <c r="H564" s="13" t="s" ph="1">
        <v>709</v>
      </c>
      <c r="I564" s="13" t="s" ph="1">
        <v>243</v>
      </c>
      <c r="K564" s="13" t="s" ph="1">
        <v>5131</v>
      </c>
      <c r="L564" s="13" t="s" ph="1">
        <v>3628</v>
      </c>
      <c r="M564" s="14" t="str" ph="1">
        <f>IFERROR(INDEX([1]!_born[生没年],
MATCH(I564,[1]!_born[作],0)),"")</f>
        <v/>
      </c>
      <c r="N564" s="14" t="str" ph="1">
        <f>IFERROR(INDEX([1]!_born[生没年],
MATCH(K564,[1]!_born[作],0)),"")</f>
        <v/>
      </c>
      <c r="O564" s="13" t="s" ph="1">
        <v>5132</v>
      </c>
      <c r="R564" s="16" t="s" ph="1">
        <v>2121</v>
      </c>
      <c r="S564" s="13" t="s" ph="1">
        <v>5128</v>
      </c>
      <c r="T564" s="13" t="s" ph="1">
        <v>3643</v>
      </c>
      <c r="V564" s="17" ph="1">
        <v>950</v>
      </c>
    </row>
    <row r="565" spans="3:25" ht="22.5" customHeight="1" ph="1" x14ac:dyDescent="0.35">
      <c r="C565" s="13" t="s" ph="1">
        <v>707</v>
      </c>
      <c r="G565" s="13" t="s" ph="1">
        <v>4758</v>
      </c>
      <c r="H565" s="13" t="s" ph="1">
        <v>709</v>
      </c>
      <c r="I565" s="13" t="s" ph="1">
        <v>244</v>
      </c>
      <c r="K565" s="13" t="s" ph="1">
        <v>4078</v>
      </c>
      <c r="L565" s="13" t="s" ph="1">
        <v>3628</v>
      </c>
      <c r="M565" s="14" t="str" ph="1">
        <f>IFERROR(INDEX([1]!_born[生没年],
MATCH(I565,[1]!_born[作],0)),"")</f>
        <v/>
      </c>
      <c r="N565" s="14" t="str" ph="1">
        <f>IFERROR(INDEX([1]!_born[生没年],
MATCH(K565,[1]!_born[作],0)),"")</f>
        <v/>
      </c>
      <c r="O565" s="13" t="s" ph="1">
        <v>5133</v>
      </c>
      <c r="R565" s="16" t="s" ph="1">
        <v>2122</v>
      </c>
      <c r="S565" s="13" t="s" ph="1">
        <v>5128</v>
      </c>
      <c r="T565" s="13" t="s" ph="1">
        <v>3643</v>
      </c>
      <c r="V565" s="17" ph="1">
        <v>1300</v>
      </c>
    </row>
    <row r="566" spans="3:25" ht="22.5" customHeight="1" ph="1" x14ac:dyDescent="0.35">
      <c r="C566" s="13" t="s" ph="1">
        <v>707</v>
      </c>
      <c r="G566" s="13" t="s" ph="1">
        <v>4758</v>
      </c>
      <c r="H566" s="13" t="s" ph="1">
        <v>709</v>
      </c>
      <c r="I566" s="13" t="s" ph="1">
        <v>245</v>
      </c>
      <c r="K566" s="13" t="s" ph="1">
        <v>5134</v>
      </c>
      <c r="L566" s="13" t="s" ph="1">
        <v>3628</v>
      </c>
      <c r="M566" s="14" t="str" ph="1">
        <f>IFERROR(INDEX([1]!_born[生没年],
MATCH(I566,[1]!_born[作],0)),"")</f>
        <v/>
      </c>
      <c r="N566" s="14" t="str" ph="1">
        <f>IFERROR(INDEX([1]!_born[生没年],
MATCH(K566,[1]!_born[作],0)),"")</f>
        <v/>
      </c>
      <c r="O566" s="13" t="s" ph="1">
        <v>5135</v>
      </c>
      <c r="R566" s="16" t="s" ph="1">
        <v>5136</v>
      </c>
      <c r="T566" s="13" t="s" ph="1">
        <v>3643</v>
      </c>
      <c r="V566" s="17" ph="1">
        <v>1600</v>
      </c>
    </row>
    <row r="567" spans="3:25" ht="22.5" customHeight="1" ph="1" x14ac:dyDescent="0.35">
      <c r="C567" s="13" t="s" ph="1">
        <v>707</v>
      </c>
      <c r="G567" s="13" t="s" ph="1">
        <v>4758</v>
      </c>
      <c r="H567" s="13" t="s" ph="1">
        <v>709</v>
      </c>
      <c r="I567" s="15" t="s" ph="1">
        <v>5137</v>
      </c>
      <c r="K567" s="13" t="s" ph="1">
        <v>5138</v>
      </c>
      <c r="L567" s="13" t="s" ph="1">
        <v>3628</v>
      </c>
      <c r="M567" s="14" t="str" ph="1">
        <f>IFERROR(INDEX([1]!_born[生没年],
MATCH(I567,[1]!_born[作],0)),"")</f>
        <v/>
      </c>
      <c r="N567" s="14" t="str" ph="1">
        <f>IFERROR(INDEX([1]!_born[生没年],
MATCH(K567,[1]!_born[作],0)),"")</f>
        <v/>
      </c>
      <c r="O567" s="15" t="s" ph="1">
        <v>5139</v>
      </c>
      <c r="R567" s="16" t="s" ph="1">
        <v>801</v>
      </c>
      <c r="T567" s="13" t="s" ph="1">
        <v>5140</v>
      </c>
      <c r="U567" s="16" t="s" ph="1">
        <v>706</v>
      </c>
      <c r="V567" s="17" ph="1">
        <v>750</v>
      </c>
      <c r="W567" s="17" ph="1">
        <v>600</v>
      </c>
    </row>
    <row r="568" spans="3:25" ht="22.5" customHeight="1" ph="1" x14ac:dyDescent="0.35">
      <c r="C568" s="13" t="s" ph="1">
        <v>707</v>
      </c>
      <c r="G568" s="13" t="s" ph="1">
        <v>4758</v>
      </c>
      <c r="H568" s="13" t="s" ph="1">
        <v>709</v>
      </c>
      <c r="I568" s="13" t="s" ph="1">
        <v>607</v>
      </c>
      <c r="K568" s="13" t="s" ph="1">
        <v>5134</v>
      </c>
      <c r="L568" s="13" t="s" ph="1">
        <v>3628</v>
      </c>
      <c r="M568" s="14" t="str" ph="1">
        <f>IFERROR(INDEX([1]!_born[生没年],
MATCH(I568,[1]!_born[作],0)),"")</f>
        <v/>
      </c>
      <c r="N568" s="14" t="str" ph="1">
        <f>IFERROR(INDEX([1]!_born[生没年],
MATCH(K568,[1]!_born[作],0)),"")</f>
        <v/>
      </c>
      <c r="O568" s="13" t="s" ph="1">
        <v>5141</v>
      </c>
      <c r="R568" s="16" t="s" ph="1">
        <v>2123</v>
      </c>
      <c r="T568" s="13" t="s" ph="1">
        <v>3780</v>
      </c>
      <c r="V568" s="17" ph="1">
        <v>600</v>
      </c>
      <c r="W568" s="17" ph="1">
        <v>400</v>
      </c>
      <c r="X568" s="5" t="s" ph="1">
        <v>4937</v>
      </c>
      <c r="Y568" s="5" ph="1"/>
    </row>
    <row r="569" spans="3:25" ht="22.5" customHeight="1" ph="1" x14ac:dyDescent="0.35">
      <c r="C569" s="13" t="s" ph="1">
        <v>707</v>
      </c>
      <c r="G569" s="13" t="s" ph="1">
        <v>4758</v>
      </c>
      <c r="H569" s="13" t="s" ph="1">
        <v>709</v>
      </c>
      <c r="I569" s="13" t="s" ph="1">
        <v>607</v>
      </c>
      <c r="K569" s="13" t="s" ph="1">
        <v>5134</v>
      </c>
      <c r="L569" s="13" t="s" ph="1">
        <v>3628</v>
      </c>
      <c r="M569" s="14" t="str" ph="1">
        <f>IFERROR(INDEX([1]!_born[生没年],
MATCH(I569,[1]!_born[作],0)),"")</f>
        <v/>
      </c>
      <c r="N569" s="14" t="str" ph="1">
        <f>IFERROR(INDEX([1]!_born[生没年],
MATCH(K569,[1]!_born[作],0)),"")</f>
        <v/>
      </c>
      <c r="O569" s="13" t="s" ph="1">
        <v>5142</v>
      </c>
      <c r="R569" s="16" t="s" ph="1">
        <v>2124</v>
      </c>
      <c r="T569" s="13" t="s" ph="1">
        <v>3780</v>
      </c>
      <c r="V569" s="17" ph="1">
        <v>750</v>
      </c>
      <c r="W569" s="17"/>
      <c r="X569" s="5" t="s" ph="1">
        <v>3608</v>
      </c>
      <c r="Y569" s="5" ph="1"/>
    </row>
    <row r="570" spans="3:25" ht="22.5" customHeight="1" ph="1" x14ac:dyDescent="0.35">
      <c r="C570" s="13" t="s" ph="1">
        <v>707</v>
      </c>
      <c r="G570" s="13" t="s" ph="1">
        <v>4758</v>
      </c>
      <c r="H570" s="13" t="s" ph="1">
        <v>1035</v>
      </c>
      <c r="I570" s="13" t="s" ph="1">
        <v>20</v>
      </c>
      <c r="K570" s="13" t="s" ph="1">
        <v>5143</v>
      </c>
      <c r="L570" s="13" t="s" ph="1">
        <v>3628</v>
      </c>
      <c r="M570" s="14" t="str" ph="1">
        <f>IFERROR(INDEX([1]!_born[生没年],
MATCH(I570,[1]!_born[作],0)),"")</f>
        <v/>
      </c>
      <c r="N570" s="14" t="str" ph="1">
        <f>IFERROR(INDEX([1]!_born[生没年],
MATCH(K570,[1]!_born[作],0)),"")</f>
        <v/>
      </c>
      <c r="O570" s="13" t="s" ph="1">
        <v>5144</v>
      </c>
      <c r="R570" s="16" t="s" ph="1">
        <v>2125</v>
      </c>
      <c r="T570" s="13" t="s" ph="1">
        <v>3780</v>
      </c>
      <c r="V570" s="17" ph="1">
        <v>850</v>
      </c>
    </row>
    <row r="571" spans="3:25" ht="22.5" customHeight="1" ph="1" x14ac:dyDescent="0.35">
      <c r="C571" s="13" t="s" ph="1">
        <v>707</v>
      </c>
      <c r="G571" s="13" t="s" ph="1">
        <v>4758</v>
      </c>
      <c r="H571" s="13" t="s" ph="1">
        <v>709</v>
      </c>
      <c r="I571" s="13" t="s" ph="1">
        <v>246</v>
      </c>
      <c r="K571" s="13" t="s" ph="1">
        <v>5145</v>
      </c>
      <c r="L571" s="13" t="s" ph="1">
        <v>3628</v>
      </c>
      <c r="M571" s="14" t="str" ph="1">
        <f>IFERROR(INDEX([1]!_born[生没年],
MATCH(I571,[1]!_born[作],0)),"")</f>
        <v/>
      </c>
      <c r="N571" s="14" t="str" ph="1">
        <f>IFERROR(INDEX([1]!_born[生没年],
MATCH(K571,[1]!_born[作],0)),"")</f>
        <v/>
      </c>
      <c r="O571" s="13" t="s" ph="1">
        <v>5146</v>
      </c>
      <c r="R571" s="16" t="s" ph="1">
        <v>278</v>
      </c>
      <c r="T571" s="13" t="s" ph="1">
        <v>5147</v>
      </c>
      <c r="V571" s="17" ph="1">
        <v>2000</v>
      </c>
    </row>
    <row r="572" spans="3:25" ht="22.5" customHeight="1" ph="1" x14ac:dyDescent="0.35">
      <c r="C572" s="13" t="s" ph="1">
        <v>707</v>
      </c>
      <c r="G572" s="13" t="s" ph="1">
        <v>4758</v>
      </c>
      <c r="H572" s="13" t="s" ph="1">
        <v>709</v>
      </c>
      <c r="I572" s="13" t="s" ph="1">
        <v>90</v>
      </c>
      <c r="K572" s="13" t="s" ph="1">
        <v>5148</v>
      </c>
      <c r="L572" s="13" t="s" ph="1">
        <v>3628</v>
      </c>
      <c r="M572" s="14" t="str" ph="1">
        <f>IFERROR(INDEX([1]!_born[生没年],
MATCH(I572,[1]!_born[作],0)),"")</f>
        <v/>
      </c>
      <c r="N572" s="14" t="str" ph="1">
        <f>IFERROR(INDEX([1]!_born[生没年],
MATCH(K572,[1]!_born[作],0)),"")</f>
        <v/>
      </c>
      <c r="O572" s="13" t="s" ph="1">
        <v>33</v>
      </c>
      <c r="R572" s="16" t="s" ph="1">
        <v>958</v>
      </c>
      <c r="T572" s="13" t="s" ph="1">
        <v>34</v>
      </c>
      <c r="U572" s="16" ph="1">
        <v>36923</v>
      </c>
      <c r="V572" s="17" ph="1">
        <f>1000*1.05</f>
        <v>1050</v>
      </c>
      <c r="W572" s="17" ph="1">
        <f>1000*1.05</f>
        <v>1050</v>
      </c>
    </row>
    <row r="573" spans="3:25" ht="22.5" customHeight="1" ph="1" x14ac:dyDescent="0.35">
      <c r="C573" s="13" t="s" ph="1">
        <v>707</v>
      </c>
      <c r="G573" s="13" t="s" ph="1">
        <v>4758</v>
      </c>
      <c r="H573" s="13" t="s" ph="1">
        <v>709</v>
      </c>
      <c r="I573" s="13" t="s" ph="1">
        <v>90</v>
      </c>
      <c r="K573" s="13" t="s" ph="1">
        <v>5149</v>
      </c>
      <c r="L573" s="13" t="s" ph="1">
        <v>3628</v>
      </c>
      <c r="M573" s="14" t="str" ph="1">
        <f>IFERROR(INDEX([1]!_born[生没年],
MATCH(I573,[1]!_born[作],0)),"")</f>
        <v/>
      </c>
      <c r="N573" s="14" t="str" ph="1">
        <f>IFERROR(INDEX([1]!_born[生没年],
MATCH(K573,[1]!_born[作],0)),"")</f>
        <v/>
      </c>
      <c r="O573" s="13" t="s" ph="1">
        <v>593</v>
      </c>
      <c r="R573" s="16" t="s" ph="1">
        <v>2126</v>
      </c>
      <c r="T573" s="13" t="s" ph="1">
        <v>4880</v>
      </c>
      <c r="U573" s="16" ph="1">
        <v>37142</v>
      </c>
      <c r="V573" s="17" ph="1">
        <v>2500</v>
      </c>
      <c r="W573" s="17" ph="1">
        <v>1000</v>
      </c>
      <c r="X573" s="13" t="s" ph="1">
        <v>4585</v>
      </c>
    </row>
    <row r="574" spans="3:25" ht="22.5" customHeight="1" ph="1" x14ac:dyDescent="0.35">
      <c r="C574" s="13" t="s" ph="1">
        <v>707</v>
      </c>
      <c r="G574" s="13" t="s" ph="1">
        <v>4758</v>
      </c>
      <c r="H574" s="13" t="s" ph="1">
        <v>5150</v>
      </c>
      <c r="I574" s="13" t="s" ph="1">
        <v>400</v>
      </c>
      <c r="K574" s="13" t="s" ph="1">
        <v>5151</v>
      </c>
      <c r="L574" s="13" t="s" ph="1">
        <v>3628</v>
      </c>
      <c r="M574" s="14" t="str" ph="1">
        <f>IFERROR(INDEX([1]!_born[生没年],
MATCH(I574,[1]!_born[作],0)),"")</f>
        <v/>
      </c>
      <c r="N574" s="14" t="str" ph="1">
        <f>IFERROR(INDEX([1]!_born[生没年],
MATCH(K574,[1]!_born[作],0)),"")</f>
        <v/>
      </c>
      <c r="O574" s="13" t="s" ph="1">
        <v>5152</v>
      </c>
      <c r="R574" s="16" t="s" ph="1">
        <v>2127</v>
      </c>
      <c r="T574" s="13" t="s" ph="1">
        <v>5153</v>
      </c>
      <c r="U574" s="16" ph="1">
        <v>37427</v>
      </c>
      <c r="V574" s="17" ph="1">
        <v>2000</v>
      </c>
      <c r="X574" s="13" t="s" ph="1">
        <v>3802</v>
      </c>
    </row>
    <row r="575" spans="3:25" ht="22.5" customHeight="1" ph="1" x14ac:dyDescent="0.35">
      <c r="C575" s="13" t="s" ph="1">
        <v>707</v>
      </c>
      <c r="G575" s="13" t="s" ph="1">
        <v>4758</v>
      </c>
      <c r="H575" s="13" t="s" ph="1">
        <v>5154</v>
      </c>
      <c r="I575" s="13" t="s" ph="1">
        <v>594</v>
      </c>
      <c r="K575" s="13" t="s" ph="1">
        <v>5155</v>
      </c>
      <c r="L575" s="13" t="s" ph="1">
        <v>3628</v>
      </c>
      <c r="M575" s="14" t="str" ph="1">
        <f>IFERROR(INDEX([1]!_born[生没年],
MATCH(I575,[1]!_born[作],0)),"")</f>
        <v/>
      </c>
      <c r="N575" s="14" t="str" ph="1">
        <f>IFERROR(INDEX([1]!_born[生没年],
MATCH(K575,[1]!_born[作],0)),"")</f>
        <v/>
      </c>
      <c r="O575" s="13" t="s" ph="1">
        <v>5156</v>
      </c>
      <c r="R575" s="16" t="s" ph="1">
        <v>927</v>
      </c>
      <c r="T575" s="13" t="s" ph="1">
        <v>3958</v>
      </c>
      <c r="U575" s="16" ph="1">
        <v>37427</v>
      </c>
      <c r="V575" s="17" ph="1">
        <f>2500*1.05</f>
        <v>2625</v>
      </c>
      <c r="X575" s="13" t="s" ph="1">
        <v>3802</v>
      </c>
    </row>
    <row r="576" spans="3:25" ht="22.5" customHeight="1" ph="1" x14ac:dyDescent="0.35">
      <c r="C576" s="13" t="s" ph="1">
        <v>707</v>
      </c>
      <c r="G576" s="13" t="s" ph="1">
        <v>4758</v>
      </c>
      <c r="H576" s="13" t="s" ph="1">
        <v>709</v>
      </c>
      <c r="I576" s="13" t="s" ph="1">
        <v>91</v>
      </c>
      <c r="K576" s="13" t="s" ph="1">
        <v>5157</v>
      </c>
      <c r="L576" s="13" t="s" ph="1">
        <v>3628</v>
      </c>
      <c r="M576" s="14" t="str" ph="1">
        <f>IFERROR(INDEX([1]!_born[生没年],
MATCH(I576,[1]!_born[作],0)),"")</f>
        <v/>
      </c>
      <c r="N576" s="14" t="str" ph="1">
        <f>IFERROR(INDEX([1]!_born[生没年],
MATCH(K576,[1]!_born[作],0)),"")</f>
        <v/>
      </c>
      <c r="O576" s="13" t="s" ph="1">
        <v>5158</v>
      </c>
      <c r="R576" s="16" t="s" ph="1">
        <v>5159</v>
      </c>
      <c r="T576" s="13" t="s" ph="1">
        <v>3958</v>
      </c>
      <c r="V576" s="17" ph="1">
        <v>2400</v>
      </c>
      <c r="Y576" s="13" t="s" ph="1">
        <v>5160</v>
      </c>
    </row>
    <row r="577" spans="3:25" ht="22.5" customHeight="1" ph="1" x14ac:dyDescent="0.35">
      <c r="C577" s="13" t="s" ph="1">
        <v>707</v>
      </c>
      <c r="G577" s="13" t="s" ph="1">
        <v>4758</v>
      </c>
      <c r="H577" s="13" t="s" ph="1">
        <v>709</v>
      </c>
      <c r="I577" s="13" t="s" ph="1">
        <v>122</v>
      </c>
      <c r="K577" s="13" t="s" ph="1">
        <v>5161</v>
      </c>
      <c r="L577" s="13" t="s" ph="1">
        <v>3628</v>
      </c>
      <c r="M577" s="14" t="str" ph="1">
        <f>IFERROR(INDEX([1]!_born[生没年],
MATCH(I577,[1]!_born[作],0)),"")</f>
        <v/>
      </c>
      <c r="N577" s="14" t="str" ph="1">
        <f>IFERROR(INDEX([1]!_born[生没年],
MATCH(K577,[1]!_born[作],0)),"")</f>
        <v/>
      </c>
      <c r="O577" s="13" t="s" ph="1">
        <v>5162</v>
      </c>
      <c r="R577" s="16" t="s" ph="1">
        <v>5163</v>
      </c>
      <c r="T577" s="13" t="s" ph="1">
        <v>3958</v>
      </c>
      <c r="V577" s="17" ph="1">
        <f>2900*1.05</f>
        <v>3045</v>
      </c>
    </row>
    <row r="578" spans="3:25" ht="22.5" customHeight="1" ph="1" x14ac:dyDescent="0.35">
      <c r="C578" s="13" t="s" ph="1">
        <v>707</v>
      </c>
      <c r="G578" s="13" t="s" ph="1">
        <v>4758</v>
      </c>
      <c r="H578" s="13" t="s" ph="1">
        <v>1035</v>
      </c>
      <c r="I578" s="15" t="s" ph="1">
        <v>240</v>
      </c>
      <c r="K578" s="13" t="s" ph="1">
        <v>5164</v>
      </c>
      <c r="L578" s="13" t="s" ph="1">
        <v>3628</v>
      </c>
      <c r="M578" s="14" t="str" ph="1">
        <f>IFERROR(INDEX([1]!_born[生没年],
MATCH(I578,[1]!_born[作],0)),"")</f>
        <v/>
      </c>
      <c r="N578" s="14" t="str" ph="1">
        <f>IFERROR(INDEX([1]!_born[生没年],
MATCH(K578,[1]!_born[作],0)),"")</f>
        <v/>
      </c>
      <c r="O578" s="13" t="s" ph="1">
        <v>5165</v>
      </c>
      <c r="R578" s="16" t="s" ph="1">
        <v>2128</v>
      </c>
      <c r="S578" s="13" t="s" ph="1">
        <v>5166</v>
      </c>
      <c r="T578" s="13" t="s" ph="1">
        <v>3780</v>
      </c>
      <c r="V578" s="17" ph="1">
        <v>450</v>
      </c>
      <c r="W578" s="17" ph="1">
        <v>2000</v>
      </c>
    </row>
    <row r="579" spans="3:25" ht="22.5" customHeight="1" ph="1" x14ac:dyDescent="0.35">
      <c r="C579" s="13" t="s" ph="1">
        <v>707</v>
      </c>
      <c r="G579" s="13" t="s" ph="1">
        <v>4758</v>
      </c>
      <c r="H579" s="13" t="s" ph="1">
        <v>1035</v>
      </c>
      <c r="I579" s="15" t="s" ph="1">
        <v>241</v>
      </c>
      <c r="K579" s="13" t="s" ph="1">
        <v>5167</v>
      </c>
      <c r="L579" s="13" t="s" ph="1">
        <v>3628</v>
      </c>
      <c r="M579" s="14" t="str" ph="1">
        <f>IFERROR(INDEX([1]!_born[生没年],
MATCH(I579,[1]!_born[作],0)),"")</f>
        <v/>
      </c>
      <c r="N579" s="14" t="str" ph="1">
        <f>IFERROR(INDEX([1]!_born[生没年],
MATCH(K579,[1]!_born[作],0)),"")</f>
        <v/>
      </c>
      <c r="O579" s="13" t="s" ph="1">
        <v>5168</v>
      </c>
      <c r="R579" s="16" t="s" ph="1">
        <v>2129</v>
      </c>
      <c r="T579" s="13" t="s" ph="1">
        <v>3643</v>
      </c>
      <c r="V579" s="17" ph="1">
        <v>2800</v>
      </c>
    </row>
    <row r="580" spans="3:25" ht="22.5" customHeight="1" ph="1" x14ac:dyDescent="0.35">
      <c r="C580" s="13" t="s" ph="1">
        <v>707</v>
      </c>
      <c r="G580" s="13" t="s" ph="1">
        <v>4758</v>
      </c>
      <c r="H580" s="13" t="s" ph="1">
        <v>1035</v>
      </c>
      <c r="I580" s="15" t="s" ph="1">
        <v>240</v>
      </c>
      <c r="K580" s="13" t="s" ph="1">
        <v>5071</v>
      </c>
      <c r="L580" s="13" t="s" ph="1">
        <v>3628</v>
      </c>
      <c r="M580" s="14" t="str" ph="1">
        <f>IFERROR(INDEX([1]!_born[生没年],
MATCH(I580,[1]!_born[作],0)),"")</f>
        <v/>
      </c>
      <c r="N580" s="14" t="str" ph="1">
        <f>IFERROR(INDEX([1]!_born[生没年],
MATCH(K580,[1]!_born[作],0)),"")</f>
        <v/>
      </c>
      <c r="O580" s="13" t="s" ph="1">
        <v>5169</v>
      </c>
      <c r="R580" s="16" t="s" ph="1">
        <v>2130</v>
      </c>
      <c r="S580" s="13" t="s" ph="1">
        <v>5170</v>
      </c>
      <c r="T580" s="13" t="s" ph="1">
        <v>3958</v>
      </c>
      <c r="V580" s="17" ph="1">
        <v>1800</v>
      </c>
    </row>
    <row r="581" spans="3:25" ht="22.5" customHeight="1" ph="1" x14ac:dyDescent="0.35">
      <c r="C581" s="13" t="s" ph="1">
        <v>707</v>
      </c>
      <c r="G581" s="13" t="s" ph="1">
        <v>4758</v>
      </c>
      <c r="H581" s="13" t="s" ph="1">
        <v>1035</v>
      </c>
      <c r="I581" s="15" t="s" ph="1">
        <v>241</v>
      </c>
      <c r="K581" s="13" t="s" ph="1">
        <v>3951</v>
      </c>
      <c r="L581" s="13" t="s" ph="1">
        <v>3628</v>
      </c>
      <c r="M581" s="14" t="str" ph="1">
        <f>IFERROR(INDEX([1]!_born[生没年],
MATCH(I581,[1]!_born[作],0)),"")</f>
        <v/>
      </c>
      <c r="N581" s="14" t="str" ph="1">
        <f>IFERROR(INDEX([1]!_born[生没年],
MATCH(K581,[1]!_born[作],0)),"")</f>
        <v/>
      </c>
      <c r="O581" s="13" t="s" ph="1">
        <v>5171</v>
      </c>
      <c r="R581" s="16" t="s" ph="1">
        <v>2131</v>
      </c>
      <c r="T581" s="13" t="s" ph="1">
        <v>3958</v>
      </c>
      <c r="V581" s="17" ph="1">
        <v>1900</v>
      </c>
    </row>
    <row r="582" spans="3:25" ht="22.5" customHeight="1" ph="1" x14ac:dyDescent="0.35">
      <c r="C582" s="13" t="s" ph="1">
        <v>707</v>
      </c>
      <c r="G582" s="13" t="s" ph="1">
        <v>4758</v>
      </c>
      <c r="H582" s="13" t="s" ph="1">
        <v>1035</v>
      </c>
      <c r="I582" s="13" t="s" ph="1">
        <v>276</v>
      </c>
      <c r="K582" s="13" t="s" ph="1">
        <v>5172</v>
      </c>
      <c r="L582" s="13" t="s" ph="1">
        <v>3628</v>
      </c>
      <c r="M582" s="14" t="str" ph="1">
        <f>IFERROR(INDEX([1]!_born[生没年],
MATCH(I582,[1]!_born[作],0)),"")</f>
        <v/>
      </c>
      <c r="N582" s="14" t="str" ph="1">
        <f>IFERROR(INDEX([1]!_born[生没年],
MATCH(K582,[1]!_born[作],0)),"")</f>
        <v/>
      </c>
      <c r="O582" s="13" t="s" ph="1">
        <v>5173</v>
      </c>
      <c r="R582" s="16" t="s" ph="1">
        <v>1989</v>
      </c>
      <c r="T582" s="13" t="s" ph="1">
        <v>5126</v>
      </c>
      <c r="V582" s="17" ph="1">
        <v>1300</v>
      </c>
      <c r="W582" s="17" ph="1">
        <v>1000</v>
      </c>
      <c r="X582" s="5" t="s" ph="1">
        <v>5174</v>
      </c>
      <c r="Y582" s="5" ph="1"/>
    </row>
    <row r="583" spans="3:25" ht="22.5" customHeight="1" ph="1" x14ac:dyDescent="0.35">
      <c r="C583" s="13" t="s" ph="1">
        <v>707</v>
      </c>
      <c r="G583" s="13" t="s" ph="1">
        <v>3599</v>
      </c>
      <c r="H583" s="13" t="s" ph="1">
        <v>1035</v>
      </c>
      <c r="I583" s="13" t="s" ph="1">
        <v>276</v>
      </c>
      <c r="K583" s="13" t="s" ph="1">
        <v>5175</v>
      </c>
      <c r="L583" s="13" t="s" ph="1">
        <v>3628</v>
      </c>
      <c r="M583" s="14" t="str" ph="1">
        <f>IFERROR(INDEX([1]!_born[生没年],
MATCH(I583,[1]!_born[作],0)),"")</f>
        <v/>
      </c>
      <c r="N583" s="14" t="str" ph="1">
        <f>IFERROR(INDEX([1]!_born[生没年],
MATCH(K583,[1]!_born[作],0)),"")</f>
        <v/>
      </c>
      <c r="O583" s="13" t="s" ph="1">
        <v>5176</v>
      </c>
      <c r="R583" s="16" t="s" ph="1">
        <v>2132</v>
      </c>
      <c r="T583" s="13" t="s" ph="1">
        <v>5177</v>
      </c>
      <c r="V583" s="17" ph="1">
        <v>1900</v>
      </c>
      <c r="X583" s="5" ph="1"/>
      <c r="Y583" s="5" ph="1"/>
    </row>
    <row r="584" spans="3:25" ht="22.5" customHeight="1" ph="1" x14ac:dyDescent="0.35">
      <c r="C584" s="13" t="s" ph="1">
        <v>707</v>
      </c>
      <c r="G584" s="13" t="s" ph="1">
        <v>3599</v>
      </c>
      <c r="H584" s="13" t="s" ph="1">
        <v>1035</v>
      </c>
      <c r="I584" s="13" t="s" ph="1">
        <v>276</v>
      </c>
      <c r="K584" s="13" t="s" ph="1">
        <v>5178</v>
      </c>
      <c r="L584" s="13" t="s" ph="1">
        <v>3628</v>
      </c>
      <c r="M584" s="14" t="str" ph="1">
        <f>IFERROR(INDEX([1]!_born[生没年],
MATCH(I584,[1]!_born[作],0)),"")</f>
        <v/>
      </c>
      <c r="N584" s="14" t="str" ph="1">
        <f>IFERROR(INDEX([1]!_born[生没年],
MATCH(K584,[1]!_born[作],0)),"")</f>
        <v/>
      </c>
      <c r="O584" s="13" t="s" ph="1">
        <v>5179</v>
      </c>
      <c r="R584" s="16" t="s" ph="1">
        <v>754</v>
      </c>
      <c r="T584" s="13" t="s" ph="1">
        <v>5180</v>
      </c>
      <c r="V584" s="17" ph="1">
        <v>1200</v>
      </c>
      <c r="W584" s="17" ph="1">
        <v>3000</v>
      </c>
      <c r="X584" s="5" t="s" ph="1">
        <v>5181</v>
      </c>
      <c r="Y584" s="5" ph="1"/>
    </row>
    <row r="585" spans="3:25" ht="22.5" customHeight="1" ph="1" x14ac:dyDescent="0.35">
      <c r="C585" s="13" t="s" ph="1">
        <v>707</v>
      </c>
      <c r="G585" s="13" t="s" ph="1">
        <v>4758</v>
      </c>
      <c r="H585" s="13" t="s" ph="1">
        <v>709</v>
      </c>
      <c r="I585" s="13" t="s" ph="1">
        <v>242</v>
      </c>
      <c r="K585" s="13" t="s" ph="1">
        <v>5182</v>
      </c>
      <c r="L585" s="13" t="s" ph="1">
        <v>3628</v>
      </c>
      <c r="M585" s="14" t="str" ph="1">
        <f>IFERROR(INDEX([1]!_born[生没年],
MATCH(I585,[1]!_born[作],0)),"")</f>
        <v/>
      </c>
      <c r="N585" s="14" t="str" ph="1">
        <f>IFERROR(INDEX([1]!_born[生没年],
MATCH(K585,[1]!_born[作],0)),"")</f>
        <v/>
      </c>
      <c r="O585" s="13" t="s" ph="1">
        <v>5183</v>
      </c>
      <c r="R585" s="16" t="s" ph="1">
        <v>1488</v>
      </c>
      <c r="T585" s="13" t="s" ph="1">
        <v>636</v>
      </c>
      <c r="V585" s="17" ph="1">
        <v>1600</v>
      </c>
      <c r="X585" s="5" ph="1"/>
      <c r="Y585" s="5" ph="1"/>
    </row>
    <row r="586" spans="3:25" ht="22.5" customHeight="1" ph="1" x14ac:dyDescent="0.35">
      <c r="C586" s="13" t="s" ph="1">
        <v>707</v>
      </c>
      <c r="G586" s="13" t="s" ph="1">
        <v>4758</v>
      </c>
      <c r="H586" s="13" t="s" ph="1">
        <v>709</v>
      </c>
      <c r="I586" s="13" t="s" ph="1">
        <v>242</v>
      </c>
      <c r="K586" s="13" t="s" ph="1">
        <v>5184</v>
      </c>
      <c r="L586" s="13" t="s" ph="1">
        <v>3628</v>
      </c>
      <c r="M586" s="14" t="str" ph="1">
        <f>IFERROR(INDEX([1]!_born[生没年],
MATCH(I586,[1]!_born[作],0)),"")</f>
        <v/>
      </c>
      <c r="N586" s="14" t="str" ph="1">
        <f>IFERROR(INDEX([1]!_born[生没年],
MATCH(K586,[1]!_born[作],0)),"")</f>
        <v/>
      </c>
      <c r="O586" s="13" t="s" ph="1">
        <v>5185</v>
      </c>
      <c r="R586" s="16" t="s" ph="1">
        <v>2133</v>
      </c>
      <c r="T586" s="13" t="s" ph="1">
        <v>4961</v>
      </c>
      <c r="V586" s="17" ph="1">
        <v>3090</v>
      </c>
      <c r="X586" s="5" ph="1"/>
      <c r="Y586" s="5" ph="1"/>
    </row>
    <row r="587" spans="3:25" ht="22.5" customHeight="1" ph="1" x14ac:dyDescent="0.35">
      <c r="C587" s="13" t="s" ph="1">
        <v>707</v>
      </c>
      <c r="G587" s="13" t="s" ph="1">
        <v>4758</v>
      </c>
      <c r="H587" s="13" t="s" ph="1">
        <v>709</v>
      </c>
      <c r="I587" s="13" t="s" ph="1">
        <v>242</v>
      </c>
      <c r="K587" s="13" t="s" ph="1">
        <v>5186</v>
      </c>
      <c r="L587" s="13" t="s" ph="1">
        <v>5187</v>
      </c>
      <c r="M587" s="14" t="str" ph="1">
        <f>IFERROR(INDEX([1]!_born[生没年],
MATCH(I587,[1]!_born[作],0)),"")</f>
        <v/>
      </c>
      <c r="N587" s="14" t="str" ph="1">
        <f>IFERROR(INDEX([1]!_born[生没年],
MATCH(K587,[1]!_born[作],0)),"")</f>
        <v/>
      </c>
      <c r="O587" s="13" t="s" ph="1">
        <v>5188</v>
      </c>
      <c r="R587" s="16" t="s" ph="1">
        <v>2134</v>
      </c>
      <c r="S587" s="13" t="s" ph="1">
        <v>5189</v>
      </c>
      <c r="T587" s="13" t="s" ph="1">
        <v>5190</v>
      </c>
      <c r="V587" s="17" ph="1">
        <f>1300*1.05</f>
        <v>1365</v>
      </c>
      <c r="X587" s="5" ph="1"/>
      <c r="Y587" s="5" ph="1"/>
    </row>
    <row r="588" spans="3:25" ht="22.5" customHeight="1" ph="1" x14ac:dyDescent="0.35">
      <c r="C588" s="13" t="s" ph="1">
        <v>707</v>
      </c>
      <c r="G588" s="13" t="s" ph="1">
        <v>4758</v>
      </c>
      <c r="H588" s="13" t="s" ph="1">
        <v>709</v>
      </c>
      <c r="I588" s="13" t="s" ph="1">
        <v>5191</v>
      </c>
      <c r="J588" s="13" t="s" ph="1">
        <v>5192</v>
      </c>
      <c r="K588" s="13" t="s" ph="1">
        <v>5193</v>
      </c>
      <c r="L588" s="13" t="s" ph="1">
        <v>3628</v>
      </c>
      <c r="M588" s="14" t="str" ph="1">
        <f>IFERROR(INDEX([1]!_born[生没年],
MATCH(I588,[1]!_born[作],0)),"")</f>
        <v/>
      </c>
      <c r="N588" s="14" t="str" ph="1">
        <f>IFERROR(INDEX([1]!_born[生没年],
MATCH(K588,[1]!_born[作],0)),"")</f>
        <v/>
      </c>
      <c r="O588" s="13" t="s" ph="1">
        <v>5194</v>
      </c>
      <c r="R588" s="16" t="s" ph="1">
        <v>776</v>
      </c>
      <c r="S588" s="13" t="s" ph="1">
        <v>2135</v>
      </c>
      <c r="T588" s="13" t="s" ph="1">
        <v>3761</v>
      </c>
      <c r="V588" s="17" ph="1">
        <v>2060</v>
      </c>
      <c r="W588" s="17" ph="1">
        <v>1500</v>
      </c>
      <c r="X588" s="5" t="s" ph="1">
        <v>4937</v>
      </c>
      <c r="Y588" s="5" ph="1"/>
    </row>
    <row r="589" spans="3:25" ht="22.5" customHeight="1" ph="1" x14ac:dyDescent="0.35">
      <c r="C589" s="13" t="s" ph="1">
        <v>707</v>
      </c>
      <c r="G589" s="13" t="s" ph="1">
        <v>3599</v>
      </c>
      <c r="H589" s="13" t="s" ph="1">
        <v>709</v>
      </c>
      <c r="I589" s="13" t="s" ph="1">
        <v>122</v>
      </c>
      <c r="K589" s="13" t="s" ph="1">
        <v>5195</v>
      </c>
      <c r="L589" s="13" t="s" ph="1">
        <v>5196</v>
      </c>
      <c r="M589" s="14" t="str" ph="1">
        <f>IFERROR(INDEX([1]!_born[生没年],
MATCH(I589,[1]!_born[作],0)),"")</f>
        <v/>
      </c>
      <c r="N589" s="14" t="str" ph="1">
        <f>IFERROR(INDEX([1]!_born[生没年],
MATCH(K589,[1]!_born[作],0)),"")</f>
        <v/>
      </c>
      <c r="O589" s="13" t="s" ph="1">
        <v>5197</v>
      </c>
      <c r="R589" s="16" t="s" ph="1">
        <v>1488</v>
      </c>
      <c r="T589" s="13" t="s" ph="1">
        <v>3768</v>
      </c>
      <c r="V589" s="17" ph="1">
        <v>2000</v>
      </c>
      <c r="W589" s="17" ph="1">
        <v>1200</v>
      </c>
      <c r="X589" s="5" t="s" ph="1">
        <v>4937</v>
      </c>
      <c r="Y589" s="5" ph="1"/>
    </row>
    <row r="590" spans="3:25" ht="22.5" customHeight="1" ph="1" x14ac:dyDescent="0.35">
      <c r="C590" s="13" t="s" ph="1">
        <v>4106</v>
      </c>
      <c r="G590" s="13" t="s" ph="1">
        <v>4758</v>
      </c>
      <c r="H590" s="13" t="s" ph="1">
        <v>709</v>
      </c>
      <c r="I590" s="13" t="s" ph="1">
        <v>122</v>
      </c>
      <c r="K590" s="13" t="s" ph="1">
        <v>5198</v>
      </c>
      <c r="L590" s="13" t="s" ph="1">
        <v>5199</v>
      </c>
      <c r="M590" s="14" t="str" ph="1">
        <f>IFERROR(INDEX([1]!_born[生没年],
MATCH(I590,[1]!_born[作],0)),"")</f>
        <v/>
      </c>
      <c r="N590" s="14" t="str" ph="1">
        <f>IFERROR(INDEX([1]!_born[生没年],
MATCH(K590,[1]!_born[作],0)),"")</f>
        <v/>
      </c>
      <c r="O590" s="13" t="s" ph="1">
        <v>354</v>
      </c>
      <c r="R590" s="16" t="s" ph="1">
        <v>1488</v>
      </c>
      <c r="T590" s="13" t="s" ph="1">
        <v>3768</v>
      </c>
      <c r="V590" s="17" ph="1">
        <v>1200</v>
      </c>
    </row>
    <row r="591" spans="3:25" ht="22.5" customHeight="1" ph="1" x14ac:dyDescent="0.35">
      <c r="C591" s="13" t="s" ph="1">
        <v>4106</v>
      </c>
      <c r="G591" s="13" t="s" ph="1">
        <v>4758</v>
      </c>
      <c r="H591" s="13" t="s" ph="1">
        <v>709</v>
      </c>
      <c r="I591" s="13" t="s" ph="1">
        <v>122</v>
      </c>
      <c r="K591" s="13" t="s" ph="1">
        <v>5161</v>
      </c>
      <c r="L591" s="13" t="s" ph="1">
        <v>3628</v>
      </c>
      <c r="M591" s="14" t="str" ph="1">
        <f>IFERROR(INDEX([1]!_born[生没年],
MATCH(I591,[1]!_born[作],0)),"")</f>
        <v/>
      </c>
      <c r="N591" s="14" t="str" ph="1">
        <f>IFERROR(INDEX([1]!_born[生没年],
MATCH(K591,[1]!_born[作],0)),"")</f>
        <v/>
      </c>
      <c r="O591" s="13" t="s" ph="1">
        <v>388</v>
      </c>
      <c r="R591" s="16" t="s" ph="1">
        <v>776</v>
      </c>
      <c r="S591" s="13" t="s" ph="1">
        <v>5200</v>
      </c>
      <c r="T591" s="13" t="s" ph="1">
        <v>3768</v>
      </c>
      <c r="V591" s="17" ph="1">
        <v>2000</v>
      </c>
    </row>
    <row r="592" spans="3:25" ht="22.5" customHeight="1" ph="1" x14ac:dyDescent="0.35">
      <c r="C592" s="13" t="s" ph="1">
        <v>4106</v>
      </c>
      <c r="G592" s="13" t="s" ph="1">
        <v>4758</v>
      </c>
      <c r="H592" s="13" t="s" ph="1">
        <v>709</v>
      </c>
      <c r="I592" s="13" t="s" ph="1">
        <v>657</v>
      </c>
      <c r="K592" s="13" t="s" ph="1">
        <v>5201</v>
      </c>
      <c r="L592" s="13" t="s" ph="1">
        <v>3628</v>
      </c>
      <c r="M592" s="14" t="str" ph="1">
        <f>IFERROR(INDEX([1]!_born[生没年],
MATCH(I592,[1]!_born[作],0)),"")</f>
        <v/>
      </c>
      <c r="N592" s="14" t="str" ph="1">
        <f>IFERROR(INDEX([1]!_born[生没年],
MATCH(K592,[1]!_born[作],0)),"")</f>
        <v/>
      </c>
      <c r="O592" s="13" t="s" ph="1">
        <v>5202</v>
      </c>
      <c r="R592" s="16" t="s" ph="1">
        <v>5203</v>
      </c>
      <c r="S592" s="13" t="s" ph="1">
        <v>5200</v>
      </c>
      <c r="T592" s="13" t="s" ph="1">
        <v>3768</v>
      </c>
      <c r="V592" s="17" ph="1">
        <v>1800</v>
      </c>
    </row>
    <row r="593" spans="1:25" ht="22.5" customHeight="1" ph="1" x14ac:dyDescent="0.35">
      <c r="C593" s="13" t="s" ph="1">
        <v>4106</v>
      </c>
      <c r="G593" s="13" t="s" ph="1">
        <v>4758</v>
      </c>
      <c r="H593" s="13" t="s" ph="1">
        <v>709</v>
      </c>
      <c r="I593" s="13" t="s" ph="1">
        <v>658</v>
      </c>
      <c r="K593" s="13" t="s" ph="1">
        <v>5204</v>
      </c>
      <c r="L593" s="13" t="s" ph="1">
        <v>3628</v>
      </c>
      <c r="M593" s="14" t="str" ph="1">
        <f>IFERROR(INDEX([1]!_born[生没年],
MATCH(I593,[1]!_born[作],0)),"")</f>
        <v/>
      </c>
      <c r="N593" s="14" t="str" ph="1">
        <f>IFERROR(INDEX([1]!_born[生没年],
MATCH(K593,[1]!_born[作],0)),"")</f>
        <v/>
      </c>
      <c r="O593" s="13" t="s" ph="1">
        <v>5205</v>
      </c>
      <c r="R593" s="16" t="s" ph="1">
        <v>988</v>
      </c>
      <c r="S593" s="13" t="s" ph="1">
        <v>5200</v>
      </c>
      <c r="T593" s="13" t="s" ph="1">
        <v>3768</v>
      </c>
      <c r="U593" s="16" ph="1">
        <v>37065</v>
      </c>
      <c r="V593" s="17" ph="1">
        <v>2800</v>
      </c>
      <c r="X593" s="13" t="s" ph="1">
        <v>3802</v>
      </c>
      <c r="Y593" s="13" t="s" ph="1">
        <v>5206</v>
      </c>
    </row>
    <row r="594" spans="1:25" ht="22.5" customHeight="1" ph="1" x14ac:dyDescent="0.35">
      <c r="C594" s="13" t="s" ph="1">
        <v>4106</v>
      </c>
      <c r="G594" s="13" t="s" ph="1">
        <v>4758</v>
      </c>
      <c r="H594" s="13" t="s" ph="1">
        <v>709</v>
      </c>
      <c r="I594" s="13" t="s" ph="1">
        <v>439</v>
      </c>
      <c r="K594" s="13" t="s" ph="1">
        <v>5207</v>
      </c>
      <c r="L594" s="13" t="s" ph="1">
        <v>3628</v>
      </c>
      <c r="M594" s="14" t="str" ph="1">
        <f>IFERROR(INDEX([1]!_born[生没年],
MATCH(I594,[1]!_born[作],0)),"")</f>
        <v/>
      </c>
      <c r="N594" s="14" t="str" ph="1">
        <f>IFERROR(INDEX([1]!_born[生没年],
MATCH(K594,[1]!_born[作],0)),"")</f>
        <v/>
      </c>
      <c r="O594" s="13" t="s" ph="1">
        <v>521</v>
      </c>
      <c r="R594" s="16" t="s" ph="1">
        <v>2136</v>
      </c>
      <c r="S594" s="13" t="s" ph="1">
        <v>5200</v>
      </c>
      <c r="T594" s="13" t="s" ph="1">
        <v>3768</v>
      </c>
      <c r="V594" s="17" ph="1">
        <v>1800</v>
      </c>
    </row>
    <row r="595" spans="1:25" s="19" customFormat="1" ht="22.5" customHeight="1" ph="1" x14ac:dyDescent="0.35">
      <c r="A595" s="107" ph="1"/>
      <c r="B595" s="18" ph="1"/>
      <c r="C595" s="19" t="s" ph="1">
        <v>1932</v>
      </c>
      <c r="D595" s="124" ph="1"/>
      <c r="E595" s="124" ph="1"/>
      <c r="G595" s="19" t="s" ph="1">
        <v>4831</v>
      </c>
      <c r="H595" s="19" t="s" ph="1">
        <v>709</v>
      </c>
      <c r="I595" s="19" t="s" ph="1">
        <v>5208</v>
      </c>
      <c r="K595" s="19" t="s" ph="1">
        <v>5209</v>
      </c>
      <c r="L595" s="19" t="s" ph="1">
        <v>4535</v>
      </c>
      <c r="M595" s="14" t="str" ph="1">
        <f>IFERROR(INDEX([1]!_born[生没年],
MATCH(I595,[1]!_born[作],0)),"")</f>
        <v/>
      </c>
      <c r="N595" s="14" t="str" ph="1">
        <f>IFERROR(INDEX([1]!_born[生没年],
MATCH(K595,[1]!_born[作],0)),"")</f>
        <v/>
      </c>
      <c r="O595" s="19" t="s" ph="1">
        <v>5210</v>
      </c>
      <c r="R595" s="20" ph="1"/>
      <c r="T595" s="19" t="s" ph="1">
        <v>5211</v>
      </c>
      <c r="U595" s="20" t="s" ph="1">
        <v>706</v>
      </c>
      <c r="V595" s="21" ph="1"/>
      <c r="W595" s="21" ph="1"/>
    </row>
    <row r="596" spans="1:25" s="19" customFormat="1" ht="22.5" customHeight="1" ph="1" x14ac:dyDescent="0.35">
      <c r="A596" s="107" ph="1"/>
      <c r="B596" s="18" ph="1"/>
      <c r="C596" s="19" t="s" ph="1">
        <v>707</v>
      </c>
      <c r="D596" s="124" ph="1"/>
      <c r="E596" s="124" ph="1"/>
      <c r="G596" s="19" t="s" ph="1">
        <v>5212</v>
      </c>
      <c r="H596" s="19" t="s" ph="1">
        <v>709</v>
      </c>
      <c r="K596" s="19" t="s" ph="1">
        <v>5213</v>
      </c>
      <c r="L596" s="19" t="s" ph="1">
        <v>4535</v>
      </c>
      <c r="M596" s="14" t="str" ph="1">
        <f>IFERROR(INDEX([1]!_born[生没年],
MATCH(I596,[1]!_born[作],0)),"")</f>
        <v/>
      </c>
      <c r="N596" s="14" t="str" ph="1">
        <f>IFERROR(INDEX([1]!_born[生没年],
MATCH(K596,[1]!_born[作],0)),"")</f>
        <v/>
      </c>
      <c r="O596" s="19" t="s" ph="1">
        <v>5214</v>
      </c>
      <c r="R596" s="20" ph="1"/>
      <c r="T596" s="19" t="s" ph="1">
        <v>5215</v>
      </c>
      <c r="U596" s="20" ph="1">
        <v>37270</v>
      </c>
      <c r="V596" s="21" ph="1">
        <v>800</v>
      </c>
      <c r="W596" s="21" ph="1"/>
      <c r="X596" s="19" t="s" ph="1">
        <v>5216</v>
      </c>
      <c r="Y596" s="19" t="s" ph="1">
        <v>5217</v>
      </c>
    </row>
    <row r="597" spans="1:25" s="7" customFormat="1" ht="22.5" customHeight="1" ph="1" x14ac:dyDescent="0.35">
      <c r="A597" s="106" ph="1"/>
      <c r="B597" s="5" ph="1"/>
      <c r="C597" s="9" t="s" ph="1">
        <v>5218</v>
      </c>
      <c r="D597" s="122" ph="1"/>
      <c r="E597" s="122" ph="1"/>
      <c r="G597" s="8" t="s" ph="1">
        <v>5218</v>
      </c>
      <c r="H597" s="9" ph="1"/>
      <c r="I597" s="12" ph="1"/>
      <c r="J597" s="12" ph="1"/>
      <c r="M597" s="7" t="str" ph="1">
        <f>IFERROR(INDEX([1]!_born[生没年],
MATCH(I597,[1]!_born[作],0)),"")</f>
        <v/>
      </c>
      <c r="N597" s="7" t="str" ph="1">
        <f>IFERROR(INDEX([1]!_born[生没年],
MATCH(K597,[1]!_born[作],0)),"")</f>
        <v/>
      </c>
      <c r="R597" s="10" ph="1"/>
      <c r="U597" s="10" ph="1"/>
      <c r="V597" s="11" ph="1"/>
      <c r="W597" s="11" ph="1"/>
    </row>
    <row r="598" spans="1:25" ht="22.5" customHeight="1" ph="1" x14ac:dyDescent="0.35">
      <c r="C598" s="13" t="s" ph="1">
        <v>707</v>
      </c>
      <c r="G598" s="13" t="s" ph="1">
        <v>5218</v>
      </c>
      <c r="H598" s="13" t="s" ph="1">
        <v>31</v>
      </c>
      <c r="I598" s="13" t="s" ph="1">
        <v>2137</v>
      </c>
      <c r="M598" s="14" t="str" ph="1">
        <f>IFERROR(INDEX([1]!_born[生没年],
MATCH(I598,[1]!_born[作],0)),"")</f>
        <v/>
      </c>
      <c r="N598" s="14" t="str" ph="1">
        <f>IFERROR(INDEX([1]!_born[生没年],
MATCH(K598,[1]!_born[作],0)),"")</f>
        <v/>
      </c>
      <c r="O598" s="15" t="s" ph="1">
        <v>2138</v>
      </c>
      <c r="R598" s="16" t="s" ph="1">
        <v>954</v>
      </c>
      <c r="S598" s="13" t="s" ph="1">
        <v>2139</v>
      </c>
      <c r="T598" s="13" t="s" ph="1">
        <v>2140</v>
      </c>
      <c r="U598" s="16" ph="1">
        <v>37445</v>
      </c>
      <c r="X598" s="13" t="s" ph="1">
        <v>5219</v>
      </c>
    </row>
    <row r="599" spans="1:25" ht="22.5" customHeight="1" ph="1" x14ac:dyDescent="0.35">
      <c r="A599" s="106" t="s" ph="1">
        <v>2782</v>
      </c>
      <c r="C599" s="13" t="s" ph="1">
        <v>25</v>
      </c>
      <c r="G599" s="13" t="s" ph="1">
        <v>5218</v>
      </c>
      <c r="H599" s="13" t="s" ph="1">
        <v>31</v>
      </c>
      <c r="I599" s="13" t="s" ph="1">
        <v>2787</v>
      </c>
      <c r="K599" s="13" t="s" ph="1">
        <v>2788</v>
      </c>
      <c r="L599" s="13" t="s" ph="1">
        <v>2020</v>
      </c>
      <c r="M599" s="14" t="str" ph="1">
        <f>IFERROR(INDEX([1]!_born[生没年],
MATCH(I599,[1]!_born[作],0)),"")</f>
        <v/>
      </c>
      <c r="N599" s="14" t="str" ph="1">
        <f>IFERROR(INDEX([1]!_born[生没年],
MATCH(K599,[1]!_born[作],0)),"")</f>
        <v/>
      </c>
      <c r="O599" s="13" t="s" ph="1">
        <v>2783</v>
      </c>
      <c r="R599" s="16" ph="1">
        <v>1992</v>
      </c>
      <c r="S599" s="13" t="s" ph="1">
        <v>2139</v>
      </c>
      <c r="T599" s="13" t="s" ph="1">
        <v>2140</v>
      </c>
      <c r="U599" s="16" ph="1">
        <v>41764</v>
      </c>
      <c r="V599" s="17" t="s" ph="1">
        <v>2784</v>
      </c>
      <c r="W599" s="17" ph="1">
        <v>300</v>
      </c>
      <c r="X599" s="13" t="s" ph="1">
        <v>3792</v>
      </c>
    </row>
    <row r="600" spans="1:25" ht="22.5" customHeight="1" ph="1" x14ac:dyDescent="0.35">
      <c r="A600" s="106" t="s" ph="1">
        <v>2141</v>
      </c>
      <c r="C600" s="13" t="s" ph="1">
        <v>707</v>
      </c>
      <c r="G600" s="13" t="s" ph="1">
        <v>5218</v>
      </c>
      <c r="H600" s="13" t="s" ph="1">
        <v>31</v>
      </c>
      <c r="I600" s="13" t="s" ph="1">
        <v>2142</v>
      </c>
      <c r="M600" s="14" t="str" ph="1">
        <f>IFERROR(INDEX([1]!_born[生没年],
MATCH(I600,[1]!_born[作],0)),"")</f>
        <v/>
      </c>
      <c r="N600" s="14" t="str" ph="1">
        <f>IFERROR(INDEX([1]!_born[生没年],
MATCH(K600,[1]!_born[作],0)),"")</f>
        <v/>
      </c>
      <c r="O600" s="13" t="s" ph="1">
        <v>2143</v>
      </c>
      <c r="R600" s="16" t="s" ph="1">
        <v>2144</v>
      </c>
      <c r="S600" s="13" t="s" ph="1">
        <v>2145</v>
      </c>
      <c r="T600" s="13" t="s" ph="1">
        <v>2140</v>
      </c>
      <c r="U600" s="16" ph="1">
        <v>37445</v>
      </c>
      <c r="V600" s="17" t="s" ph="1">
        <v>2146</v>
      </c>
      <c r="X600" s="13" t="s" ph="1">
        <v>5219</v>
      </c>
    </row>
    <row r="601" spans="1:25" ht="22.5" customHeight="1" ph="1" x14ac:dyDescent="0.35">
      <c r="C601" s="13" t="s" ph="1">
        <v>2013</v>
      </c>
      <c r="G601" s="13" t="s" ph="1">
        <v>5218</v>
      </c>
      <c r="H601" s="13" t="s" ph="1">
        <v>31</v>
      </c>
      <c r="M601" s="14" t="str" ph="1">
        <f>IFERROR(INDEX([1]!_born[生没年],
MATCH(I601,[1]!_born[作],0)),"")</f>
        <v/>
      </c>
      <c r="N601" s="14" t="str" ph="1">
        <f>IFERROR(INDEX([1]!_born[生没年],
MATCH(K601,[1]!_born[作],0)),"")</f>
        <v/>
      </c>
      <c r="O601" s="13" t="s" ph="1">
        <v>2147</v>
      </c>
      <c r="T601" s="13" t="s" ph="1">
        <v>2148</v>
      </c>
      <c r="U601" s="16" ph="1">
        <v>37435</v>
      </c>
      <c r="V601" s="17" t="s" ph="1">
        <v>2149</v>
      </c>
      <c r="X601" s="13" t="s" ph="1">
        <v>486</v>
      </c>
    </row>
    <row r="602" spans="1:25" ht="22.5" customHeight="1" ph="1" x14ac:dyDescent="0.35">
      <c r="C602" s="13" t="s" ph="1">
        <v>707</v>
      </c>
      <c r="G602" s="13" t="s" ph="1">
        <v>5218</v>
      </c>
      <c r="H602" s="13" t="s" ph="1">
        <v>31</v>
      </c>
      <c r="M602" s="14" t="str" ph="1">
        <f>IFERROR(INDEX([1]!_born[生没年],
MATCH(I602,[1]!_born[作],0)),"")</f>
        <v/>
      </c>
      <c r="N602" s="14" t="str" ph="1">
        <f>IFERROR(INDEX([1]!_born[生没年],
MATCH(K602,[1]!_born[作],0)),"")</f>
        <v/>
      </c>
      <c r="O602" s="13" t="s" ph="1">
        <v>2150</v>
      </c>
      <c r="R602" s="16" t="s" ph="1">
        <v>2151</v>
      </c>
      <c r="S602" s="13" t="s" ph="1">
        <v>5220</v>
      </c>
      <c r="T602" s="13" t="s" ph="1">
        <v>2148</v>
      </c>
      <c r="U602" s="16" ph="1">
        <v>37435</v>
      </c>
      <c r="V602" s="17" t="s" ph="1">
        <v>2152</v>
      </c>
      <c r="X602" s="13" t="s" ph="1">
        <v>486</v>
      </c>
    </row>
    <row r="603" spans="1:25" ht="22.5" customHeight="1" ph="1" x14ac:dyDescent="0.35">
      <c r="A603" s="106" t="s" ph="1">
        <v>2153</v>
      </c>
      <c r="C603" s="13" t="s" ph="1">
        <v>707</v>
      </c>
      <c r="G603" s="13" t="s" ph="1">
        <v>5218</v>
      </c>
      <c r="H603" s="13" t="s" ph="1">
        <v>31</v>
      </c>
      <c r="I603" s="13" t="s" ph="1">
        <v>2154</v>
      </c>
      <c r="M603" s="14" t="str" ph="1">
        <f>IFERROR(INDEX([1]!_born[生没年],
MATCH(I603,[1]!_born[作],0)),"")</f>
        <v/>
      </c>
      <c r="N603" s="14" t="str" ph="1">
        <f>IFERROR(INDEX([1]!_born[生没年],
MATCH(K603,[1]!_born[作],0)),"")</f>
        <v/>
      </c>
      <c r="O603" s="13" t="s" ph="1">
        <v>2155</v>
      </c>
      <c r="T603" s="13" t="s" ph="1">
        <v>2156</v>
      </c>
      <c r="U603" s="16" t="s" ph="1">
        <v>5221</v>
      </c>
      <c r="V603" s="17" t="s" ph="1">
        <v>2157</v>
      </c>
      <c r="X603" s="13" t="s" ph="1">
        <v>5222</v>
      </c>
    </row>
    <row r="604" spans="1:25" ht="22.5" customHeight="1" ph="1" x14ac:dyDescent="0.35">
      <c r="A604" s="106" t="s" ph="1">
        <v>2158</v>
      </c>
      <c r="C604" s="13" t="s" ph="1">
        <v>707</v>
      </c>
      <c r="G604" s="13" t="s" ph="1">
        <v>5218</v>
      </c>
      <c r="H604" s="13" t="s" ph="1">
        <v>31</v>
      </c>
      <c r="I604" s="13" t="s" ph="1">
        <v>2159</v>
      </c>
      <c r="M604" s="14" t="str" ph="1">
        <f>IFERROR(INDEX([1]!_born[生没年],
MATCH(I604,[1]!_born[作],0)),"")</f>
        <v/>
      </c>
      <c r="N604" s="14" t="str" ph="1">
        <f>IFERROR(INDEX([1]!_born[生没年],
MATCH(K604,[1]!_born[作],0)),"")</f>
        <v/>
      </c>
      <c r="O604" s="13" t="s" ph="1">
        <v>2160</v>
      </c>
      <c r="R604" s="16" t="s" ph="1">
        <v>783</v>
      </c>
      <c r="T604" s="13" t="s" ph="1">
        <v>2161</v>
      </c>
      <c r="U604" s="16" ph="1">
        <v>37434</v>
      </c>
      <c r="X604" s="13" t="s" ph="1">
        <v>2162</v>
      </c>
    </row>
    <row r="605" spans="1:25" ht="22.5" customHeight="1" ph="1" x14ac:dyDescent="0.35">
      <c r="A605" s="106" t="s" ph="1">
        <v>2163</v>
      </c>
      <c r="C605" s="13" t="s" ph="1">
        <v>707</v>
      </c>
      <c r="G605" s="13" t="s" ph="1">
        <v>5218</v>
      </c>
      <c r="H605" s="13" t="s" ph="1">
        <v>31</v>
      </c>
      <c r="I605" s="13" t="s" ph="1">
        <v>2159</v>
      </c>
      <c r="M605" s="14" t="str" ph="1">
        <f>IFERROR(INDEX([1]!_born[生没年],
MATCH(I605,[1]!_born[作],0)),"")</f>
        <v/>
      </c>
      <c r="N605" s="14" t="str" ph="1">
        <f>IFERROR(INDEX([1]!_born[生没年],
MATCH(K605,[1]!_born[作],0)),"")</f>
        <v/>
      </c>
      <c r="O605" s="13" t="s" ph="1">
        <v>2164</v>
      </c>
      <c r="R605" s="16" t="s" ph="1">
        <v>800</v>
      </c>
      <c r="T605" s="13" t="s" ph="1">
        <v>2161</v>
      </c>
      <c r="U605" s="16" ph="1">
        <v>37434</v>
      </c>
      <c r="X605" s="13" t="s" ph="1">
        <v>2162</v>
      </c>
    </row>
    <row r="606" spans="1:25" s="19" customFormat="1" ht="22.5" customHeight="1" ph="1" x14ac:dyDescent="0.35">
      <c r="A606" s="107" ph="1"/>
      <c r="B606" s="18" ph="1"/>
      <c r="C606" s="19" t="s" ph="1">
        <v>707</v>
      </c>
      <c r="D606" s="124" ph="1"/>
      <c r="E606" s="124" ph="1"/>
      <c r="G606" s="19" t="s" ph="1">
        <v>5223</v>
      </c>
      <c r="H606" s="19" t="s" ph="1">
        <v>31</v>
      </c>
      <c r="M606" s="27" t="str" ph="1">
        <f>IFERROR(INDEX([1]!_born[生没年],
MATCH(I606,[1]!_born[作],0)),"")</f>
        <v/>
      </c>
      <c r="N606" s="27" t="str" ph="1">
        <f>IFERROR(INDEX([1]!_born[生没年],
MATCH(K606,[1]!_born[作],0)),"")</f>
        <v/>
      </c>
      <c r="O606" s="19" t="s" ph="1">
        <v>5224</v>
      </c>
      <c r="R606" s="20" ph="1"/>
      <c r="U606" s="20" t="s" ph="1">
        <v>5225</v>
      </c>
      <c r="V606" s="21" ph="1"/>
      <c r="W606" s="21" ph="1"/>
      <c r="X606" s="19" t="s" ph="1">
        <v>5226</v>
      </c>
      <c r="Y606" s="19" t="s" ph="1">
        <v>5227</v>
      </c>
    </row>
    <row r="607" spans="1:25" ht="22.5" customHeight="1" ph="1" x14ac:dyDescent="0.35">
      <c r="C607" s="13" t="s" ph="1">
        <v>707</v>
      </c>
      <c r="G607" s="13" t="s" ph="1">
        <v>5228</v>
      </c>
      <c r="H607" s="13" t="s" ph="1">
        <v>31</v>
      </c>
      <c r="M607" s="14" t="str" ph="1">
        <f>IFERROR(INDEX([1]!_born[生没年],
MATCH(I607,[1]!_born[作],0)),"")</f>
        <v/>
      </c>
      <c r="N607" s="14" t="str" ph="1">
        <f>IFERROR(INDEX([1]!_born[生没年],
MATCH(K607,[1]!_born[作],0)),"")</f>
        <v/>
      </c>
      <c r="O607" s="22" t="s" ph="1">
        <v>2852</v>
      </c>
      <c r="S607" s="13" t="s" ph="1">
        <v>2165</v>
      </c>
      <c r="T607" s="13" t="s" ph="1">
        <v>2166</v>
      </c>
      <c r="U607" s="16" ph="1">
        <v>37434</v>
      </c>
      <c r="X607" s="13" t="s" ph="1">
        <v>67</v>
      </c>
    </row>
    <row r="608" spans="1:25" ht="22.5" customHeight="1" ph="1" x14ac:dyDescent="0.35">
      <c r="C608" s="13" t="s" ph="1">
        <v>707</v>
      </c>
      <c r="G608" s="13" t="s" ph="1">
        <v>5228</v>
      </c>
      <c r="H608" s="13" t="s" ph="1">
        <v>31</v>
      </c>
      <c r="M608" s="14" t="str" ph="1">
        <f>IFERROR(INDEX([1]!_born[生没年],
MATCH(I608,[1]!_born[作],0)),"")</f>
        <v/>
      </c>
      <c r="N608" s="14" t="str" ph="1">
        <f>IFERROR(INDEX([1]!_born[生没年],
MATCH(K608,[1]!_born[作],0)),"")</f>
        <v/>
      </c>
      <c r="O608" s="22" t="s" ph="1">
        <v>2853</v>
      </c>
      <c r="S608" s="13" t="s" ph="1">
        <v>2165</v>
      </c>
      <c r="T608" s="13" t="s" ph="1">
        <v>2166</v>
      </c>
      <c r="U608" s="16" ph="1">
        <v>37434</v>
      </c>
      <c r="X608" s="13" t="s" ph="1">
        <v>67</v>
      </c>
    </row>
    <row r="609" spans="1:25" ht="22.5" customHeight="1" ph="1" x14ac:dyDescent="0.35">
      <c r="C609" s="13" t="s" ph="1">
        <v>707</v>
      </c>
      <c r="G609" s="13" t="s" ph="1">
        <v>5228</v>
      </c>
      <c r="H609" s="13" t="s" ph="1">
        <v>31</v>
      </c>
      <c r="M609" s="14" t="str" ph="1">
        <f>IFERROR(INDEX([1]!_born[生没年],
MATCH(I609,[1]!_born[作],0)),"")</f>
        <v/>
      </c>
      <c r="N609" s="14" t="str" ph="1">
        <f>IFERROR(INDEX([1]!_born[生没年],
MATCH(K609,[1]!_born[作],0)),"")</f>
        <v/>
      </c>
      <c r="O609" s="22" t="s" ph="1">
        <v>2854</v>
      </c>
      <c r="S609" s="13" t="s" ph="1">
        <v>2165</v>
      </c>
      <c r="T609" s="13" t="s" ph="1">
        <v>2166</v>
      </c>
      <c r="U609" s="16" ph="1">
        <v>37434</v>
      </c>
      <c r="X609" s="13" t="s" ph="1">
        <v>67</v>
      </c>
    </row>
    <row r="610" spans="1:25" ht="22.5" customHeight="1" ph="1" x14ac:dyDescent="0.35">
      <c r="A610" s="106" t="s" ph="1">
        <v>2167</v>
      </c>
      <c r="C610" s="13" t="s" ph="1">
        <v>25</v>
      </c>
      <c r="G610" s="13" t="s" ph="1">
        <v>5218</v>
      </c>
      <c r="H610" s="13" t="s" ph="1">
        <v>31</v>
      </c>
      <c r="I610" s="13" t="s" ph="1">
        <v>2168</v>
      </c>
      <c r="M610" s="14" t="str" ph="1">
        <f>IFERROR(INDEX([1]!_born[生没年],
MATCH(I610,[1]!_born[作],0)),"")</f>
        <v/>
      </c>
      <c r="N610" s="14" t="str" ph="1">
        <f>IFERROR(INDEX([1]!_born[生没年],
MATCH(K610,[1]!_born[作],0)),"")</f>
        <v/>
      </c>
      <c r="O610" s="13" t="s" ph="1">
        <v>2169</v>
      </c>
      <c r="R610" s="16" t="s" ph="1">
        <v>2170</v>
      </c>
      <c r="S610" s="13" t="s" ph="1">
        <v>2171</v>
      </c>
      <c r="T610" s="13" t="s" ph="1">
        <v>2172</v>
      </c>
      <c r="U610" s="16" ph="1">
        <v>37445</v>
      </c>
      <c r="W610" s="17" ph="1">
        <v>3916</v>
      </c>
      <c r="X610" s="13" t="s" ph="1">
        <v>5229</v>
      </c>
      <c r="Y610" s="13" t="s" ph="1">
        <v>2173</v>
      </c>
    </row>
    <row r="611" spans="1:25" ht="22.5" customHeight="1" ph="1" x14ac:dyDescent="0.35">
      <c r="A611" s="106" t="s" ph="1">
        <v>10077</v>
      </c>
      <c r="C611" s="13" t="s" ph="1">
        <v>25</v>
      </c>
      <c r="G611" s="13" t="s" ph="1">
        <v>5218</v>
      </c>
      <c r="H611" s="13" t="s" ph="1">
        <v>31</v>
      </c>
      <c r="I611" s="13" t="s" ph="1">
        <v>10079</v>
      </c>
      <c r="J611" s="13" t="s" ph="1">
        <v>10169</v>
      </c>
      <c r="K611" s="13" t="s" ph="1">
        <v>10080</v>
      </c>
      <c r="L611" s="13" t="s" ph="1">
        <v>10170</v>
      </c>
      <c r="M611" s="14" t="str" ph="1">
        <f>IFERROR(INDEX([1]!_born[生没年],
MATCH(I611,[1]!_born[作],0)),"")</f>
        <v/>
      </c>
      <c r="N611" s="14" t="str" ph="1">
        <f>IFERROR(INDEX([1]!_born[生没年],
MATCH(K611,[1]!_born[作],0)),"")</f>
        <v/>
      </c>
      <c r="O611" s="13" t="s" ph="1">
        <v>10082</v>
      </c>
      <c r="R611" s="16" t="s" ph="1">
        <v>831</v>
      </c>
      <c r="S611" s="13" t="s" ph="1">
        <v>10084</v>
      </c>
      <c r="T611" s="13" t="s" ph="1">
        <v>10083</v>
      </c>
      <c r="U611" s="16" ph="1">
        <v>45615</v>
      </c>
      <c r="V611" s="17" t="s" ph="1">
        <v>10085</v>
      </c>
      <c r="W611" s="17" ph="1">
        <f>3500 * 1.1</f>
        <v>3850.0000000000005</v>
      </c>
      <c r="X611" s="13" t="s" ph="1">
        <v>5229</v>
      </c>
      <c r="Y611" s="13" t="s" ph="1">
        <v>10081</v>
      </c>
    </row>
    <row r="612" spans="1:25" ht="22.5" customHeight="1" ph="1" x14ac:dyDescent="0.35">
      <c r="A612" s="106" t="s" ph="1">
        <v>10078</v>
      </c>
      <c r="C612" s="13" t="s" ph="1">
        <v>10171</v>
      </c>
      <c r="G612" s="13" t="s" ph="1">
        <v>5218</v>
      </c>
      <c r="H612" s="13" t="s" ph="1">
        <v>10092</v>
      </c>
      <c r="I612" s="13" t="s" ph="1">
        <v>10087</v>
      </c>
      <c r="J612" s="13" t="s" ph="1">
        <v>10169</v>
      </c>
      <c r="K612" s="13" t="s" ph="1">
        <v>10088</v>
      </c>
      <c r="L612" s="13" t="s" ph="1">
        <v>10172</v>
      </c>
      <c r="M612" s="14" t="str" ph="1">
        <f>IFERROR(INDEX([1]!_born[生没年],
MATCH(I612,[1]!_born[作],0)),"")</f>
        <v/>
      </c>
      <c r="N612" s="14" t="str" ph="1">
        <f>IFERROR(INDEX([1]!_born[生没年],
MATCH(K612,[1]!_born[作],0)),"")</f>
        <v/>
      </c>
      <c r="O612" s="13" t="s" ph="1">
        <v>10086</v>
      </c>
      <c r="R612" s="16" t="s" ph="1">
        <v>10089</v>
      </c>
      <c r="T612" s="13" t="s" ph="1">
        <v>10090</v>
      </c>
      <c r="U612" s="16" ph="1">
        <v>45615</v>
      </c>
      <c r="V612" s="17" t="s" ph="1">
        <v>10091</v>
      </c>
      <c r="W612" s="17" ph="1">
        <v>4620</v>
      </c>
      <c r="X612" s="13" t="s" ph="1">
        <v>5229</v>
      </c>
    </row>
    <row r="613" spans="1:25" ht="22.5" customHeight="1" ph="1" x14ac:dyDescent="0.35">
      <c r="A613" s="106" t="s" ph="1">
        <v>2174</v>
      </c>
      <c r="C613" s="13" t="s" ph="1">
        <v>2175</v>
      </c>
      <c r="G613" s="13" t="s" ph="1">
        <v>5218</v>
      </c>
      <c r="H613" s="13" t="s" ph="1">
        <v>709</v>
      </c>
      <c r="I613" s="13" t="s" ph="1">
        <v>2176</v>
      </c>
      <c r="K613" s="13" t="s" ph="1">
        <v>2177</v>
      </c>
      <c r="L613" s="13" t="s" ph="1">
        <v>2178</v>
      </c>
      <c r="M613" s="14" t="str" ph="1">
        <f>IFERROR(INDEX([1]!_born[生没年],
MATCH(I613,[1]!_born[作],0)),"")</f>
        <v/>
      </c>
      <c r="N613" s="14" t="str" ph="1">
        <f>IFERROR(INDEX([1]!_born[生没年],
MATCH(K613,[1]!_born[作],0)),"")</f>
        <v/>
      </c>
      <c r="O613" s="13" t="s" ph="1">
        <v>2855</v>
      </c>
      <c r="R613" s="16" t="s" ph="1">
        <v>2179</v>
      </c>
      <c r="S613" s="13" t="s" ph="1">
        <v>2180</v>
      </c>
      <c r="T613" s="13" t="s" ph="1">
        <v>2181</v>
      </c>
      <c r="U613" s="16" t="s" ph="1">
        <v>2182</v>
      </c>
      <c r="V613" s="17" t="s" ph="1">
        <v>2183</v>
      </c>
      <c r="W613" s="17" ph="1">
        <v>1501</v>
      </c>
      <c r="X613" s="13" t="s" ph="1">
        <v>5229</v>
      </c>
      <c r="Y613" s="13" t="s" ph="1">
        <v>2184</v>
      </c>
    </row>
    <row r="614" spans="1:25" ht="22.5" customHeight="1" ph="1" x14ac:dyDescent="0.35">
      <c r="A614" s="106" t="s" ph="1">
        <v>2185</v>
      </c>
      <c r="C614" s="13" t="s" ph="1">
        <v>2175</v>
      </c>
      <c r="G614" s="13" t="s" ph="1">
        <v>5218</v>
      </c>
      <c r="H614" s="13" t="s" ph="1">
        <v>709</v>
      </c>
      <c r="I614" s="13" t="s" ph="1">
        <v>2176</v>
      </c>
      <c r="K614" s="13" t="s" ph="1">
        <v>2177</v>
      </c>
      <c r="L614" s="13" t="s" ph="1">
        <v>2178</v>
      </c>
      <c r="M614" s="14" t="str" ph="1">
        <f>IFERROR(INDEX([1]!_born[生没年],
MATCH(I614,[1]!_born[作],0)),"")</f>
        <v/>
      </c>
      <c r="N614" s="14" t="str" ph="1">
        <f>IFERROR(INDEX([1]!_born[生没年],
MATCH(K614,[1]!_born[作],0)),"")</f>
        <v/>
      </c>
      <c r="O614" s="13" t="s" ph="1">
        <v>2856</v>
      </c>
      <c r="R614" s="16" t="s" ph="1">
        <v>2179</v>
      </c>
      <c r="S614" s="13" t="s" ph="1">
        <v>2180</v>
      </c>
      <c r="T614" s="13" t="s" ph="1">
        <v>2181</v>
      </c>
      <c r="U614" s="16" ph="1">
        <v>39656</v>
      </c>
      <c r="V614" s="17" t="s" ph="1">
        <v>2183</v>
      </c>
      <c r="W614" s="17" ph="1">
        <v>1501</v>
      </c>
      <c r="X614" s="13" t="s" ph="1">
        <v>5229</v>
      </c>
      <c r="Y614" s="13" t="s" ph="1">
        <v>2184</v>
      </c>
    </row>
    <row r="615" spans="1:25" ht="22.5" customHeight="1" ph="1" x14ac:dyDescent="0.35">
      <c r="A615" s="106" t="s" ph="1">
        <v>2186</v>
      </c>
      <c r="C615" s="13" t="s" ph="1">
        <v>2175</v>
      </c>
      <c r="G615" s="13" t="s" ph="1">
        <v>5218</v>
      </c>
      <c r="H615" s="13" t="s" ph="1">
        <v>709</v>
      </c>
      <c r="I615" s="13" t="s" ph="1">
        <v>2176</v>
      </c>
      <c r="K615" s="13" t="s" ph="1">
        <v>2177</v>
      </c>
      <c r="L615" s="13" t="s" ph="1">
        <v>2178</v>
      </c>
      <c r="M615" s="14" t="str" ph="1">
        <f>IFERROR(INDEX([1]!_born[生没年],
MATCH(I615,[1]!_born[作],0)),"")</f>
        <v/>
      </c>
      <c r="N615" s="14" t="str" ph="1">
        <f>IFERROR(INDEX([1]!_born[生没年],
MATCH(K615,[1]!_born[作],0)),"")</f>
        <v/>
      </c>
      <c r="O615" s="13" t="s" ph="1">
        <v>2857</v>
      </c>
      <c r="R615" s="16" t="s" ph="1">
        <v>2179</v>
      </c>
      <c r="S615" s="13" t="s" ph="1">
        <v>2180</v>
      </c>
      <c r="T615" s="13" t="s" ph="1">
        <v>2181</v>
      </c>
      <c r="U615" s="16" ph="1">
        <v>39656</v>
      </c>
      <c r="V615" s="17" t="s" ph="1">
        <v>2183</v>
      </c>
      <c r="W615" s="17" ph="1">
        <v>1501</v>
      </c>
      <c r="X615" s="13" t="s" ph="1">
        <v>5229</v>
      </c>
      <c r="Y615" s="13" t="s" ph="1">
        <v>2184</v>
      </c>
    </row>
    <row r="616" spans="1:25" ht="22.5" customHeight="1" ph="1" x14ac:dyDescent="0.35">
      <c r="A616" s="106" t="s" ph="1">
        <v>2187</v>
      </c>
      <c r="C616" s="13" t="s" ph="1">
        <v>2175</v>
      </c>
      <c r="G616" s="13" t="s" ph="1">
        <v>5218</v>
      </c>
      <c r="H616" s="13" t="s" ph="1">
        <v>709</v>
      </c>
      <c r="I616" s="13" t="s" ph="1">
        <v>2176</v>
      </c>
      <c r="K616" s="13" t="s" ph="1">
        <v>2177</v>
      </c>
      <c r="L616" s="13" t="s" ph="1">
        <v>2178</v>
      </c>
      <c r="M616" s="14" t="str" ph="1">
        <f>IFERROR(INDEX([1]!_born[生没年],
MATCH(I616,[1]!_born[作],0)),"")</f>
        <v/>
      </c>
      <c r="N616" s="14" t="str" ph="1">
        <f>IFERROR(INDEX([1]!_born[生没年],
MATCH(K616,[1]!_born[作],0)),"")</f>
        <v/>
      </c>
      <c r="O616" s="13" t="s" ph="1">
        <v>2858</v>
      </c>
      <c r="R616" s="16" t="s" ph="1">
        <v>2179</v>
      </c>
      <c r="S616" s="13" t="s" ph="1">
        <v>2180</v>
      </c>
      <c r="T616" s="13" t="s" ph="1">
        <v>2181</v>
      </c>
      <c r="U616" s="16" ph="1">
        <v>39656</v>
      </c>
      <c r="V616" s="17" t="s" ph="1">
        <v>2183</v>
      </c>
      <c r="W616" s="17" ph="1">
        <v>1501</v>
      </c>
      <c r="X616" s="13" t="s" ph="1">
        <v>5229</v>
      </c>
      <c r="Y616" s="13" t="s" ph="1">
        <v>2184</v>
      </c>
    </row>
    <row r="617" spans="1:25" ht="22.5" customHeight="1" ph="1" x14ac:dyDescent="0.35">
      <c r="A617" s="106" t="s" ph="1">
        <v>2188</v>
      </c>
      <c r="C617" s="13" t="s" ph="1">
        <v>2175</v>
      </c>
      <c r="G617" s="13" t="s" ph="1">
        <v>5218</v>
      </c>
      <c r="H617" s="13" t="s" ph="1">
        <v>709</v>
      </c>
      <c r="I617" s="13" t="s" ph="1">
        <v>2189</v>
      </c>
      <c r="J617" s="13" t="s" ph="1">
        <v>5230</v>
      </c>
      <c r="K617" s="13" t="s" ph="1">
        <v>2190</v>
      </c>
      <c r="L617" s="13" t="s" ph="1">
        <v>2178</v>
      </c>
      <c r="M617" s="14" t="str" ph="1">
        <f>IFERROR(INDEX([1]!_born[生没年],
MATCH(I617,[1]!_born[作],0)),"")</f>
        <v/>
      </c>
      <c r="N617" s="14" t="str" ph="1">
        <f>IFERROR(INDEX([1]!_born[生没年],
MATCH(K617,[1]!_born[作],0)),"")</f>
        <v/>
      </c>
      <c r="O617" s="13" t="s" ph="1">
        <v>2191</v>
      </c>
      <c r="R617" s="16" t="s" ph="1">
        <v>2192</v>
      </c>
      <c r="S617" s="13" t="s" ph="1">
        <v>5231</v>
      </c>
      <c r="T617" s="13" t="s" ph="1">
        <v>5232</v>
      </c>
      <c r="U617" s="16" ph="1">
        <v>39803</v>
      </c>
      <c r="V617" s="17" t="s" ph="1">
        <v>2193</v>
      </c>
      <c r="W617" s="17" ph="1">
        <f>1221*1.05</f>
        <v>1282.05</v>
      </c>
      <c r="X617" s="13" t="s" ph="1">
        <v>5229</v>
      </c>
    </row>
    <row r="618" spans="1:25" ht="22.5" customHeight="1" ph="1" x14ac:dyDescent="0.35">
      <c r="C618" s="13" t="s" ph="1">
        <v>707</v>
      </c>
      <c r="G618" s="13" t="s" ph="1">
        <v>5218</v>
      </c>
      <c r="H618" s="13" t="s" ph="1">
        <v>961</v>
      </c>
      <c r="I618" s="13" t="s" ph="1">
        <v>2194</v>
      </c>
      <c r="M618" s="14" t="str" ph="1">
        <f>IFERROR(INDEX([1]!_born[生没年],
MATCH(I618,[1]!_born[作],0)),"")</f>
        <v/>
      </c>
      <c r="N618" s="14" t="str" ph="1">
        <f>IFERROR(INDEX([1]!_born[生没年],
MATCH(K618,[1]!_born[作],0)),"")</f>
        <v/>
      </c>
      <c r="O618" s="13" t="s" ph="1">
        <v>2195</v>
      </c>
      <c r="R618" s="16" t="s" ph="1">
        <v>1518</v>
      </c>
      <c r="S618" s="13" t="s" ph="1">
        <v>2196</v>
      </c>
      <c r="T618" s="13" t="s" ph="1">
        <v>2197</v>
      </c>
      <c r="U618" s="16" t="s" ph="1">
        <v>2198</v>
      </c>
      <c r="V618" s="17" t="s" ph="1">
        <v>2199</v>
      </c>
      <c r="X618" s="13" t="s" ph="1">
        <v>2200</v>
      </c>
    </row>
    <row r="619" spans="1:25" ht="22.5" customHeight="1" ph="1" x14ac:dyDescent="0.35">
      <c r="A619" s="106" t="s" ph="1">
        <v>2201</v>
      </c>
      <c r="C619" s="13" t="s" ph="1">
        <v>707</v>
      </c>
      <c r="G619" s="13" t="s" ph="1">
        <v>5218</v>
      </c>
      <c r="H619" s="13" t="s" ph="1">
        <v>961</v>
      </c>
      <c r="I619" s="13" t="s" ph="1">
        <v>2202</v>
      </c>
      <c r="M619" s="14" t="str" ph="1">
        <f>IFERROR(INDEX([1]!_born[生没年],
MATCH(I619,[1]!_born[作],0)),"")</f>
        <v/>
      </c>
      <c r="N619" s="14" t="str" ph="1">
        <f>IFERROR(INDEX([1]!_born[生没年],
MATCH(K619,[1]!_born[作],0)),"")</f>
        <v/>
      </c>
      <c r="O619" s="13" t="s" ph="1">
        <v>2203</v>
      </c>
      <c r="R619" s="16" t="s" ph="1">
        <v>711</v>
      </c>
      <c r="S619" s="13" t="s" ph="1">
        <v>2204</v>
      </c>
      <c r="T619" s="13" t="s" ph="1">
        <v>2205</v>
      </c>
      <c r="U619" s="16" t="s" ph="1">
        <v>2198</v>
      </c>
      <c r="V619" s="17" t="s" ph="1">
        <v>2206</v>
      </c>
      <c r="X619" s="13" t="s" ph="1">
        <v>961</v>
      </c>
    </row>
    <row r="620" spans="1:25" ht="22.5" customHeight="1" ph="1" x14ac:dyDescent="0.35">
      <c r="A620" s="106" t="s" ph="1">
        <v>2207</v>
      </c>
      <c r="C620" s="13" t="s" ph="1">
        <v>707</v>
      </c>
      <c r="G620" s="13" t="s" ph="1">
        <v>5218</v>
      </c>
      <c r="H620" s="13" t="s" ph="1">
        <v>961</v>
      </c>
      <c r="I620" s="13" t="s" ph="1">
        <v>2202</v>
      </c>
      <c r="M620" s="14" t="str" ph="1">
        <f>IFERROR(INDEX([1]!_born[生没年],
MATCH(I620,[1]!_born[作],0)),"")</f>
        <v/>
      </c>
      <c r="N620" s="14" t="str" ph="1">
        <f>IFERROR(INDEX([1]!_born[生没年],
MATCH(K620,[1]!_born[作],0)),"")</f>
        <v/>
      </c>
      <c r="O620" s="13" t="s" ph="1">
        <v>2208</v>
      </c>
      <c r="R620" s="16" t="s" ph="1">
        <v>711</v>
      </c>
      <c r="S620" s="13" t="s" ph="1">
        <v>2209</v>
      </c>
      <c r="T620" s="13" t="s" ph="1">
        <v>2205</v>
      </c>
      <c r="U620" s="16" t="s" ph="1">
        <v>2198</v>
      </c>
      <c r="V620" s="17" t="s" ph="1">
        <v>2206</v>
      </c>
      <c r="X620" s="13" t="s" ph="1">
        <v>961</v>
      </c>
    </row>
    <row r="621" spans="1:25" ht="22.5" customHeight="1" ph="1" x14ac:dyDescent="0.35">
      <c r="A621" s="106" t="s" ph="1">
        <v>2210</v>
      </c>
      <c r="C621" s="13" t="s" ph="1">
        <v>707</v>
      </c>
      <c r="G621" s="13" t="s" ph="1">
        <v>5218</v>
      </c>
      <c r="H621" s="13" t="s" ph="1">
        <v>961</v>
      </c>
      <c r="I621" s="13" t="s" ph="1">
        <v>2202</v>
      </c>
      <c r="M621" s="14" t="str" ph="1">
        <f>IFERROR(INDEX([1]!_born[生没年],
MATCH(I621,[1]!_born[作],0)),"")</f>
        <v/>
      </c>
      <c r="N621" s="14" t="str" ph="1">
        <f>IFERROR(INDEX([1]!_born[生没年],
MATCH(K621,[1]!_born[作],0)),"")</f>
        <v/>
      </c>
      <c r="O621" s="13" t="s" ph="1">
        <v>2211</v>
      </c>
      <c r="R621" s="16" t="s" ph="1">
        <v>711</v>
      </c>
      <c r="S621" s="13" t="s" ph="1">
        <v>2212</v>
      </c>
      <c r="T621" s="13" t="s" ph="1">
        <v>2205</v>
      </c>
      <c r="U621" s="16" t="s" ph="1">
        <v>2198</v>
      </c>
      <c r="V621" s="17" t="s" ph="1">
        <v>2206</v>
      </c>
      <c r="X621" s="13" t="s" ph="1">
        <v>961</v>
      </c>
    </row>
    <row r="622" spans="1:25" ht="22.5" customHeight="1" ph="1" x14ac:dyDescent="0.35">
      <c r="C622" s="13" t="s" ph="1">
        <v>707</v>
      </c>
      <c r="G622" s="13" t="s" ph="1">
        <v>5218</v>
      </c>
      <c r="H622" s="13" t="s" ph="1">
        <v>961</v>
      </c>
      <c r="I622" s="13" t="s" ph="1">
        <v>2213</v>
      </c>
      <c r="J622" s="13" t="s" ph="1">
        <v>2214</v>
      </c>
      <c r="M622" s="14" t="str" ph="1">
        <f>IFERROR(INDEX([1]!_born[生没年],
MATCH(I622,[1]!_born[作],0)),"")</f>
        <v/>
      </c>
      <c r="N622" s="14" t="str" ph="1">
        <f>IFERROR(INDEX([1]!_born[生没年],
MATCH(K622,[1]!_born[作],0)),"")</f>
        <v/>
      </c>
      <c r="O622" s="13" t="s" ph="1">
        <v>2215</v>
      </c>
      <c r="R622" s="16" t="s" ph="1">
        <v>958</v>
      </c>
      <c r="S622" s="13" t="s" ph="1">
        <v>2216</v>
      </c>
      <c r="U622" s="16" ph="1">
        <v>38123</v>
      </c>
      <c r="V622" s="17" t="s" ph="1">
        <v>2217</v>
      </c>
      <c r="X622" s="13" t="s" ph="1">
        <v>2218</v>
      </c>
    </row>
    <row r="623" spans="1:25" ht="22.5" customHeight="1" ph="1" x14ac:dyDescent="0.35">
      <c r="C623" s="13" t="s" ph="1">
        <v>707</v>
      </c>
      <c r="G623" s="13" t="s" ph="1">
        <v>5218</v>
      </c>
      <c r="H623" s="13" t="s" ph="1">
        <v>961</v>
      </c>
      <c r="I623" s="13" t="s" ph="1">
        <v>2219</v>
      </c>
      <c r="J623" s="13" t="s" ph="1">
        <v>2220</v>
      </c>
      <c r="M623" s="14" t="str" ph="1">
        <f>IFERROR(INDEX([1]!_born[生没年],
MATCH(I623,[1]!_born[作],0)),"")</f>
        <v/>
      </c>
      <c r="N623" s="14" t="str" ph="1">
        <f>IFERROR(INDEX([1]!_born[生没年],
MATCH(K623,[1]!_born[作],0)),"")</f>
        <v/>
      </c>
      <c r="O623" s="13" t="s" ph="1">
        <v>2221</v>
      </c>
      <c r="R623" s="16" t="s" ph="1">
        <v>976</v>
      </c>
      <c r="S623" s="13" t="s" ph="1">
        <v>2222</v>
      </c>
      <c r="T623" s="13" t="s" ph="1">
        <v>2223</v>
      </c>
      <c r="U623" s="16" ph="1">
        <v>38123</v>
      </c>
      <c r="V623" s="17" t="s" ph="1">
        <v>2224</v>
      </c>
      <c r="W623" s="17"/>
      <c r="X623" s="13" t="s" ph="1">
        <v>2218</v>
      </c>
    </row>
    <row r="624" spans="1:25" ht="22.5" customHeight="1" ph="1" x14ac:dyDescent="0.35">
      <c r="A624" s="106" t="s" ph="1">
        <v>2225</v>
      </c>
      <c r="C624" s="13" t="s" ph="1">
        <v>2226</v>
      </c>
      <c r="G624" s="13" t="s" ph="1">
        <v>5218</v>
      </c>
      <c r="H624" s="13" t="s" ph="1">
        <v>709</v>
      </c>
      <c r="I624" s="13" t="s" ph="1">
        <v>2227</v>
      </c>
      <c r="J624" s="13" t="s" ph="1">
        <v>2228</v>
      </c>
      <c r="K624" s="13" t="s" ph="1">
        <v>2229</v>
      </c>
      <c r="L624" s="13" t="s" ph="1">
        <v>2230</v>
      </c>
      <c r="M624" s="14" t="str" ph="1">
        <f>IFERROR(INDEX([1]!_born[生没年],
MATCH(I624,[1]!_born[作],0)),"")</f>
        <v/>
      </c>
      <c r="N624" s="14" t="str" ph="1">
        <f>IFERROR(INDEX([1]!_born[生没年],
MATCH(K624,[1]!_born[作],0)),"")</f>
        <v/>
      </c>
      <c r="O624" s="13" t="s" ph="1">
        <v>2231</v>
      </c>
      <c r="R624" s="16" t="s" ph="1">
        <v>2232</v>
      </c>
      <c r="T624" s="13" t="s" ph="1">
        <v>2233</v>
      </c>
      <c r="U624" s="16" ph="1">
        <v>37920</v>
      </c>
      <c r="V624" s="17" t="s" ph="1">
        <v>2234</v>
      </c>
      <c r="W624" s="17" ph="1">
        <f>1280*1.05</f>
        <v>1344</v>
      </c>
      <c r="X624" s="13" t="s" ph="1">
        <v>3802</v>
      </c>
    </row>
    <row r="625" spans="1:25" ht="22.5" customHeight="1" ph="1" x14ac:dyDescent="0.35">
      <c r="A625" s="106" t="s" ph="1">
        <v>2235</v>
      </c>
      <c r="B625" s="5" t="s" ph="1">
        <v>2236</v>
      </c>
      <c r="C625" s="13" t="s" ph="1">
        <v>707</v>
      </c>
      <c r="G625" s="13" t="s" ph="1">
        <v>5218</v>
      </c>
      <c r="H625" s="13" t="s" ph="1">
        <v>709</v>
      </c>
      <c r="I625" s="13" t="s" ph="1">
        <v>2237</v>
      </c>
      <c r="M625" s="14" t="str" ph="1">
        <f>IFERROR(INDEX([1]!_born[生没年],
MATCH(I625,[1]!_born[作],0)),"")</f>
        <v/>
      </c>
      <c r="N625" s="14" t="str" ph="1">
        <f>IFERROR(INDEX([1]!_born[生没年],
MATCH(K625,[1]!_born[作],0)),"")</f>
        <v/>
      </c>
      <c r="O625" s="13" t="s" ph="1">
        <v>2859</v>
      </c>
      <c r="R625" s="16" t="s" ph="1">
        <v>2238</v>
      </c>
      <c r="T625" s="13" t="s" ph="1">
        <v>2239</v>
      </c>
      <c r="U625" s="16" ph="1">
        <v>38285</v>
      </c>
      <c r="W625" s="17" ph="1">
        <f>1570*1.05</f>
        <v>1648.5</v>
      </c>
      <c r="X625" s="13" t="s" ph="1">
        <v>3802</v>
      </c>
    </row>
    <row r="626" spans="1:25" ht="22.5" customHeight="1" ph="1" x14ac:dyDescent="0.35">
      <c r="A626" s="106" t="s" ph="1">
        <v>2240</v>
      </c>
      <c r="B626" s="5" t="s" ph="1">
        <v>1010</v>
      </c>
      <c r="C626" s="13" t="s" ph="1">
        <v>707</v>
      </c>
      <c r="G626" s="13" t="s" ph="1">
        <v>5218</v>
      </c>
      <c r="H626" s="13" t="s" ph="1">
        <v>709</v>
      </c>
      <c r="I626" s="13" t="s" ph="1">
        <v>8</v>
      </c>
      <c r="M626" s="14" t="str" ph="1">
        <f>IFERROR(INDEX([1]!_born[生没年],
MATCH(I626,[1]!_born[作],0)),"")</f>
        <v/>
      </c>
      <c r="N626" s="14" t="str" ph="1">
        <f>IFERROR(INDEX([1]!_born[生没年],
MATCH(K626,[1]!_born[作],0)),"")</f>
        <v/>
      </c>
      <c r="O626" s="13" t="s" ph="1">
        <v>5233</v>
      </c>
      <c r="R626" s="16" t="s" ph="1">
        <v>2241</v>
      </c>
      <c r="T626" s="13" t="s" ph="1">
        <v>5234</v>
      </c>
      <c r="U626" s="16" ph="1">
        <v>38660</v>
      </c>
      <c r="V626" s="17" ph="1">
        <f>1000*1.05</f>
        <v>1050</v>
      </c>
      <c r="W626" s="17" ph="1">
        <f>1000*1.05+300</f>
        <v>1350</v>
      </c>
      <c r="X626" s="13" t="s" ph="1">
        <v>2629</v>
      </c>
    </row>
    <row r="627" spans="1:25" ht="22.5" customHeight="1" ph="1" x14ac:dyDescent="0.35">
      <c r="A627" s="106" t="s" ph="1">
        <v>2242</v>
      </c>
      <c r="B627" s="5" t="s" ph="1">
        <v>1010</v>
      </c>
      <c r="C627" s="13" t="s" ph="1">
        <v>707</v>
      </c>
      <c r="G627" s="13" t="s" ph="1">
        <v>5218</v>
      </c>
      <c r="H627" s="13" t="s" ph="1">
        <v>709</v>
      </c>
      <c r="I627" s="13" t="s" ph="1">
        <v>8</v>
      </c>
      <c r="M627" s="14" t="str" ph="1">
        <f>IFERROR(INDEX([1]!_born[生没年],
MATCH(I627,[1]!_born[作],0)),"")</f>
        <v/>
      </c>
      <c r="N627" s="14" t="str" ph="1">
        <f>IFERROR(INDEX([1]!_born[生没年],
MATCH(K627,[1]!_born[作],0)),"")</f>
        <v/>
      </c>
      <c r="O627" s="13" t="s" ph="1">
        <v>5235</v>
      </c>
      <c r="R627" s="16" t="s" ph="1">
        <v>2113</v>
      </c>
      <c r="T627" s="13" t="s" ph="1">
        <v>5234</v>
      </c>
      <c r="U627" s="16" ph="1">
        <v>38652</v>
      </c>
      <c r="V627" s="17" ph="1">
        <f>1000*1.05</f>
        <v>1050</v>
      </c>
      <c r="W627" s="17" ph="1">
        <f>800+340</f>
        <v>1140</v>
      </c>
      <c r="X627" s="13" t="s" ph="1">
        <v>2629</v>
      </c>
      <c r="Y627" s="13" t="s" ph="1">
        <v>5236</v>
      </c>
    </row>
    <row r="628" spans="1:25" ht="22.5" customHeight="1" ph="1" x14ac:dyDescent="0.35">
      <c r="A628" s="106" t="s" ph="1">
        <v>2243</v>
      </c>
      <c r="B628" s="5" t="s" ph="1">
        <v>1010</v>
      </c>
      <c r="C628" s="13" t="s" ph="1">
        <v>707</v>
      </c>
      <c r="G628" s="13" t="s" ph="1">
        <v>5218</v>
      </c>
      <c r="H628" s="13" t="s" ph="1">
        <v>709</v>
      </c>
      <c r="I628" s="13" t="s" ph="1">
        <v>8</v>
      </c>
      <c r="M628" s="14" t="str" ph="1">
        <f>IFERROR(INDEX([1]!_born[生没年],
MATCH(I628,[1]!_born[作],0)),"")</f>
        <v/>
      </c>
      <c r="N628" s="14" t="str" ph="1">
        <f>IFERROR(INDEX([1]!_born[生没年],
MATCH(K628,[1]!_born[作],0)),"")</f>
        <v/>
      </c>
      <c r="O628" s="13" t="s" ph="1">
        <v>144</v>
      </c>
      <c r="R628" s="16" t="s" ph="1">
        <v>2244</v>
      </c>
      <c r="T628" s="13" t="s" ph="1">
        <v>5234</v>
      </c>
      <c r="U628" s="16" ph="1">
        <v>38653</v>
      </c>
      <c r="V628" s="17" ph="1">
        <f>1000*1.05</f>
        <v>1050</v>
      </c>
      <c r="W628" s="17" ph="1">
        <f>750+340</f>
        <v>1090</v>
      </c>
      <c r="X628" s="13" t="s" ph="1">
        <v>2629</v>
      </c>
      <c r="Y628" s="13" t="s" ph="1">
        <v>5237</v>
      </c>
    </row>
    <row r="629" spans="1:25" ht="22.5" customHeight="1" ph="1" x14ac:dyDescent="0.35">
      <c r="A629" s="106" t="s" ph="1">
        <v>2245</v>
      </c>
      <c r="B629" s="5" t="s" ph="1">
        <v>1010</v>
      </c>
      <c r="C629" s="13" t="s" ph="1">
        <v>707</v>
      </c>
      <c r="G629" s="13" t="s" ph="1">
        <v>5218</v>
      </c>
      <c r="H629" s="13" t="s" ph="1">
        <v>709</v>
      </c>
      <c r="I629" s="13" t="s" ph="1">
        <v>8</v>
      </c>
      <c r="M629" s="14" t="str" ph="1">
        <f>IFERROR(INDEX([1]!_born[生没年],
MATCH(I629,[1]!_born[作],0)),"")</f>
        <v/>
      </c>
      <c r="N629" s="14" t="str" ph="1">
        <f>IFERROR(INDEX([1]!_born[生没年],
MATCH(K629,[1]!_born[作],0)),"")</f>
        <v/>
      </c>
      <c r="O629" s="13" t="s" ph="1">
        <v>5238</v>
      </c>
      <c r="R629" s="16" t="s" ph="1">
        <v>2246</v>
      </c>
      <c r="T629" s="13" t="s" ph="1">
        <v>5234</v>
      </c>
      <c r="U629" s="16" ph="1">
        <v>38653</v>
      </c>
      <c r="V629" s="17" ph="1">
        <f>1000*1.05</f>
        <v>1050</v>
      </c>
      <c r="W629" s="17" ph="1">
        <f>800+340</f>
        <v>1140</v>
      </c>
      <c r="X629" s="13" t="s" ph="1">
        <v>2629</v>
      </c>
      <c r="Y629" s="13" t="s" ph="1">
        <v>5239</v>
      </c>
    </row>
    <row r="630" spans="1:25" ht="22.5" customHeight="1" ph="1" x14ac:dyDescent="0.35">
      <c r="A630" s="106" t="s" ph="1">
        <v>2247</v>
      </c>
      <c r="B630" s="5" t="s" ph="1">
        <v>2248</v>
      </c>
      <c r="C630" s="13" t="s" ph="1">
        <v>707</v>
      </c>
      <c r="G630" s="13" t="s" ph="1">
        <v>5218</v>
      </c>
      <c r="H630" s="13" t="s" ph="1">
        <v>709</v>
      </c>
      <c r="I630" s="13" t="s" ph="1">
        <v>5240</v>
      </c>
      <c r="J630" s="13" t="s" ph="1">
        <v>4543</v>
      </c>
      <c r="K630" s="13" t="s" ph="1">
        <v>70</v>
      </c>
      <c r="L630" s="13" t="s" ph="1">
        <v>3915</v>
      </c>
      <c r="M630" s="14" t="str" ph="1">
        <f>IFERROR(INDEX([1]!_born[生没年],
MATCH(I630,[1]!_born[作],0)),"")</f>
        <v/>
      </c>
      <c r="N630" s="14" t="str" ph="1">
        <f>IFERROR(INDEX([1]!_born[生没年],
MATCH(K630,[1]!_born[作],0)),"")</f>
        <v/>
      </c>
      <c r="O630" s="13" t="s" ph="1">
        <v>5241</v>
      </c>
      <c r="R630" s="16" t="s" ph="1">
        <v>711</v>
      </c>
      <c r="T630" s="13" t="s" ph="1">
        <v>5242</v>
      </c>
      <c r="U630" s="16" ph="1">
        <v>39287</v>
      </c>
      <c r="V630" s="17" ph="1">
        <f>1400*1.05</f>
        <v>1470</v>
      </c>
      <c r="W630" s="17" ph="1">
        <f>1400*1.05</f>
        <v>1470</v>
      </c>
      <c r="X630" s="13" t="s" ph="1">
        <v>4656</v>
      </c>
    </row>
    <row r="631" spans="1:25" s="19" customFormat="1" ht="22.5" customHeight="1" ph="1" x14ac:dyDescent="0.35">
      <c r="A631" s="107" ph="1"/>
      <c r="B631" s="18" ph="1"/>
      <c r="C631" s="19" t="s" ph="1">
        <v>707</v>
      </c>
      <c r="D631" s="124" ph="1"/>
      <c r="E631" s="124" ph="1">
        <v>3</v>
      </c>
      <c r="G631" s="19" t="s" ph="1">
        <v>5223</v>
      </c>
      <c r="H631" s="19" t="s" ph="1">
        <v>709</v>
      </c>
      <c r="M631" s="27" t="str" ph="1">
        <f>IFERROR(INDEX([1]!_born[生没年],
MATCH(I631,[1]!_born[作],0)),"")</f>
        <v/>
      </c>
      <c r="N631" s="27" t="str" ph="1">
        <f>IFERROR(INDEX([1]!_born[生没年],
MATCH(K631,[1]!_born[作],0)),"")</f>
        <v/>
      </c>
      <c r="O631" s="19" t="s" ph="1">
        <v>5243</v>
      </c>
      <c r="R631" s="20" ph="1"/>
      <c r="S631" s="19" t="s" ph="1">
        <v>712</v>
      </c>
      <c r="U631" s="20" t="s" ph="1">
        <v>706</v>
      </c>
      <c r="V631" s="21" t="s" ph="1">
        <v>713</v>
      </c>
      <c r="W631" s="21" ph="1"/>
    </row>
    <row r="632" spans="1:25" ht="22.5" customHeight="1" ph="1" x14ac:dyDescent="0.35">
      <c r="A632" s="106" t="s" ph="1">
        <v>714</v>
      </c>
      <c r="B632" s="5" t="s" ph="1">
        <v>715</v>
      </c>
      <c r="C632" s="13" t="s" ph="1">
        <v>707</v>
      </c>
      <c r="G632" s="13" t="s" ph="1">
        <v>5218</v>
      </c>
      <c r="H632" s="13" t="s" ph="1">
        <v>716</v>
      </c>
      <c r="I632" s="13" t="s" ph="1">
        <v>5244</v>
      </c>
      <c r="M632" s="14" t="str" ph="1">
        <f>IFERROR(INDEX([1]!_born[生没年],
MATCH(I632,[1]!_born[作],0)),"")</f>
        <v/>
      </c>
      <c r="N632" s="14" t="str" ph="1">
        <f>IFERROR(INDEX([1]!_born[生没年],
MATCH(K632,[1]!_born[作],0)),"")</f>
        <v/>
      </c>
      <c r="O632" s="13" t="s" ph="1">
        <v>5245</v>
      </c>
      <c r="R632" s="16" t="s" ph="1">
        <v>717</v>
      </c>
      <c r="T632" s="13" t="s" ph="1">
        <v>5246</v>
      </c>
      <c r="U632" s="16" ph="1">
        <v>38430</v>
      </c>
      <c r="V632" s="17" ph="1">
        <f>2000*1.05</f>
        <v>2100</v>
      </c>
      <c r="W632" s="17" ph="1">
        <f>2000*1.05</f>
        <v>2100</v>
      </c>
      <c r="X632" s="13" t="s" ph="1">
        <v>5247</v>
      </c>
    </row>
    <row r="633" spans="1:25" ht="22.5" customHeight="1" ph="1" x14ac:dyDescent="0.35">
      <c r="A633" s="106" t="s" ph="1">
        <v>718</v>
      </c>
      <c r="C633" s="13" t="s" ph="1">
        <v>707</v>
      </c>
      <c r="G633" s="13" t="s" ph="1">
        <v>5218</v>
      </c>
      <c r="H633" s="13" t="s" ph="1">
        <v>716</v>
      </c>
      <c r="I633" s="13" t="s" ph="1">
        <v>5248</v>
      </c>
      <c r="J633" s="13" t="s" ph="1">
        <v>5249</v>
      </c>
      <c r="M633" s="14" t="str" ph="1">
        <f>IFERROR(INDEX([1]!_born[生没年],
MATCH(I633,[1]!_born[作],0)),"")</f>
        <v/>
      </c>
      <c r="N633" s="14" t="str" ph="1">
        <f>IFERROR(INDEX([1]!_born[生没年],
MATCH(K633,[1]!_born[作],0)),"")</f>
        <v/>
      </c>
      <c r="O633" s="22" t="s" ph="1">
        <v>5250</v>
      </c>
      <c r="R633" s="16" t="s" ph="1">
        <v>719</v>
      </c>
      <c r="S633" s="13" t="s" ph="1">
        <v>679</v>
      </c>
      <c r="T633" s="13" t="s" ph="1">
        <v>720</v>
      </c>
      <c r="U633" s="16" ph="1">
        <v>37024</v>
      </c>
      <c r="V633" s="17" ph="1">
        <f>680*1.05</f>
        <v>714</v>
      </c>
      <c r="W633" s="17" ph="1">
        <f>680*1.05</f>
        <v>714</v>
      </c>
      <c r="X633" s="13" t="s" ph="1">
        <v>4001</v>
      </c>
    </row>
    <row r="634" spans="1:25" ht="22.5" customHeight="1" ph="1" x14ac:dyDescent="0.35">
      <c r="A634" s="106" t="s" ph="1">
        <v>721</v>
      </c>
      <c r="C634" s="13" t="s" ph="1">
        <v>707</v>
      </c>
      <c r="G634" s="13" t="s" ph="1">
        <v>5218</v>
      </c>
      <c r="H634" s="13" t="s" ph="1">
        <v>716</v>
      </c>
      <c r="I634" s="13" t="s" ph="1">
        <v>5248</v>
      </c>
      <c r="J634" s="13" t="s" ph="1">
        <v>5249</v>
      </c>
      <c r="M634" s="14" t="str" ph="1">
        <f>IFERROR(INDEX([1]!_born[生没年],
MATCH(I634,[1]!_born[作],0)),"")</f>
        <v/>
      </c>
      <c r="N634" s="14" t="str" ph="1">
        <f>IFERROR(INDEX([1]!_born[生没年],
MATCH(K634,[1]!_born[作],0)),"")</f>
        <v/>
      </c>
      <c r="O634" s="22" t="s" ph="1">
        <v>5251</v>
      </c>
      <c r="R634" s="16" t="s" ph="1">
        <v>719</v>
      </c>
      <c r="S634" s="13" t="s" ph="1">
        <v>679</v>
      </c>
      <c r="T634" s="13" t="s" ph="1">
        <v>720</v>
      </c>
      <c r="U634" s="16" ph="1">
        <v>37024</v>
      </c>
      <c r="V634" s="17" ph="1">
        <f>680*1.05</f>
        <v>714</v>
      </c>
      <c r="W634" s="17" ph="1">
        <f>680*1.05</f>
        <v>714</v>
      </c>
      <c r="X634" s="13" t="s" ph="1">
        <v>4001</v>
      </c>
    </row>
    <row r="635" spans="1:25" ht="22.5" customHeight="1" ph="1" x14ac:dyDescent="0.35">
      <c r="C635" s="13" t="s" ph="1">
        <v>707</v>
      </c>
      <c r="D635" s="123" ph="1">
        <v>1</v>
      </c>
      <c r="E635" s="123" ph="1">
        <v>12</v>
      </c>
      <c r="G635" s="13" t="s" ph="1">
        <v>5218</v>
      </c>
      <c r="H635" s="13" t="s" ph="1">
        <v>716</v>
      </c>
      <c r="I635" s="13" t="s" ph="1">
        <v>5252</v>
      </c>
      <c r="J635" s="13" t="s" ph="1">
        <v>5253</v>
      </c>
      <c r="K635" s="13" t="s" ph="1">
        <v>5254</v>
      </c>
      <c r="L635" s="13" t="s" ph="1">
        <v>5255</v>
      </c>
      <c r="M635" s="14" t="str" ph="1">
        <f>IFERROR(INDEX([1]!_born[生没年],
MATCH(I635,[1]!_born[作],0)),"")</f>
        <v/>
      </c>
      <c r="N635" s="14" t="str" ph="1">
        <f>IFERROR(INDEX([1]!_born[生没年],
MATCH(K635,[1]!_born[作],0)),"")</f>
        <v/>
      </c>
      <c r="O635" s="13" t="s" ph="1">
        <v>5256</v>
      </c>
      <c r="S635" s="13" t="s" ph="1">
        <v>5257</v>
      </c>
      <c r="T635" s="13" t="s" ph="1">
        <v>5258</v>
      </c>
      <c r="U635" s="16" ph="1">
        <v>36779</v>
      </c>
      <c r="V635" s="17" ph="1">
        <v>500</v>
      </c>
      <c r="W635" s="17" ph="1">
        <v>100</v>
      </c>
    </row>
    <row r="636" spans="1:25" ht="22.5" customHeight="1" ph="1" x14ac:dyDescent="0.35">
      <c r="C636" s="13" t="s" ph="1">
        <v>707</v>
      </c>
      <c r="D636" s="123" ph="1">
        <v>2</v>
      </c>
      <c r="E636" s="123" ph="1">
        <v>12</v>
      </c>
      <c r="G636" s="13" t="s" ph="1">
        <v>5218</v>
      </c>
      <c r="H636" s="13" t="s" ph="1">
        <v>716</v>
      </c>
      <c r="I636" s="13" t="s" ph="1">
        <v>5252</v>
      </c>
      <c r="J636" s="13" t="s" ph="1">
        <v>5253</v>
      </c>
      <c r="K636" s="13" t="s" ph="1">
        <v>5254</v>
      </c>
      <c r="L636" s="13" t="s" ph="1">
        <v>5255</v>
      </c>
      <c r="M636" s="14" t="str" ph="1">
        <f>IFERROR(INDEX([1]!_born[生没年],
MATCH(I636,[1]!_born[作],0)),"")</f>
        <v/>
      </c>
      <c r="N636" s="14" t="str" ph="1">
        <f>IFERROR(INDEX([1]!_born[生没年],
MATCH(K636,[1]!_born[作],0)),"")</f>
        <v/>
      </c>
      <c r="O636" s="13" t="s" ph="1">
        <v>5259</v>
      </c>
      <c r="S636" s="13" t="s" ph="1">
        <v>5260</v>
      </c>
      <c r="T636" s="13" t="s" ph="1">
        <v>5258</v>
      </c>
      <c r="U636" s="16" ph="1">
        <v>36779</v>
      </c>
      <c r="V636" s="17" ph="1">
        <v>500</v>
      </c>
      <c r="W636" s="17" ph="1">
        <v>100</v>
      </c>
    </row>
    <row r="637" spans="1:25" ht="22.5" customHeight="1" ph="1" x14ac:dyDescent="0.35">
      <c r="C637" s="13" t="s" ph="1">
        <v>707</v>
      </c>
      <c r="D637" s="123" ph="1">
        <v>3</v>
      </c>
      <c r="E637" s="123" ph="1">
        <v>12</v>
      </c>
      <c r="G637" s="13" t="s" ph="1">
        <v>5218</v>
      </c>
      <c r="H637" s="13" t="s" ph="1">
        <v>716</v>
      </c>
      <c r="I637" s="13" t="s" ph="1">
        <v>5252</v>
      </c>
      <c r="J637" s="13" t="s" ph="1">
        <v>5253</v>
      </c>
      <c r="K637" s="13" t="s" ph="1">
        <v>5261</v>
      </c>
      <c r="L637" s="13" t="s" ph="1">
        <v>5262</v>
      </c>
      <c r="M637" s="14" t="str" ph="1">
        <f>IFERROR(INDEX([1]!_born[生没年],
MATCH(I637,[1]!_born[作],0)),"")</f>
        <v/>
      </c>
      <c r="N637" s="14" t="str" ph="1">
        <f>IFERROR(INDEX([1]!_born[生没年],
MATCH(K637,[1]!_born[作],0)),"")</f>
        <v/>
      </c>
      <c r="O637" s="13" t="s" ph="1">
        <v>5263</v>
      </c>
      <c r="S637" s="13" t="s" ph="1">
        <v>5264</v>
      </c>
      <c r="T637" s="13" t="s" ph="1">
        <v>5258</v>
      </c>
      <c r="U637" s="16" ph="1">
        <v>36779</v>
      </c>
      <c r="V637" s="17" ph="1">
        <v>500</v>
      </c>
      <c r="W637" s="17" ph="1">
        <v>100</v>
      </c>
    </row>
    <row r="638" spans="1:25" ht="22.5" customHeight="1" ph="1" x14ac:dyDescent="0.35">
      <c r="C638" s="13" t="s" ph="1">
        <v>707</v>
      </c>
      <c r="D638" s="123" ph="1">
        <v>4</v>
      </c>
      <c r="E638" s="123" ph="1">
        <v>12</v>
      </c>
      <c r="G638" s="13" t="s" ph="1">
        <v>5218</v>
      </c>
      <c r="H638" s="13" t="s" ph="1">
        <v>716</v>
      </c>
      <c r="I638" s="13" t="s" ph="1">
        <v>5252</v>
      </c>
      <c r="J638" s="13" t="s" ph="1">
        <v>5253</v>
      </c>
      <c r="K638" s="13" t="s" ph="1">
        <v>5265</v>
      </c>
      <c r="L638" s="13" t="s" ph="1">
        <v>5266</v>
      </c>
      <c r="M638" s="14" t="str" ph="1">
        <f>IFERROR(INDEX([1]!_born[生没年],
MATCH(I638,[1]!_born[作],0)),"")</f>
        <v/>
      </c>
      <c r="N638" s="14" t="str" ph="1">
        <f>IFERROR(INDEX([1]!_born[生没年],
MATCH(K638,[1]!_born[作],0)),"")</f>
        <v/>
      </c>
      <c r="O638" s="13" t="s" ph="1">
        <v>5267</v>
      </c>
      <c r="S638" s="13" t="s" ph="1">
        <v>5268</v>
      </c>
      <c r="T638" s="13" t="s" ph="1">
        <v>5258</v>
      </c>
      <c r="U638" s="16" ph="1">
        <v>36779</v>
      </c>
      <c r="V638" s="17" ph="1">
        <v>500</v>
      </c>
      <c r="W638" s="17" ph="1">
        <v>100</v>
      </c>
    </row>
    <row r="639" spans="1:25" ht="22.5" customHeight="1" ph="1" x14ac:dyDescent="0.35">
      <c r="C639" s="13" t="s" ph="1">
        <v>707</v>
      </c>
      <c r="D639" s="123" ph="1">
        <v>5</v>
      </c>
      <c r="E639" s="123" ph="1">
        <v>12</v>
      </c>
      <c r="G639" s="13" t="s" ph="1">
        <v>5218</v>
      </c>
      <c r="H639" s="13" t="s" ph="1">
        <v>716</v>
      </c>
      <c r="I639" s="13" t="s" ph="1">
        <v>5252</v>
      </c>
      <c r="J639" s="13" t="s" ph="1">
        <v>5253</v>
      </c>
      <c r="K639" s="13" t="s" ph="1">
        <v>5269</v>
      </c>
      <c r="L639" s="13" t="s" ph="1">
        <v>5270</v>
      </c>
      <c r="M639" s="14" t="str" ph="1">
        <f>IFERROR(INDEX([1]!_born[生没年],
MATCH(I639,[1]!_born[作],0)),"")</f>
        <v/>
      </c>
      <c r="N639" s="14" t="str" ph="1">
        <f>IFERROR(INDEX([1]!_born[生没年],
MATCH(K639,[1]!_born[作],0)),"")</f>
        <v/>
      </c>
      <c r="O639" s="13" t="s" ph="1">
        <v>5271</v>
      </c>
      <c r="S639" s="13" t="s" ph="1">
        <v>5272</v>
      </c>
      <c r="T639" s="13" t="s" ph="1">
        <v>5258</v>
      </c>
      <c r="U639" s="16" ph="1">
        <v>36779</v>
      </c>
      <c r="V639" s="17" ph="1">
        <v>500</v>
      </c>
      <c r="W639" s="17" ph="1">
        <v>100</v>
      </c>
    </row>
    <row r="640" spans="1:25" ht="22.5" customHeight="1" ph="1" x14ac:dyDescent="0.35">
      <c r="C640" s="13" t="s" ph="1">
        <v>707</v>
      </c>
      <c r="D640" s="123" ph="1">
        <v>6</v>
      </c>
      <c r="E640" s="123" ph="1">
        <v>12</v>
      </c>
      <c r="G640" s="13" t="s" ph="1">
        <v>5218</v>
      </c>
      <c r="H640" s="13" t="s" ph="1">
        <v>716</v>
      </c>
      <c r="I640" s="13" t="s" ph="1">
        <v>5252</v>
      </c>
      <c r="J640" s="13" t="s" ph="1">
        <v>5253</v>
      </c>
      <c r="K640" s="13" t="s" ph="1">
        <v>5254</v>
      </c>
      <c r="L640" s="13" t="s" ph="1">
        <v>5255</v>
      </c>
      <c r="M640" s="14" t="str" ph="1">
        <f>IFERROR(INDEX([1]!_born[生没年],
MATCH(I640,[1]!_born[作],0)),"")</f>
        <v/>
      </c>
      <c r="N640" s="14" t="str" ph="1">
        <f>IFERROR(INDEX([1]!_born[生没年],
MATCH(K640,[1]!_born[作],0)),"")</f>
        <v/>
      </c>
      <c r="O640" s="13" t="s" ph="1">
        <v>5273</v>
      </c>
      <c r="S640" s="13" t="s" ph="1">
        <v>5274</v>
      </c>
      <c r="T640" s="13" t="s" ph="1">
        <v>5258</v>
      </c>
      <c r="U640" s="16" ph="1">
        <v>36779</v>
      </c>
      <c r="V640" s="17" ph="1">
        <v>500</v>
      </c>
      <c r="W640" s="17" ph="1">
        <v>100</v>
      </c>
    </row>
    <row r="641" spans="1:25" ht="22.5" customHeight="1" ph="1" x14ac:dyDescent="0.35">
      <c r="C641" s="13" t="s" ph="1">
        <v>707</v>
      </c>
      <c r="D641" s="123" ph="1">
        <v>7</v>
      </c>
      <c r="E641" s="123" ph="1">
        <v>12</v>
      </c>
      <c r="G641" s="13" t="s" ph="1">
        <v>5218</v>
      </c>
      <c r="H641" s="13" t="s" ph="1">
        <v>716</v>
      </c>
      <c r="I641" s="13" t="s" ph="1">
        <v>5252</v>
      </c>
      <c r="J641" s="13" t="s" ph="1">
        <v>5253</v>
      </c>
      <c r="K641" s="13" t="s" ph="1">
        <v>5254</v>
      </c>
      <c r="L641" s="13" t="s" ph="1">
        <v>5255</v>
      </c>
      <c r="M641" s="14" t="str" ph="1">
        <f>IFERROR(INDEX([1]!_born[生没年],
MATCH(I641,[1]!_born[作],0)),"")</f>
        <v/>
      </c>
      <c r="N641" s="14" t="str" ph="1">
        <f>IFERROR(INDEX([1]!_born[生没年],
MATCH(K641,[1]!_born[作],0)),"")</f>
        <v/>
      </c>
      <c r="O641" s="13" t="s" ph="1">
        <v>5275</v>
      </c>
      <c r="S641" s="13" t="s" ph="1">
        <v>5276</v>
      </c>
      <c r="T641" s="13" t="s" ph="1">
        <v>5258</v>
      </c>
      <c r="U641" s="16" ph="1">
        <v>36779</v>
      </c>
      <c r="V641" s="17" ph="1">
        <v>500</v>
      </c>
      <c r="W641" s="17" ph="1">
        <v>100</v>
      </c>
    </row>
    <row r="642" spans="1:25" ht="22.5" customHeight="1" ph="1" x14ac:dyDescent="0.35">
      <c r="C642" s="13" t="s" ph="1">
        <v>707</v>
      </c>
      <c r="D642" s="123" ph="1">
        <v>8</v>
      </c>
      <c r="E642" s="123" ph="1">
        <v>12</v>
      </c>
      <c r="G642" s="13" t="s" ph="1">
        <v>5218</v>
      </c>
      <c r="H642" s="13" t="s" ph="1">
        <v>716</v>
      </c>
      <c r="I642" s="13" t="s" ph="1">
        <v>5252</v>
      </c>
      <c r="J642" s="13" t="s" ph="1">
        <v>5253</v>
      </c>
      <c r="K642" s="13" t="s" ph="1">
        <v>5277</v>
      </c>
      <c r="L642" s="13" t="s" ph="1">
        <v>5278</v>
      </c>
      <c r="M642" s="14" t="str" ph="1">
        <f>IFERROR(INDEX([1]!_born[生没年],
MATCH(I642,[1]!_born[作],0)),"")</f>
        <v/>
      </c>
      <c r="N642" s="14" t="str" ph="1">
        <f>IFERROR(INDEX([1]!_born[生没年],
MATCH(K642,[1]!_born[作],0)),"")</f>
        <v/>
      </c>
      <c r="O642" s="13" t="s" ph="1">
        <v>5279</v>
      </c>
      <c r="S642" s="13" t="s" ph="1">
        <v>5280</v>
      </c>
      <c r="T642" s="13" t="s" ph="1">
        <v>5258</v>
      </c>
      <c r="U642" s="16" ph="1">
        <v>36779</v>
      </c>
      <c r="V642" s="17" ph="1">
        <v>500</v>
      </c>
      <c r="W642" s="17" ph="1">
        <v>100</v>
      </c>
    </row>
    <row r="643" spans="1:25" ht="22.5" customHeight="1" ph="1" x14ac:dyDescent="0.35">
      <c r="C643" s="13" t="s" ph="1">
        <v>707</v>
      </c>
      <c r="D643" s="123" ph="1">
        <v>9</v>
      </c>
      <c r="E643" s="123" ph="1">
        <v>12</v>
      </c>
      <c r="G643" s="13" t="s" ph="1">
        <v>5218</v>
      </c>
      <c r="H643" s="13" t="s" ph="1">
        <v>716</v>
      </c>
      <c r="I643" s="13" t="s" ph="1">
        <v>5252</v>
      </c>
      <c r="J643" s="13" t="s" ph="1">
        <v>5253</v>
      </c>
      <c r="K643" s="13" t="s" ph="1">
        <v>5254</v>
      </c>
      <c r="L643" s="13" t="s" ph="1">
        <v>5255</v>
      </c>
      <c r="M643" s="14" t="str" ph="1">
        <f>IFERROR(INDEX([1]!_born[生没年],
MATCH(I643,[1]!_born[作],0)),"")</f>
        <v/>
      </c>
      <c r="N643" s="14" t="str" ph="1">
        <f>IFERROR(INDEX([1]!_born[生没年],
MATCH(K643,[1]!_born[作],0)),"")</f>
        <v/>
      </c>
      <c r="O643" s="13" t="s" ph="1">
        <v>5281</v>
      </c>
      <c r="S643" s="13" t="s" ph="1">
        <v>5282</v>
      </c>
      <c r="T643" s="13" t="s" ph="1">
        <v>5258</v>
      </c>
      <c r="U643" s="16" ph="1">
        <v>36779</v>
      </c>
      <c r="V643" s="17" ph="1">
        <v>500</v>
      </c>
      <c r="W643" s="17" ph="1">
        <v>100</v>
      </c>
    </row>
    <row r="644" spans="1:25" ht="22.5" customHeight="1" ph="1" x14ac:dyDescent="0.35">
      <c r="C644" s="13" t="s" ph="1">
        <v>707</v>
      </c>
      <c r="G644" s="13" t="s" ph="1">
        <v>5218</v>
      </c>
      <c r="H644" s="13" t="s" ph="1">
        <v>716</v>
      </c>
      <c r="I644" s="13" t="s" ph="1">
        <v>5283</v>
      </c>
      <c r="J644" s="13" t="s" ph="1">
        <v>5284</v>
      </c>
      <c r="M644" s="14" t="str" ph="1">
        <f>IFERROR(INDEX([1]!_born[生没年],
MATCH(I644,[1]!_born[作],0)),"")</f>
        <v/>
      </c>
      <c r="N644" s="14" t="str" ph="1">
        <f>IFERROR(INDEX([1]!_born[生没年],
MATCH(K644,[1]!_born[作],0)),"")</f>
        <v/>
      </c>
      <c r="O644" s="13" t="s" ph="1">
        <v>5285</v>
      </c>
      <c r="R644" s="16" t="s" ph="1">
        <v>722</v>
      </c>
      <c r="S644" s="13" t="s" ph="1">
        <v>5286</v>
      </c>
      <c r="T644" s="13" t="s" ph="1">
        <v>5287</v>
      </c>
      <c r="U644" s="16" t="s" ph="1">
        <v>5288</v>
      </c>
      <c r="V644" s="17" ph="1">
        <v>430</v>
      </c>
      <c r="W644" s="17" ph="1">
        <v>100</v>
      </c>
      <c r="X644" s="13" t="s" ph="1">
        <v>5289</v>
      </c>
    </row>
    <row r="645" spans="1:25" ht="22.5" customHeight="1" ph="1" x14ac:dyDescent="0.35">
      <c r="C645" s="13" t="s" ph="1">
        <v>707</v>
      </c>
      <c r="G645" s="13" t="s" ph="1">
        <v>5218</v>
      </c>
      <c r="H645" s="13" t="s" ph="1">
        <v>709</v>
      </c>
      <c r="I645" s="13" t="s" ph="1">
        <v>327</v>
      </c>
      <c r="M645" s="14" t="str" ph="1">
        <f>IFERROR(INDEX([1]!_born[生没年],
MATCH(I645,[1]!_born[作],0)),"")</f>
        <v/>
      </c>
      <c r="N645" s="14" t="str" ph="1">
        <f>IFERROR(INDEX([1]!_born[生没年],
MATCH(K645,[1]!_born[作],0)),"")</f>
        <v/>
      </c>
      <c r="O645" s="15" t="s" ph="1">
        <v>5290</v>
      </c>
      <c r="S645" s="13" t="s" ph="1">
        <v>723</v>
      </c>
      <c r="U645" s="16" t="s" ph="1">
        <v>706</v>
      </c>
      <c r="V645" s="17" ph="1">
        <v>11.6</v>
      </c>
    </row>
    <row r="646" spans="1:25" ht="22.5" customHeight="1" ph="1" x14ac:dyDescent="0.35">
      <c r="C646" s="13" t="s" ph="1">
        <v>3648</v>
      </c>
      <c r="G646" s="13" t="s" ph="1">
        <v>5218</v>
      </c>
      <c r="H646" s="13" t="s" ph="1">
        <v>716</v>
      </c>
      <c r="I646" s="13" t="s" ph="1">
        <v>5291</v>
      </c>
      <c r="M646" s="14" t="str" ph="1">
        <f>IFERROR(INDEX([1]!_born[生没年],
MATCH(I646,[1]!_born[作],0)),"")</f>
        <v/>
      </c>
      <c r="N646" s="14" t="str" ph="1">
        <f>IFERROR(INDEX([1]!_born[生没年],
MATCH(K646,[1]!_born[作],0)),"")</f>
        <v/>
      </c>
      <c r="O646" s="13" t="s" ph="1">
        <v>5292</v>
      </c>
      <c r="R646" s="16" t="s" ph="1">
        <v>724</v>
      </c>
      <c r="S646" s="13" t="s" ph="1">
        <v>5293</v>
      </c>
      <c r="T646" s="13" t="s" ph="1">
        <v>5242</v>
      </c>
      <c r="U646" s="16" ph="1">
        <v>36807</v>
      </c>
      <c r="V646" s="17" ph="1">
        <v>280</v>
      </c>
      <c r="W646" s="17" ph="1">
        <v>0</v>
      </c>
      <c r="X646" s="13" t="s" ph="1">
        <v>3622</v>
      </c>
      <c r="Y646" s="13" t="s" ph="1">
        <v>3623</v>
      </c>
    </row>
    <row r="647" spans="1:25" ht="22.5" customHeight="1" ph="1" x14ac:dyDescent="0.35">
      <c r="C647" s="13" t="s" ph="1">
        <v>707</v>
      </c>
      <c r="G647" s="13" t="s" ph="1">
        <v>5218</v>
      </c>
      <c r="H647" s="13" t="s" ph="1">
        <v>716</v>
      </c>
      <c r="I647" s="13" t="s" ph="1">
        <v>5294</v>
      </c>
      <c r="M647" s="14" t="str" ph="1">
        <f>IFERROR(INDEX([1]!_born[生没年],
MATCH(I647,[1]!_born[作],0)),"")</f>
        <v/>
      </c>
      <c r="N647" s="14" t="str" ph="1">
        <f>IFERROR(INDEX([1]!_born[生没年],
MATCH(K647,[1]!_born[作],0)),"")</f>
        <v/>
      </c>
      <c r="O647" s="13" t="s" ph="1">
        <v>5295</v>
      </c>
      <c r="R647" s="16" t="s" ph="1">
        <v>725</v>
      </c>
      <c r="S647" s="13" t="s" ph="1">
        <v>5296</v>
      </c>
      <c r="T647" s="13" t="s" ph="1">
        <v>5297</v>
      </c>
      <c r="U647" s="16" ph="1">
        <v>38018</v>
      </c>
      <c r="V647" s="17" ph="1">
        <v>960</v>
      </c>
      <c r="W647" s="17" ph="1">
        <v>200</v>
      </c>
      <c r="X647" s="13" t="s" ph="1">
        <v>5298</v>
      </c>
      <c r="Y647" s="13" t="s" ph="1">
        <v>726</v>
      </c>
    </row>
    <row r="648" spans="1:25" ht="22.5" customHeight="1" ph="1" x14ac:dyDescent="0.35">
      <c r="C648" s="13" t="s" ph="1">
        <v>25</v>
      </c>
      <c r="G648" s="13" t="s" ph="1">
        <v>5218</v>
      </c>
      <c r="H648" s="13" t="s" ph="1">
        <v>61</v>
      </c>
      <c r="I648" s="13" t="s" ph="1">
        <v>5299</v>
      </c>
      <c r="M648" s="14" t="str" ph="1">
        <f>IFERROR(INDEX([1]!_born[生没年],
MATCH(I648,[1]!_born[作],0)),"")</f>
        <v/>
      </c>
      <c r="N648" s="14" t="str" ph="1">
        <f>IFERROR(INDEX([1]!_born[生没年],
MATCH(K648,[1]!_born[作],0)),"")</f>
        <v/>
      </c>
      <c r="O648" s="13" t="s" ph="1">
        <v>5300</v>
      </c>
      <c r="R648" s="16" t="s" ph="1">
        <v>727</v>
      </c>
      <c r="T648" s="13" t="s" ph="1">
        <v>5301</v>
      </c>
      <c r="U648" s="16" t="s" ph="1">
        <v>5221</v>
      </c>
      <c r="Y648" s="24" t="s" ph="1">
        <v>728</v>
      </c>
    </row>
    <row r="649" spans="1:25" ht="22.5" customHeight="1" ph="1" x14ac:dyDescent="0.35">
      <c r="A649" s="106" t="s" ph="1">
        <v>10046</v>
      </c>
      <c r="B649" s="5" t="s" ph="1">
        <v>761</v>
      </c>
      <c r="C649" s="13" t="s" ph="1">
        <v>707</v>
      </c>
      <c r="G649" s="13" t="s" ph="1">
        <v>5218</v>
      </c>
      <c r="H649" s="13" t="s" ph="1">
        <v>716</v>
      </c>
      <c r="I649" s="13" t="s" ph="1">
        <v>10173</v>
      </c>
      <c r="M649" s="14" t="str" ph="1">
        <f>IFERROR(INDEX([1]!_born[生没年],
MATCH(I649,[1]!_born[作],0)),"")</f>
        <v/>
      </c>
      <c r="N649" s="14" t="str" ph="1">
        <f>IFERROR(INDEX([1]!_born[生没年],
MATCH(K649,[1]!_born[作],0)),"")</f>
        <v/>
      </c>
      <c r="O649" s="13" t="s" ph="1">
        <v>10174</v>
      </c>
      <c r="R649" s="16" ph="1">
        <v>45458</v>
      </c>
      <c r="S649" s="13" t="s" ph="1">
        <v>10175</v>
      </c>
      <c r="T649" s="13" t="s" ph="1">
        <v>10176</v>
      </c>
      <c r="U649" s="16" ph="1">
        <v>45477</v>
      </c>
      <c r="V649" s="17" ph="1">
        <f>1300*1.1</f>
        <v>1430.0000000000002</v>
      </c>
      <c r="W649" s="17" ph="1">
        <f>1300*1.1</f>
        <v>1430.0000000000002</v>
      </c>
      <c r="X649" s="13" t="s" ph="1">
        <v>10177</v>
      </c>
    </row>
    <row r="650" spans="1:25" ht="22.5" customHeight="1" ph="1" x14ac:dyDescent="0.35">
      <c r="C650" s="13" t="s" ph="1">
        <v>707</v>
      </c>
      <c r="G650" s="13" t="s" ph="1">
        <v>5218</v>
      </c>
      <c r="H650" s="13" t="s" ph="1">
        <v>716</v>
      </c>
      <c r="I650" s="13" t="s" ph="1">
        <v>5302</v>
      </c>
      <c r="M650" s="14" t="str" ph="1">
        <f>IFERROR(INDEX([1]!_born[生没年],
MATCH(I650,[1]!_born[作],0)),"")</f>
        <v/>
      </c>
      <c r="N650" s="14" t="str" ph="1">
        <f>IFERROR(INDEX([1]!_born[生没年],
MATCH(K650,[1]!_born[作],0)),"")</f>
        <v/>
      </c>
      <c r="O650" s="13" t="s" ph="1">
        <v>5303</v>
      </c>
      <c r="R650" s="16" t="s" ph="1">
        <v>729</v>
      </c>
      <c r="T650" s="13" t="s" ph="1">
        <v>5304</v>
      </c>
      <c r="U650" s="16" ph="1">
        <v>37142</v>
      </c>
      <c r="V650" s="17" ph="1">
        <v>980</v>
      </c>
      <c r="W650" s="17" ph="1">
        <v>200</v>
      </c>
      <c r="X650" s="13" t="s" ph="1">
        <v>4848</v>
      </c>
    </row>
    <row r="651" spans="1:25" ht="22.5" customHeight="1" ph="1" x14ac:dyDescent="0.35">
      <c r="C651" s="13" t="s" ph="1">
        <v>707</v>
      </c>
      <c r="G651" s="13" t="s" ph="1">
        <v>5218</v>
      </c>
      <c r="H651" s="13" t="s" ph="1">
        <v>709</v>
      </c>
      <c r="M651" s="14" t="str" ph="1">
        <f>IFERROR(INDEX([1]!_born[生没年],
MATCH(I651,[1]!_born[作],0)),"")</f>
        <v/>
      </c>
      <c r="N651" s="14" t="str" ph="1">
        <f>IFERROR(INDEX([1]!_born[生没年],
MATCH(K651,[1]!_born[作],0)),"")</f>
        <v/>
      </c>
      <c r="O651" s="13" t="s" ph="1">
        <v>328</v>
      </c>
      <c r="T651" s="13" t="s" ph="1">
        <v>730</v>
      </c>
    </row>
    <row r="652" spans="1:25" ht="22.5" customHeight="1" ph="1" x14ac:dyDescent="0.35">
      <c r="C652" s="13" t="s" ph="1">
        <v>707</v>
      </c>
      <c r="G652" s="13" t="s" ph="1">
        <v>5218</v>
      </c>
      <c r="H652" s="13" t="s" ph="1">
        <v>709</v>
      </c>
      <c r="I652" s="13" t="s" ph="1">
        <v>356</v>
      </c>
      <c r="K652" s="13" t="s" ph="1">
        <v>5305</v>
      </c>
      <c r="L652" s="13" t="s" ph="1">
        <v>3628</v>
      </c>
      <c r="M652" s="14" t="str" ph="1">
        <f>IFERROR(INDEX([1]!_born[生没年],
MATCH(I652,[1]!_born[作],0)),"")</f>
        <v/>
      </c>
      <c r="N652" s="14" t="str" ph="1">
        <f>IFERROR(INDEX([1]!_born[生没年],
MATCH(K652,[1]!_born[作],0)),"")</f>
        <v/>
      </c>
      <c r="O652" s="13" t="s" ph="1">
        <v>5306</v>
      </c>
      <c r="T652" s="13" t="s" ph="1">
        <v>5307</v>
      </c>
      <c r="V652" s="17" ph="1">
        <f>2260*1.05</f>
        <v>2373</v>
      </c>
    </row>
    <row r="653" spans="1:25" ht="22.5" customHeight="1" ph="1" x14ac:dyDescent="0.35">
      <c r="C653" s="13" t="s" ph="1">
        <v>707</v>
      </c>
      <c r="G653" s="13" t="s" ph="1">
        <v>5218</v>
      </c>
      <c r="H653" s="13" t="s" ph="1">
        <v>709</v>
      </c>
      <c r="I653" s="13" t="s" ph="1">
        <v>5308</v>
      </c>
      <c r="L653" s="13" t="s" ph="1">
        <v>3628</v>
      </c>
      <c r="M653" s="14" t="str" ph="1">
        <f>IFERROR(INDEX([1]!_born[生没年],
MATCH(I653,[1]!_born[作],0)),"")</f>
        <v/>
      </c>
      <c r="N653" s="14" t="str" ph="1">
        <f>IFERROR(INDEX([1]!_born[生没年],
MATCH(K653,[1]!_born[作],0)),"")</f>
        <v/>
      </c>
      <c r="O653" s="13" t="s" ph="1">
        <v>5309</v>
      </c>
      <c r="U653" s="16" t="s" ph="1">
        <v>706</v>
      </c>
    </row>
    <row r="654" spans="1:25" ht="22.5" customHeight="1" ph="1" x14ac:dyDescent="0.35">
      <c r="C654" s="13" t="s" ph="1">
        <v>707</v>
      </c>
      <c r="G654" s="13" t="s" ph="1">
        <v>5218</v>
      </c>
      <c r="H654" s="13" t="s" ph="1">
        <v>709</v>
      </c>
      <c r="I654" s="13" t="s" ph="1">
        <v>357</v>
      </c>
      <c r="K654" s="13" t="s" ph="1">
        <v>5310</v>
      </c>
      <c r="L654" s="13" t="s" ph="1">
        <v>3628</v>
      </c>
      <c r="M654" s="14" t="str" ph="1">
        <f>IFERROR(INDEX([1]!_born[生没年],
MATCH(I654,[1]!_born[作],0)),"")</f>
        <v/>
      </c>
      <c r="N654" s="14" t="str" ph="1">
        <f>IFERROR(INDEX([1]!_born[生没年],
MATCH(K654,[1]!_born[作],0)),"")</f>
        <v/>
      </c>
      <c r="O654" s="13" t="s" ph="1">
        <v>5311</v>
      </c>
      <c r="R654" s="16" t="s" ph="1">
        <v>731</v>
      </c>
      <c r="S654" s="13" t="s" ph="1">
        <v>5312</v>
      </c>
      <c r="T654" s="13" t="s" ph="1">
        <v>5313</v>
      </c>
      <c r="V654" s="17" ph="1">
        <f>854*1.05</f>
        <v>896.7</v>
      </c>
    </row>
    <row r="655" spans="1:25" ht="22.5" customHeight="1" ph="1" x14ac:dyDescent="0.35">
      <c r="C655" s="13" t="s" ph="1">
        <v>707</v>
      </c>
      <c r="G655" s="13" t="s" ph="1">
        <v>5218</v>
      </c>
      <c r="H655" s="13" t="s" ph="1">
        <v>709</v>
      </c>
      <c r="I655" s="13" t="s" ph="1">
        <v>357</v>
      </c>
      <c r="K655" s="13" t="s" ph="1">
        <v>5310</v>
      </c>
      <c r="L655" s="13" t="s" ph="1">
        <v>3628</v>
      </c>
      <c r="M655" s="14" t="str" ph="1">
        <f>IFERROR(INDEX([1]!_born[生没年],
MATCH(I655,[1]!_born[作],0)),"")</f>
        <v/>
      </c>
      <c r="N655" s="14" t="str" ph="1">
        <f>IFERROR(INDEX([1]!_born[生没年],
MATCH(K655,[1]!_born[作],0)),"")</f>
        <v/>
      </c>
      <c r="O655" s="13" t="s" ph="1">
        <v>5314</v>
      </c>
      <c r="R655" s="16" t="s" ph="1">
        <v>732</v>
      </c>
      <c r="S655" s="13" t="s" ph="1">
        <v>5312</v>
      </c>
      <c r="T655" s="13" t="s" ph="1">
        <v>5313</v>
      </c>
      <c r="V655" s="17" ph="1">
        <v>880</v>
      </c>
    </row>
    <row r="656" spans="1:25" ht="22.5" customHeight="1" ph="1" x14ac:dyDescent="0.35">
      <c r="C656" s="13" t="s" ph="1">
        <v>707</v>
      </c>
      <c r="G656" s="13" t="s" ph="1">
        <v>5218</v>
      </c>
      <c r="H656" s="13" t="s" ph="1">
        <v>709</v>
      </c>
      <c r="I656" s="13" t="s" ph="1">
        <v>5315</v>
      </c>
      <c r="K656" s="13" t="s" ph="1">
        <v>5316</v>
      </c>
      <c r="L656" s="13" t="s" ph="1">
        <v>3628</v>
      </c>
      <c r="M656" s="14" t="str" ph="1">
        <f>IFERROR(INDEX([1]!_born[生没年],
MATCH(I656,[1]!_born[作],0)),"")</f>
        <v/>
      </c>
      <c r="N656" s="14" t="str" ph="1">
        <f>IFERROR(INDEX([1]!_born[生没年],
MATCH(K656,[1]!_born[作],0)),"")</f>
        <v/>
      </c>
      <c r="O656" s="13" t="s" ph="1">
        <v>5317</v>
      </c>
      <c r="S656" s="13" t="s" ph="1">
        <v>733</v>
      </c>
      <c r="T656" s="13" t="s" ph="1">
        <v>3842</v>
      </c>
      <c r="U656" s="16" ph="1">
        <v>36762</v>
      </c>
      <c r="X656" s="13" t="s" ph="1">
        <v>5318</v>
      </c>
    </row>
    <row r="657" spans="1:25" ht="22.5" customHeight="1" ph="1" x14ac:dyDescent="0.35">
      <c r="C657" s="13" t="s" ph="1">
        <v>707</v>
      </c>
      <c r="G657" s="13" t="s" ph="1">
        <v>5218</v>
      </c>
      <c r="H657" s="13" t="s" ph="1">
        <v>709</v>
      </c>
      <c r="I657" s="13" t="s" ph="1">
        <v>463</v>
      </c>
      <c r="M657" s="14" t="str" ph="1">
        <f>IFERROR(INDEX([1]!_born[生没年],
MATCH(I657,[1]!_born[作],0)),"")</f>
        <v/>
      </c>
      <c r="N657" s="14" t="str" ph="1">
        <f>IFERROR(INDEX([1]!_born[生没年],
MATCH(K657,[1]!_born[作],0)),"")</f>
        <v/>
      </c>
      <c r="O657" s="13" t="s" ph="1">
        <v>5319</v>
      </c>
      <c r="S657" s="13" t="s" ph="1">
        <v>5320</v>
      </c>
      <c r="T657" s="13" t="s" ph="1">
        <v>4902</v>
      </c>
      <c r="U657" s="16" ph="1">
        <v>37288</v>
      </c>
      <c r="V657" s="17" ph="1">
        <f>1600*1.05</f>
        <v>1680</v>
      </c>
      <c r="W657" s="17" t="s" ph="1">
        <v>734</v>
      </c>
      <c r="X657" s="13" t="s" ph="1">
        <v>5321</v>
      </c>
      <c r="Y657" s="13" t="s" ph="1">
        <v>5322</v>
      </c>
    </row>
    <row r="658" spans="1:25" ht="22.5" customHeight="1" ph="1" x14ac:dyDescent="0.35">
      <c r="C658" s="13" t="s" ph="1">
        <v>707</v>
      </c>
      <c r="G658" s="13" t="s" ph="1">
        <v>5218</v>
      </c>
      <c r="H658" s="13" t="s" ph="1">
        <v>716</v>
      </c>
      <c r="I658" s="13" t="s" ph="1">
        <v>196</v>
      </c>
      <c r="K658" s="13" t="s" ph="1">
        <v>5323</v>
      </c>
      <c r="L658" s="13" t="s" ph="1">
        <v>5324</v>
      </c>
      <c r="M658" s="14" t="str" ph="1">
        <f>IFERROR(INDEX([1]!_born[生没年],
MATCH(I658,[1]!_born[作],0)),"")</f>
        <v/>
      </c>
      <c r="N658" s="14" t="str" ph="1">
        <f>IFERROR(INDEX([1]!_born[生没年],
MATCH(K658,[1]!_born[作],0)),"")</f>
        <v/>
      </c>
      <c r="O658" s="13" t="s" ph="1">
        <v>5325</v>
      </c>
      <c r="S658" s="13" t="s" ph="1">
        <v>5326</v>
      </c>
      <c r="T658" s="13" t="s" ph="1">
        <v>3926</v>
      </c>
      <c r="U658" s="16" ph="1">
        <v>37288</v>
      </c>
    </row>
    <row r="659" spans="1:25" ht="22.5" customHeight="1" ph="1" x14ac:dyDescent="0.35">
      <c r="C659" s="13" t="s" ph="1">
        <v>707</v>
      </c>
      <c r="G659" s="13" t="s" ph="1">
        <v>5218</v>
      </c>
      <c r="H659" s="13" t="s" ph="1">
        <v>716</v>
      </c>
      <c r="M659" s="14" t="str" ph="1">
        <f>IFERROR(INDEX([1]!_born[生没年],
MATCH(I659,[1]!_born[作],0)),"")</f>
        <v/>
      </c>
      <c r="N659" s="14" t="str" ph="1">
        <f>IFERROR(INDEX([1]!_born[生没年],
MATCH(K659,[1]!_born[作],0)),"")</f>
        <v/>
      </c>
      <c r="O659" s="13" t="s" ph="1">
        <v>5327</v>
      </c>
      <c r="S659" s="13" t="s" ph="1">
        <v>5328</v>
      </c>
      <c r="T659" s="13" t="s" ph="1">
        <v>3926</v>
      </c>
      <c r="V659" s="17" ph="1">
        <v>760</v>
      </c>
    </row>
    <row r="660" spans="1:25" ht="22.5" customHeight="1" ph="1" x14ac:dyDescent="0.35">
      <c r="C660" s="13" t="s" ph="1">
        <v>707</v>
      </c>
      <c r="G660" s="13" t="s" ph="1">
        <v>5218</v>
      </c>
      <c r="H660" s="13" t="s" ph="1">
        <v>716</v>
      </c>
      <c r="M660" s="14" t="str" ph="1">
        <f>IFERROR(INDEX([1]!_born[生没年],
MATCH(I660,[1]!_born[作],0)),"")</f>
        <v/>
      </c>
      <c r="N660" s="14" t="str" ph="1">
        <f>IFERROR(INDEX([1]!_born[生没年],
MATCH(K660,[1]!_born[作],0)),"")</f>
        <v/>
      </c>
      <c r="O660" s="13" t="s" ph="1">
        <v>5329</v>
      </c>
      <c r="T660" s="13" t="s" ph="1">
        <v>3988</v>
      </c>
      <c r="U660" s="16" ph="1">
        <v>37288</v>
      </c>
    </row>
    <row r="661" spans="1:25" ht="22.5" customHeight="1" ph="1" x14ac:dyDescent="0.35">
      <c r="C661" s="13" t="s" ph="1">
        <v>707</v>
      </c>
      <c r="G661" s="13" t="s" ph="1">
        <v>5218</v>
      </c>
      <c r="H661" s="13" t="s" ph="1">
        <v>716</v>
      </c>
      <c r="I661" s="13" t="s" ph="1">
        <v>5330</v>
      </c>
      <c r="J661" s="13" t="s" ph="1">
        <v>5331</v>
      </c>
      <c r="M661" s="14" t="str" ph="1">
        <f>IFERROR(INDEX([1]!_born[生没年],
MATCH(I661,[1]!_born[作],0)),"")</f>
        <v/>
      </c>
      <c r="N661" s="14" t="str" ph="1">
        <f>IFERROR(INDEX([1]!_born[生没年],
MATCH(K661,[1]!_born[作],0)),"")</f>
        <v/>
      </c>
      <c r="O661" s="13" t="s" ph="1">
        <v>5332</v>
      </c>
      <c r="T661" s="13" t="s" ph="1">
        <v>3988</v>
      </c>
      <c r="U661" s="16" ph="1">
        <v>36923</v>
      </c>
      <c r="V661" s="17" ph="1">
        <f>380*1.05</f>
        <v>399</v>
      </c>
      <c r="W661" s="17" ph="1">
        <f>380*1.05</f>
        <v>399</v>
      </c>
    </row>
    <row r="662" spans="1:25" ht="22.5" customHeight="1" ph="1" x14ac:dyDescent="0.35">
      <c r="A662" s="106" t="s" ph="1">
        <v>735</v>
      </c>
      <c r="C662" s="13" t="s" ph="1">
        <v>707</v>
      </c>
      <c r="G662" s="13" t="s" ph="1">
        <v>5218</v>
      </c>
      <c r="H662" s="13" t="s" ph="1">
        <v>716</v>
      </c>
      <c r="I662" s="13" t="s" ph="1">
        <v>5333</v>
      </c>
      <c r="L662" s="13" t="s" ph="1">
        <v>3671</v>
      </c>
      <c r="M662" s="14" t="str" ph="1">
        <f>IFERROR(INDEX([1]!_born[生没年],
MATCH(I662,[1]!_born[作],0)),"")</f>
        <v/>
      </c>
      <c r="N662" s="14" t="str" ph="1">
        <f>IFERROR(INDEX([1]!_born[生没年],
MATCH(K662,[1]!_born[作],0)),"")</f>
        <v/>
      </c>
      <c r="O662" s="13" t="s" ph="1">
        <v>5334</v>
      </c>
      <c r="S662" s="13" t="s" ph="1">
        <v>5335</v>
      </c>
      <c r="T662" s="13" t="s" ph="1">
        <v>3988</v>
      </c>
      <c r="U662" s="16" t="s" ph="1">
        <v>736</v>
      </c>
      <c r="V662" s="17" ph="1">
        <v>90</v>
      </c>
      <c r="W662" s="17" ph="1">
        <v>105</v>
      </c>
      <c r="X662" s="13" t="s" ph="1">
        <v>3718</v>
      </c>
      <c r="Y662" s="13" t="s" ph="1">
        <v>5336</v>
      </c>
    </row>
    <row r="663" spans="1:25" ht="22.5" customHeight="1" ph="1" x14ac:dyDescent="0.35">
      <c r="C663" s="13" t="s" ph="1">
        <v>707</v>
      </c>
      <c r="G663" s="13" t="s" ph="1">
        <v>5218</v>
      </c>
      <c r="H663" s="13" t="s" ph="1">
        <v>716</v>
      </c>
      <c r="I663" s="13" t="s" ph="1">
        <v>5337</v>
      </c>
      <c r="L663" s="13" t="s" ph="1">
        <v>3915</v>
      </c>
      <c r="M663" s="14" t="str" ph="1">
        <f>IFERROR(INDEX([1]!_born[生没年],
MATCH(I663,[1]!_born[作],0)),"")</f>
        <v/>
      </c>
      <c r="N663" s="14" t="str" ph="1">
        <f>IFERROR(INDEX([1]!_born[生没年],
MATCH(K663,[1]!_born[作],0)),"")</f>
        <v/>
      </c>
      <c r="O663" s="13" t="s" ph="1">
        <v>5338</v>
      </c>
      <c r="U663" s="16" t="s" ph="1">
        <v>706</v>
      </c>
    </row>
    <row r="664" spans="1:25" ht="22.5" customHeight="1" ph="1" x14ac:dyDescent="0.35">
      <c r="C664" s="13" t="s" ph="1">
        <v>707</v>
      </c>
      <c r="G664" s="13" t="s" ph="1">
        <v>5218</v>
      </c>
      <c r="H664" s="13" t="s" ph="1">
        <v>716</v>
      </c>
      <c r="M664" s="14" t="str" ph="1">
        <f>IFERROR(INDEX([1]!_born[生没年],
MATCH(I664,[1]!_born[作],0)),"")</f>
        <v/>
      </c>
      <c r="N664" s="14" t="str" ph="1">
        <f>IFERROR(INDEX([1]!_born[生没年],
MATCH(K664,[1]!_born[作],0)),"")</f>
        <v/>
      </c>
      <c r="O664" s="13" t="s" ph="1">
        <v>5339</v>
      </c>
    </row>
    <row r="665" spans="1:25" ht="22.5" customHeight="1" ph="1" x14ac:dyDescent="0.35">
      <c r="C665" s="13" t="s" ph="1">
        <v>707</v>
      </c>
      <c r="G665" s="13" t="s" ph="1">
        <v>5218</v>
      </c>
      <c r="H665" s="13" t="s" ph="1">
        <v>716</v>
      </c>
      <c r="I665" s="13" t="s" ph="1">
        <v>5340</v>
      </c>
      <c r="M665" s="14" t="str" ph="1">
        <f>IFERROR(INDEX([1]!_born[生没年],
MATCH(I665,[1]!_born[作],0)),"")</f>
        <v/>
      </c>
      <c r="N665" s="14" t="str" ph="1">
        <f>IFERROR(INDEX([1]!_born[生没年],
MATCH(K665,[1]!_born[作],0)),"")</f>
        <v/>
      </c>
      <c r="O665" s="13" t="s" ph="1">
        <v>5341</v>
      </c>
    </row>
    <row r="666" spans="1:25" ht="22.5" customHeight="1" ph="1" x14ac:dyDescent="0.35">
      <c r="C666" s="13" t="s" ph="1">
        <v>707</v>
      </c>
      <c r="G666" s="13" t="s" ph="1">
        <v>5218</v>
      </c>
      <c r="H666" s="13" t="s" ph="1">
        <v>716</v>
      </c>
      <c r="I666" s="15" t="s" ph="1">
        <v>5342</v>
      </c>
      <c r="M666" s="14" t="str" ph="1">
        <f>IFERROR(INDEX([1]!_born[生没年],
MATCH(I666,[1]!_born[作],0)),"")</f>
        <v/>
      </c>
      <c r="N666" s="14" t="str" ph="1">
        <f>IFERROR(INDEX([1]!_born[生没年],
MATCH(K666,[1]!_born[作],0)),"")</f>
        <v/>
      </c>
      <c r="O666" s="15" t="s" ph="1">
        <v>5343</v>
      </c>
      <c r="T666" s="13" t="s" ph="1">
        <v>5344</v>
      </c>
      <c r="U666" s="16" t="s" ph="1">
        <v>706</v>
      </c>
    </row>
    <row r="667" spans="1:25" ht="22.5" customHeight="1" ph="1" x14ac:dyDescent="0.35">
      <c r="C667" s="13" t="s" ph="1">
        <v>707</v>
      </c>
      <c r="G667" s="13" t="s" ph="1">
        <v>5218</v>
      </c>
      <c r="H667" s="13" t="s" ph="1">
        <v>716</v>
      </c>
      <c r="I667" s="15" t="s" ph="1">
        <v>5345</v>
      </c>
      <c r="J667" s="13" t="s" ph="1">
        <v>3915</v>
      </c>
      <c r="K667" s="15" t="s" ph="1">
        <v>5346</v>
      </c>
      <c r="L667" s="13" t="s" ph="1">
        <v>4543</v>
      </c>
      <c r="M667" s="14" t="str" ph="1">
        <f>IFERROR(INDEX([1]!_born[生没年],
MATCH(I667,[1]!_born[作],0)),"")</f>
        <v/>
      </c>
      <c r="N667" s="14" t="str" ph="1">
        <f>IFERROR(INDEX([1]!_born[生没年],
MATCH(K667,[1]!_born[作],0)),"")</f>
        <v/>
      </c>
      <c r="O667" s="15" t="s" ph="1">
        <v>5347</v>
      </c>
      <c r="U667" s="16" t="s" ph="1">
        <v>706</v>
      </c>
      <c r="Y667" s="13" t="s" ph="1">
        <v>4724</v>
      </c>
    </row>
    <row r="668" spans="1:25" ht="22.5" customHeight="1" ph="1" x14ac:dyDescent="0.35">
      <c r="C668" s="13" t="s" ph="1">
        <v>707</v>
      </c>
      <c r="G668" s="13" t="s" ph="1">
        <v>5218</v>
      </c>
      <c r="H668" s="13" t="s" ph="1">
        <v>716</v>
      </c>
      <c r="I668" s="15" t="s" ph="1">
        <v>5345</v>
      </c>
      <c r="J668" s="13" t="s" ph="1">
        <v>3915</v>
      </c>
      <c r="K668" s="15" t="s" ph="1">
        <v>5346</v>
      </c>
      <c r="L668" s="13" t="s" ph="1">
        <v>4543</v>
      </c>
      <c r="M668" s="14" t="str" ph="1">
        <f>IFERROR(INDEX([1]!_born[生没年],
MATCH(I668,[1]!_born[作],0)),"")</f>
        <v/>
      </c>
      <c r="N668" s="14" t="str" ph="1">
        <f>IFERROR(INDEX([1]!_born[生没年],
MATCH(K668,[1]!_born[作],0)),"")</f>
        <v/>
      </c>
      <c r="O668" s="15" t="s" ph="1">
        <v>5347</v>
      </c>
      <c r="U668" s="16" t="s" ph="1">
        <v>706</v>
      </c>
    </row>
    <row r="669" spans="1:25" ht="22.5" customHeight="1" ph="1" x14ac:dyDescent="0.35">
      <c r="C669" s="13" t="s" ph="1">
        <v>707</v>
      </c>
      <c r="G669" s="13" t="s" ph="1">
        <v>5218</v>
      </c>
      <c r="H669" s="13" t="s" ph="1">
        <v>716</v>
      </c>
      <c r="I669" s="15" t="s" ph="1">
        <v>5345</v>
      </c>
      <c r="J669" s="13" t="s" ph="1">
        <v>3915</v>
      </c>
      <c r="M669" s="14" t="str" ph="1">
        <f>IFERROR(INDEX([1]!_born[生没年],
MATCH(I669,[1]!_born[作],0)),"")</f>
        <v/>
      </c>
      <c r="N669" s="14" t="str" ph="1">
        <f>IFERROR(INDEX([1]!_born[生没年],
MATCH(K669,[1]!_born[作],0)),"")</f>
        <v/>
      </c>
      <c r="O669" s="13" t="s" ph="1">
        <v>5348</v>
      </c>
      <c r="U669" s="16" t="s" ph="1">
        <v>706</v>
      </c>
    </row>
    <row r="670" spans="1:25" ht="22.5" customHeight="1" ph="1" x14ac:dyDescent="0.35">
      <c r="C670" s="13" t="s" ph="1">
        <v>707</v>
      </c>
      <c r="G670" s="13" t="s" ph="1">
        <v>5218</v>
      </c>
      <c r="H670" s="13" t="s" ph="1">
        <v>716</v>
      </c>
      <c r="I670" s="15" t="s" ph="1">
        <v>5345</v>
      </c>
      <c r="J670" s="13" t="s" ph="1">
        <v>3915</v>
      </c>
      <c r="M670" s="14" t="str" ph="1">
        <f>IFERROR(INDEX([1]!_born[生没年],
MATCH(I670,[1]!_born[作],0)),"")</f>
        <v/>
      </c>
      <c r="N670" s="14" t="str" ph="1">
        <f>IFERROR(INDEX([1]!_born[生没年],
MATCH(K670,[1]!_born[作],0)),"")</f>
        <v/>
      </c>
      <c r="O670" s="13" t="s" ph="1">
        <v>5349</v>
      </c>
      <c r="U670" s="16" t="s" ph="1">
        <v>706</v>
      </c>
    </row>
    <row r="671" spans="1:25" ht="22.5" customHeight="1" ph="1" x14ac:dyDescent="0.35">
      <c r="A671" s="106" t="s" ph="1">
        <v>10036</v>
      </c>
      <c r="B671" s="5" t="s" ph="1">
        <v>761</v>
      </c>
      <c r="C671" s="13" t="s" ph="1">
        <v>25</v>
      </c>
      <c r="G671" s="13" t="s" ph="1">
        <v>5218</v>
      </c>
      <c r="H671" s="13" t="s" ph="1">
        <v>61</v>
      </c>
      <c r="I671" s="13" t="s" ph="1">
        <v>10178</v>
      </c>
      <c r="J671" s="13" t="s" ph="1">
        <v>4543</v>
      </c>
      <c r="K671" s="13" t="s" ph="1">
        <v>10179</v>
      </c>
      <c r="L671" s="13" t="s" ph="1">
        <v>3915</v>
      </c>
      <c r="M671" s="14" t="str" ph="1">
        <f>IFERROR(INDEX([1]!_born[生没年],
MATCH(I671,[1]!_born[作],0)),"")</f>
        <v/>
      </c>
      <c r="N671" s="14" t="str" ph="1">
        <f>IFERROR(INDEX([1]!_born[生没年],
MATCH(K671,[1]!_born[作],0)),"")</f>
        <v/>
      </c>
      <c r="O671" s="13" t="s" ph="1">
        <v>10180</v>
      </c>
      <c r="R671" s="16" t="s" ph="1">
        <v>10037</v>
      </c>
      <c r="S671" s="13" t="s" ph="1">
        <v>10181</v>
      </c>
      <c r="U671" s="16" ph="1">
        <v>45324</v>
      </c>
      <c r="V671" s="17" ph="1">
        <f>1750*1.08</f>
        <v>1890.0000000000002</v>
      </c>
      <c r="W671" s="17" ph="1">
        <v>1925</v>
      </c>
      <c r="X671" s="13" t="s" ph="1">
        <v>2874</v>
      </c>
    </row>
    <row r="672" spans="1:25" ht="22.5" customHeight="1" ph="1" x14ac:dyDescent="0.35">
      <c r="C672" s="13" t="s" ph="1">
        <v>707</v>
      </c>
      <c r="G672" s="13" t="s" ph="1">
        <v>5218</v>
      </c>
      <c r="H672" s="13" t="s" ph="1">
        <v>716</v>
      </c>
      <c r="I672" s="13" t="s" ph="1">
        <v>5350</v>
      </c>
      <c r="J672" s="13" t="s" ph="1">
        <v>3915</v>
      </c>
      <c r="M672" s="14" t="str" ph="1">
        <f>IFERROR(INDEX([1]!_born[生没年],
MATCH(I672,[1]!_born[作],0)),"")</f>
        <v/>
      </c>
      <c r="N672" s="14" t="str" ph="1">
        <f>IFERROR(INDEX([1]!_born[生没年],
MATCH(K672,[1]!_born[作],0)),"")</f>
        <v/>
      </c>
      <c r="O672" s="13" t="s" ph="1">
        <v>5351</v>
      </c>
      <c r="U672" s="16" t="s" ph="1">
        <v>706</v>
      </c>
    </row>
    <row r="673" spans="3:21" ht="22.5" customHeight="1" ph="1" x14ac:dyDescent="0.35">
      <c r="C673" s="13" t="s" ph="1">
        <v>707</v>
      </c>
      <c r="G673" s="13" t="s" ph="1">
        <v>5218</v>
      </c>
      <c r="H673" s="13" t="s" ph="1">
        <v>716</v>
      </c>
      <c r="I673" s="13" t="s" ph="1">
        <v>5350</v>
      </c>
      <c r="J673" s="13" t="s" ph="1">
        <v>3915</v>
      </c>
      <c r="M673" s="14" t="str" ph="1">
        <f>IFERROR(INDEX([1]!_born[生没年],
MATCH(I673,[1]!_born[作],0)),"")</f>
        <v/>
      </c>
      <c r="N673" s="14" t="str" ph="1">
        <f>IFERROR(INDEX([1]!_born[生没年],
MATCH(K673,[1]!_born[作],0)),"")</f>
        <v/>
      </c>
      <c r="O673" s="13" t="s" ph="1">
        <v>5352</v>
      </c>
      <c r="U673" s="16" t="s" ph="1">
        <v>706</v>
      </c>
    </row>
    <row r="674" spans="3:21" ht="22.5" customHeight="1" ph="1" x14ac:dyDescent="0.35">
      <c r="C674" s="13" t="s" ph="1">
        <v>707</v>
      </c>
      <c r="G674" s="13" t="s" ph="1">
        <v>5218</v>
      </c>
      <c r="H674" s="13" t="s" ph="1">
        <v>716</v>
      </c>
      <c r="I674" s="13" t="s" ph="1">
        <v>5350</v>
      </c>
      <c r="J674" s="13" t="s" ph="1">
        <v>3915</v>
      </c>
      <c r="M674" s="14" t="str" ph="1">
        <f>IFERROR(INDEX([1]!_born[生没年],
MATCH(I674,[1]!_born[作],0)),"")</f>
        <v/>
      </c>
      <c r="N674" s="14" t="str" ph="1">
        <f>IFERROR(INDEX([1]!_born[生没年],
MATCH(K674,[1]!_born[作],0)),"")</f>
        <v/>
      </c>
      <c r="O674" s="13" t="s" ph="1">
        <v>5353</v>
      </c>
      <c r="U674" s="16" t="s" ph="1">
        <v>706</v>
      </c>
    </row>
    <row r="675" spans="3:21" ht="22.5" customHeight="1" ph="1" x14ac:dyDescent="0.35">
      <c r="C675" s="13" t="s" ph="1">
        <v>707</v>
      </c>
      <c r="G675" s="13" t="s" ph="1">
        <v>5218</v>
      </c>
      <c r="H675" s="13" t="s" ph="1">
        <v>716</v>
      </c>
      <c r="I675" s="13" t="s" ph="1">
        <v>5350</v>
      </c>
      <c r="J675" s="13" t="s" ph="1">
        <v>3915</v>
      </c>
      <c r="M675" s="14" t="str" ph="1">
        <f>IFERROR(INDEX([1]!_born[生没年],
MATCH(I675,[1]!_born[作],0)),"")</f>
        <v/>
      </c>
      <c r="N675" s="14" t="str" ph="1">
        <f>IFERROR(INDEX([1]!_born[生没年],
MATCH(K675,[1]!_born[作],0)),"")</f>
        <v/>
      </c>
      <c r="O675" s="13" t="s" ph="1">
        <v>5354</v>
      </c>
      <c r="U675" s="16" t="s" ph="1">
        <v>706</v>
      </c>
    </row>
    <row r="676" spans="3:21" ht="22.5" customHeight="1" ph="1" x14ac:dyDescent="0.35">
      <c r="C676" s="13" t="s" ph="1">
        <v>707</v>
      </c>
      <c r="G676" s="13" t="s" ph="1">
        <v>5218</v>
      </c>
      <c r="H676" s="13" t="s" ph="1">
        <v>716</v>
      </c>
      <c r="I676" s="13" t="s" ph="1">
        <v>5350</v>
      </c>
      <c r="J676" s="13" t="s" ph="1">
        <v>3915</v>
      </c>
      <c r="M676" s="14" t="str" ph="1">
        <f>IFERROR(INDEX([1]!_born[生没年],
MATCH(I676,[1]!_born[作],0)),"")</f>
        <v/>
      </c>
      <c r="N676" s="14" t="str" ph="1">
        <f>IFERROR(INDEX([1]!_born[生没年],
MATCH(K676,[1]!_born[作],0)),"")</f>
        <v/>
      </c>
      <c r="O676" s="13" t="s" ph="1">
        <v>5355</v>
      </c>
      <c r="U676" s="16" t="s" ph="1">
        <v>706</v>
      </c>
    </row>
    <row r="677" spans="3:21" ht="22.5" customHeight="1" ph="1" x14ac:dyDescent="0.35">
      <c r="C677" s="13" t="s" ph="1">
        <v>707</v>
      </c>
      <c r="G677" s="13" t="s" ph="1">
        <v>5218</v>
      </c>
      <c r="H677" s="13" t="s" ph="1">
        <v>716</v>
      </c>
      <c r="I677" s="13" t="s" ph="1">
        <v>5350</v>
      </c>
      <c r="J677" s="13" t="s" ph="1">
        <v>3915</v>
      </c>
      <c r="M677" s="14" t="str" ph="1">
        <f>IFERROR(INDEX([1]!_born[生没年],
MATCH(I677,[1]!_born[作],0)),"")</f>
        <v/>
      </c>
      <c r="N677" s="14" t="str" ph="1">
        <f>IFERROR(INDEX([1]!_born[生没年],
MATCH(K677,[1]!_born[作],0)),"")</f>
        <v/>
      </c>
      <c r="O677" s="13" t="s" ph="1">
        <v>5356</v>
      </c>
      <c r="U677" s="16" t="s" ph="1">
        <v>706</v>
      </c>
    </row>
    <row r="678" spans="3:21" ht="22.5" customHeight="1" ph="1" x14ac:dyDescent="0.35">
      <c r="C678" s="13" t="s" ph="1">
        <v>707</v>
      </c>
      <c r="G678" s="13" t="s" ph="1">
        <v>5218</v>
      </c>
      <c r="H678" s="13" t="s" ph="1">
        <v>716</v>
      </c>
      <c r="I678" s="13" t="s" ph="1">
        <v>5357</v>
      </c>
      <c r="M678" s="14" t="str" ph="1">
        <f>IFERROR(INDEX([1]!_born[生没年],
MATCH(I678,[1]!_born[作],0)),"")</f>
        <v/>
      </c>
      <c r="N678" s="14" t="str" ph="1">
        <f>IFERROR(INDEX([1]!_born[生没年],
MATCH(K678,[1]!_born[作],0)),"")</f>
        <v/>
      </c>
      <c r="O678" s="13" t="s" ph="1">
        <v>5358</v>
      </c>
      <c r="T678" s="13" t="s" ph="1">
        <v>636</v>
      </c>
    </row>
    <row r="679" spans="3:21" ht="22.5" customHeight="1" ph="1" x14ac:dyDescent="0.35">
      <c r="C679" s="13" t="s" ph="1">
        <v>707</v>
      </c>
      <c r="G679" s="13" t="s" ph="1">
        <v>5218</v>
      </c>
      <c r="H679" s="13" t="s" ph="1">
        <v>716</v>
      </c>
      <c r="I679" s="13" t="s" ph="1">
        <v>5357</v>
      </c>
      <c r="M679" s="14" t="str" ph="1">
        <f>IFERROR(INDEX([1]!_born[生没年],
MATCH(I679,[1]!_born[作],0)),"")</f>
        <v/>
      </c>
      <c r="N679" s="14" t="str" ph="1">
        <f>IFERROR(INDEX([1]!_born[生没年],
MATCH(K679,[1]!_born[作],0)),"")</f>
        <v/>
      </c>
      <c r="O679" s="13" t="s" ph="1">
        <v>5359</v>
      </c>
      <c r="T679" s="13" t="s" ph="1">
        <v>636</v>
      </c>
    </row>
    <row r="680" spans="3:21" ht="22.5" customHeight="1" ph="1" x14ac:dyDescent="0.35">
      <c r="C680" s="13" t="s" ph="1">
        <v>707</v>
      </c>
      <c r="G680" s="13" t="s" ph="1">
        <v>5218</v>
      </c>
      <c r="H680" s="13" t="s" ph="1">
        <v>716</v>
      </c>
      <c r="I680" s="13" t="s" ph="1">
        <v>5357</v>
      </c>
      <c r="M680" s="14" t="str" ph="1">
        <f>IFERROR(INDEX([1]!_born[生没年],
MATCH(I680,[1]!_born[作],0)),"")</f>
        <v/>
      </c>
      <c r="N680" s="14" t="str" ph="1">
        <f>IFERROR(INDEX([1]!_born[生没年],
MATCH(K680,[1]!_born[作],0)),"")</f>
        <v/>
      </c>
      <c r="O680" s="13" t="s" ph="1">
        <v>5360</v>
      </c>
      <c r="T680" s="13" t="s" ph="1">
        <v>636</v>
      </c>
    </row>
    <row r="681" spans="3:21" ht="22.5" customHeight="1" ph="1" x14ac:dyDescent="0.35">
      <c r="C681" s="13" t="s" ph="1">
        <v>707</v>
      </c>
      <c r="G681" s="13" t="s" ph="1">
        <v>5218</v>
      </c>
      <c r="H681" s="13" t="s" ph="1">
        <v>716</v>
      </c>
      <c r="I681" s="13" t="s" ph="1">
        <v>5357</v>
      </c>
      <c r="M681" s="14" t="str" ph="1">
        <f>IFERROR(INDEX([1]!_born[生没年],
MATCH(I681,[1]!_born[作],0)),"")</f>
        <v/>
      </c>
      <c r="N681" s="14" t="str" ph="1">
        <f>IFERROR(INDEX([1]!_born[生没年],
MATCH(K681,[1]!_born[作],0)),"")</f>
        <v/>
      </c>
      <c r="O681" s="13" t="s" ph="1">
        <v>5361</v>
      </c>
      <c r="T681" s="13" t="s" ph="1">
        <v>636</v>
      </c>
    </row>
    <row r="682" spans="3:21" ht="22.5" customHeight="1" ph="1" x14ac:dyDescent="0.35">
      <c r="C682" s="13" t="s" ph="1">
        <v>707</v>
      </c>
      <c r="G682" s="13" t="s" ph="1">
        <v>5218</v>
      </c>
      <c r="H682" s="13" t="s" ph="1">
        <v>716</v>
      </c>
      <c r="I682" s="13" t="s" ph="1">
        <v>5357</v>
      </c>
      <c r="M682" s="14" t="str" ph="1">
        <f>IFERROR(INDEX([1]!_born[生没年],
MATCH(I682,[1]!_born[作],0)),"")</f>
        <v/>
      </c>
      <c r="N682" s="14" t="str" ph="1">
        <f>IFERROR(INDEX([1]!_born[生没年],
MATCH(K682,[1]!_born[作],0)),"")</f>
        <v/>
      </c>
      <c r="O682" s="13" t="s" ph="1">
        <v>5362</v>
      </c>
      <c r="T682" s="13" t="s" ph="1">
        <v>636</v>
      </c>
    </row>
    <row r="683" spans="3:21" ht="22.5" customHeight="1" ph="1" x14ac:dyDescent="0.35">
      <c r="C683" s="13" t="s" ph="1">
        <v>707</v>
      </c>
      <c r="G683" s="13" t="s" ph="1">
        <v>5218</v>
      </c>
      <c r="H683" s="13" t="s" ph="1">
        <v>716</v>
      </c>
      <c r="I683" s="13" t="s" ph="1">
        <v>5357</v>
      </c>
      <c r="M683" s="14" t="str" ph="1">
        <f>IFERROR(INDEX([1]!_born[生没年],
MATCH(I683,[1]!_born[作],0)),"")</f>
        <v/>
      </c>
      <c r="N683" s="14" t="str" ph="1">
        <f>IFERROR(INDEX([1]!_born[生没年],
MATCH(K683,[1]!_born[作],0)),"")</f>
        <v/>
      </c>
      <c r="O683" s="13" t="s" ph="1">
        <v>5363</v>
      </c>
      <c r="T683" s="13" t="s" ph="1">
        <v>636</v>
      </c>
    </row>
    <row r="684" spans="3:21" ht="22.5" customHeight="1" ph="1" x14ac:dyDescent="0.35">
      <c r="C684" s="13" t="s" ph="1">
        <v>707</v>
      </c>
      <c r="G684" s="13" t="s" ph="1">
        <v>5218</v>
      </c>
      <c r="H684" s="13" t="s" ph="1">
        <v>716</v>
      </c>
      <c r="I684" s="13" t="s" ph="1">
        <v>5357</v>
      </c>
      <c r="M684" s="14" t="str" ph="1">
        <f>IFERROR(INDEX([1]!_born[生没年],
MATCH(I684,[1]!_born[作],0)),"")</f>
        <v/>
      </c>
      <c r="N684" s="14" t="str" ph="1">
        <f>IFERROR(INDEX([1]!_born[生没年],
MATCH(K684,[1]!_born[作],0)),"")</f>
        <v/>
      </c>
      <c r="O684" s="13" t="s" ph="1">
        <v>5364</v>
      </c>
      <c r="T684" s="13" t="s" ph="1">
        <v>636</v>
      </c>
    </row>
    <row r="685" spans="3:21" ht="22.5" customHeight="1" ph="1" x14ac:dyDescent="0.35">
      <c r="C685" s="13" t="s" ph="1">
        <v>707</v>
      </c>
      <c r="G685" s="13" t="s" ph="1">
        <v>5218</v>
      </c>
      <c r="H685" s="13" t="s" ph="1">
        <v>716</v>
      </c>
      <c r="I685" s="13" t="s" ph="1">
        <v>5357</v>
      </c>
      <c r="M685" s="14" t="str" ph="1">
        <f>IFERROR(INDEX([1]!_born[生没年],
MATCH(I685,[1]!_born[作],0)),"")</f>
        <v/>
      </c>
      <c r="N685" s="14" t="str" ph="1">
        <f>IFERROR(INDEX([1]!_born[生没年],
MATCH(K685,[1]!_born[作],0)),"")</f>
        <v/>
      </c>
      <c r="O685" s="13" t="s" ph="1">
        <v>5365</v>
      </c>
      <c r="T685" s="13" t="s" ph="1">
        <v>636</v>
      </c>
      <c r="U685" s="16" t="s" ph="1">
        <v>5366</v>
      </c>
    </row>
    <row r="686" spans="3:21" ht="22.5" customHeight="1" ph="1" x14ac:dyDescent="0.35">
      <c r="C686" s="13" t="s" ph="1">
        <v>707</v>
      </c>
      <c r="G686" s="13" t="s" ph="1">
        <v>5218</v>
      </c>
      <c r="H686" s="13" t="s" ph="1">
        <v>716</v>
      </c>
      <c r="I686" s="13" t="s" ph="1">
        <v>5357</v>
      </c>
      <c r="M686" s="14" t="str" ph="1">
        <f>IFERROR(INDEX([1]!_born[生没年],
MATCH(I686,[1]!_born[作],0)),"")</f>
        <v/>
      </c>
      <c r="N686" s="14" t="str" ph="1">
        <f>IFERROR(INDEX([1]!_born[生没年],
MATCH(K686,[1]!_born[作],0)),"")</f>
        <v/>
      </c>
      <c r="O686" s="13" t="s" ph="1">
        <v>5367</v>
      </c>
      <c r="T686" s="13" t="s" ph="1">
        <v>636</v>
      </c>
    </row>
    <row r="687" spans="3:21" ht="22.5" customHeight="1" ph="1" x14ac:dyDescent="0.35">
      <c r="C687" s="13" t="s" ph="1">
        <v>707</v>
      </c>
      <c r="G687" s="13" t="s" ph="1">
        <v>5218</v>
      </c>
      <c r="H687" s="13" t="s" ph="1">
        <v>716</v>
      </c>
      <c r="I687" s="13" t="s" ph="1">
        <v>5357</v>
      </c>
      <c r="M687" s="14" t="str" ph="1">
        <f>IFERROR(INDEX([1]!_born[生没年],
MATCH(I687,[1]!_born[作],0)),"")</f>
        <v/>
      </c>
      <c r="N687" s="14" t="str" ph="1">
        <f>IFERROR(INDEX([1]!_born[生没年],
MATCH(K687,[1]!_born[作],0)),"")</f>
        <v/>
      </c>
      <c r="O687" s="13" t="s" ph="1">
        <v>5368</v>
      </c>
      <c r="T687" s="13" t="s" ph="1">
        <v>636</v>
      </c>
    </row>
    <row r="688" spans="3:21" ht="22.5" customHeight="1" ph="1" x14ac:dyDescent="0.35">
      <c r="C688" s="13" t="s" ph="1">
        <v>707</v>
      </c>
      <c r="G688" s="13" t="s" ph="1">
        <v>5218</v>
      </c>
      <c r="H688" s="13" t="s" ph="1">
        <v>716</v>
      </c>
      <c r="I688" s="13" t="s" ph="1">
        <v>5357</v>
      </c>
      <c r="M688" s="14" t="str" ph="1">
        <f>IFERROR(INDEX([1]!_born[生没年],
MATCH(I688,[1]!_born[作],0)),"")</f>
        <v/>
      </c>
      <c r="N688" s="14" t="str" ph="1">
        <f>IFERROR(INDEX([1]!_born[生没年],
MATCH(K688,[1]!_born[作],0)),"")</f>
        <v/>
      </c>
      <c r="O688" s="13" t="s" ph="1">
        <v>5369</v>
      </c>
      <c r="T688" s="13" t="s" ph="1">
        <v>636</v>
      </c>
    </row>
    <row r="689" spans="1:25" ht="22.5" customHeight="1" ph="1" x14ac:dyDescent="0.35">
      <c r="C689" s="13" t="s" ph="1">
        <v>707</v>
      </c>
      <c r="G689" s="13" t="s" ph="1">
        <v>5218</v>
      </c>
      <c r="H689" s="13" t="s" ph="1">
        <v>716</v>
      </c>
      <c r="I689" s="13" t="s" ph="1">
        <v>5357</v>
      </c>
      <c r="M689" s="14" t="str" ph="1">
        <f>IFERROR(INDEX([1]!_born[生没年],
MATCH(I689,[1]!_born[作],0)),"")</f>
        <v/>
      </c>
      <c r="N689" s="14" t="str" ph="1">
        <f>IFERROR(INDEX([1]!_born[生没年],
MATCH(K689,[1]!_born[作],0)),"")</f>
        <v/>
      </c>
      <c r="O689" s="13" t="s" ph="1">
        <v>5370</v>
      </c>
      <c r="T689" s="13" t="s" ph="1">
        <v>636</v>
      </c>
    </row>
    <row r="690" spans="1:25" ht="22.5" customHeight="1" ph="1" x14ac:dyDescent="0.35">
      <c r="C690" s="13" t="s" ph="1">
        <v>707</v>
      </c>
      <c r="G690" s="13" t="s" ph="1">
        <v>5218</v>
      </c>
      <c r="H690" s="13" t="s" ph="1">
        <v>716</v>
      </c>
      <c r="I690" s="13" t="s" ph="1">
        <v>5357</v>
      </c>
      <c r="M690" s="14" t="str" ph="1">
        <f>IFERROR(INDEX([1]!_born[生没年],
MATCH(I690,[1]!_born[作],0)),"")</f>
        <v/>
      </c>
      <c r="N690" s="14" t="str" ph="1">
        <f>IFERROR(INDEX([1]!_born[生没年],
MATCH(K690,[1]!_born[作],0)),"")</f>
        <v/>
      </c>
      <c r="O690" s="13" t="s" ph="1">
        <v>5371</v>
      </c>
      <c r="T690" s="13" t="s" ph="1">
        <v>636</v>
      </c>
    </row>
    <row r="691" spans="1:25" ht="22.5" customHeight="1" ph="1" x14ac:dyDescent="0.35">
      <c r="C691" s="13" t="s" ph="1">
        <v>707</v>
      </c>
      <c r="G691" s="13" t="s" ph="1">
        <v>5218</v>
      </c>
      <c r="H691" s="13" t="s" ph="1">
        <v>716</v>
      </c>
      <c r="I691" s="13" t="s" ph="1">
        <v>5357</v>
      </c>
      <c r="M691" s="14" t="str" ph="1">
        <f>IFERROR(INDEX([1]!_born[生没年],
MATCH(I691,[1]!_born[作],0)),"")</f>
        <v/>
      </c>
      <c r="N691" s="14" t="str" ph="1">
        <f>IFERROR(INDEX([1]!_born[生没年],
MATCH(K691,[1]!_born[作],0)),"")</f>
        <v/>
      </c>
      <c r="O691" s="13" t="s" ph="1">
        <v>5372</v>
      </c>
      <c r="T691" s="13" t="s" ph="1">
        <v>636</v>
      </c>
    </row>
    <row r="692" spans="1:25" ht="22.5" customHeight="1" ph="1" x14ac:dyDescent="0.35">
      <c r="C692" s="13" t="s" ph="1">
        <v>707</v>
      </c>
      <c r="G692" s="13" t="s" ph="1">
        <v>5218</v>
      </c>
      <c r="H692" s="13" t="s" ph="1">
        <v>716</v>
      </c>
      <c r="I692" s="13" t="s" ph="1">
        <v>5357</v>
      </c>
      <c r="M692" s="14" t="str" ph="1">
        <f>IFERROR(INDEX([1]!_born[生没年],
MATCH(I692,[1]!_born[作],0)),"")</f>
        <v/>
      </c>
      <c r="N692" s="14" t="str" ph="1">
        <f>IFERROR(INDEX([1]!_born[生没年],
MATCH(K692,[1]!_born[作],0)),"")</f>
        <v/>
      </c>
      <c r="O692" s="13" t="s" ph="1">
        <v>5373</v>
      </c>
      <c r="T692" s="13" t="s" ph="1">
        <v>636</v>
      </c>
    </row>
    <row r="693" spans="1:25" ht="22.5" customHeight="1" ph="1" x14ac:dyDescent="0.35">
      <c r="C693" s="13" t="s" ph="1">
        <v>707</v>
      </c>
      <c r="G693" s="13" t="s" ph="1">
        <v>5218</v>
      </c>
      <c r="H693" s="13" t="s" ph="1">
        <v>716</v>
      </c>
      <c r="I693" s="13" t="s" ph="1">
        <v>5357</v>
      </c>
      <c r="M693" s="14" t="str" ph="1">
        <f>IFERROR(INDEX([1]!_born[生没年],
MATCH(I693,[1]!_born[作],0)),"")</f>
        <v/>
      </c>
      <c r="N693" s="14" t="str" ph="1">
        <f>IFERROR(INDEX([1]!_born[生没年],
MATCH(K693,[1]!_born[作],0)),"")</f>
        <v/>
      </c>
      <c r="O693" s="13" t="s" ph="1">
        <v>5374</v>
      </c>
      <c r="T693" s="13" t="s" ph="1">
        <v>636</v>
      </c>
    </row>
    <row r="694" spans="1:25" ht="22.5" customHeight="1" ph="1" x14ac:dyDescent="0.35">
      <c r="A694" s="106" t="s" ph="1">
        <v>737</v>
      </c>
      <c r="B694" s="5" t="s" ph="1">
        <v>738</v>
      </c>
      <c r="C694" s="13" t="s" ph="1">
        <v>707</v>
      </c>
      <c r="G694" s="13" t="s" ph="1">
        <v>5218</v>
      </c>
      <c r="H694" s="13" t="s" ph="1">
        <v>716</v>
      </c>
      <c r="I694" s="13" t="s" ph="1">
        <v>5357</v>
      </c>
      <c r="M694" s="14" t="str" ph="1">
        <f>IFERROR(INDEX([1]!_born[生没年],
MATCH(I694,[1]!_born[作],0)),"")</f>
        <v/>
      </c>
      <c r="N694" s="14" t="str" ph="1">
        <f>IFERROR(INDEX([1]!_born[生没年],
MATCH(K694,[1]!_born[作],0)),"")</f>
        <v/>
      </c>
      <c r="O694" s="13" t="s" ph="1">
        <v>5375</v>
      </c>
      <c r="S694" s="13" t="s" ph="1">
        <v>5376</v>
      </c>
      <c r="T694" s="13" t="s" ph="1">
        <v>636</v>
      </c>
      <c r="V694" s="17" ph="1">
        <f>1165*1.03</f>
        <v>1199.95</v>
      </c>
    </row>
    <row r="695" spans="1:25" ht="22.5" customHeight="1" ph="1" x14ac:dyDescent="0.35">
      <c r="A695" s="106" t="s" ph="1">
        <v>739</v>
      </c>
      <c r="B695" s="5" t="s" ph="1">
        <v>738</v>
      </c>
      <c r="C695" s="13" t="s" ph="1">
        <v>707</v>
      </c>
      <c r="G695" s="13" t="s" ph="1">
        <v>5218</v>
      </c>
      <c r="H695" s="13" t="s" ph="1">
        <v>716</v>
      </c>
      <c r="I695" s="13" t="s" ph="1">
        <v>5357</v>
      </c>
      <c r="M695" s="14" t="str" ph="1">
        <f>IFERROR(INDEX([1]!_born[生没年],
MATCH(I695,[1]!_born[作],0)),"")</f>
        <v/>
      </c>
      <c r="N695" s="14" t="str" ph="1">
        <f>IFERROR(INDEX([1]!_born[生没年],
MATCH(K695,[1]!_born[作],0)),"")</f>
        <v/>
      </c>
      <c r="O695" s="13" t="s" ph="1">
        <v>5377</v>
      </c>
      <c r="S695" s="13" t="s" ph="1">
        <v>5376</v>
      </c>
      <c r="T695" s="13" t="s" ph="1">
        <v>636</v>
      </c>
      <c r="V695" s="17" ph="1">
        <f>1165*1.03</f>
        <v>1199.95</v>
      </c>
    </row>
    <row r="696" spans="1:25" ht="22.5" customHeight="1" ph="1" x14ac:dyDescent="0.35">
      <c r="A696" s="106" t="s" ph="1">
        <v>740</v>
      </c>
      <c r="B696" s="5" t="s" ph="1">
        <v>715</v>
      </c>
      <c r="C696" s="13" t="s" ph="1">
        <v>707</v>
      </c>
      <c r="G696" s="13" t="s" ph="1">
        <v>5218</v>
      </c>
      <c r="H696" s="13" t="s" ph="1">
        <v>709</v>
      </c>
      <c r="I696" s="13" t="s" ph="1">
        <v>468</v>
      </c>
      <c r="M696" s="14" t="str" ph="1">
        <f>IFERROR(INDEX([1]!_born[生没年],
MATCH(I696,[1]!_born[作],0)),"")</f>
        <v/>
      </c>
      <c r="N696" s="14" t="str" ph="1">
        <f>IFERROR(INDEX([1]!_born[生没年],
MATCH(K696,[1]!_born[作],0)),"")</f>
        <v/>
      </c>
      <c r="O696" s="13" t="s" ph="1">
        <v>5378</v>
      </c>
      <c r="S696" s="13" t="s" ph="1">
        <v>5379</v>
      </c>
      <c r="T696" s="13" t="s" ph="1">
        <v>3926</v>
      </c>
      <c r="U696" s="16" ph="1">
        <v>38955</v>
      </c>
      <c r="V696" s="17" ph="1">
        <f>420*1.05</f>
        <v>441</v>
      </c>
      <c r="W696" s="17" ph="1">
        <f>420*1.05</f>
        <v>441</v>
      </c>
      <c r="X696" s="13" t="s" ph="1">
        <v>4656</v>
      </c>
    </row>
    <row r="697" spans="1:25" s="19" customFormat="1" ht="22.5" customHeight="1" ph="1" x14ac:dyDescent="0.35">
      <c r="A697" s="107" ph="1"/>
      <c r="B697" s="18" ph="1"/>
      <c r="C697" s="19" t="s" ph="1">
        <v>707</v>
      </c>
      <c r="D697" s="124" t="s" ph="1">
        <v>1225</v>
      </c>
      <c r="E697" s="124" t="s" ph="1">
        <v>5380</v>
      </c>
      <c r="G697" s="19" t="s" ph="1">
        <v>5223</v>
      </c>
      <c r="H697" s="19" t="s" ph="1">
        <v>716</v>
      </c>
      <c r="I697" s="19" t="s" ph="1">
        <v>5381</v>
      </c>
      <c r="M697" s="27" t="str" ph="1">
        <f>IFERROR(INDEX([1]!_born[生没年],
MATCH(I697,[1]!_born[作],0)),"")</f>
        <v/>
      </c>
      <c r="N697" s="27" t="str" ph="1">
        <f>IFERROR(INDEX([1]!_born[生没年],
MATCH(K697,[1]!_born[作],0)),"")</f>
        <v/>
      </c>
      <c r="O697" s="19" t="s" ph="1">
        <v>5381</v>
      </c>
      <c r="R697" s="20" ph="1"/>
      <c r="T697" s="19" t="s" ph="1">
        <v>636</v>
      </c>
      <c r="U697" s="20" ph="1"/>
      <c r="V697" s="21" ph="1"/>
      <c r="W697" s="21" ph="1">
        <v>0</v>
      </c>
      <c r="X697" s="19" t="s" ph="1">
        <v>5382</v>
      </c>
      <c r="Y697" s="19" t="s" ph="1">
        <v>5383</v>
      </c>
    </row>
    <row r="698" spans="1:25" ht="22.5" customHeight="1" ph="1" x14ac:dyDescent="0.35">
      <c r="C698" s="13" t="s" ph="1">
        <v>707</v>
      </c>
      <c r="G698" s="13" t="s" ph="1">
        <v>5218</v>
      </c>
      <c r="H698" s="13" t="s" ph="1">
        <v>709</v>
      </c>
      <c r="I698" s="13" t="s" ph="1">
        <v>5384</v>
      </c>
      <c r="M698" s="14" t="str" ph="1">
        <f>IFERROR(INDEX([1]!_born[生没年],
MATCH(I698,[1]!_born[作],0)),"")</f>
        <v/>
      </c>
      <c r="N698" s="14" t="str" ph="1">
        <f>IFERROR(INDEX([1]!_born[生没年],
MATCH(K698,[1]!_born[作],0)),"")</f>
        <v/>
      </c>
      <c r="O698" s="13" t="s" ph="1">
        <v>5384</v>
      </c>
    </row>
    <row r="699" spans="1:25" ht="22.5" customHeight="1" ph="1" x14ac:dyDescent="0.35">
      <c r="A699" s="106" t="s" ph="1">
        <v>741</v>
      </c>
      <c r="B699" s="5" t="s" ph="1">
        <v>715</v>
      </c>
      <c r="C699" s="13" t="s" ph="1">
        <v>707</v>
      </c>
      <c r="G699" s="13" t="s" ph="1">
        <v>5218</v>
      </c>
      <c r="H699" s="13" t="s" ph="1">
        <v>716</v>
      </c>
      <c r="I699" s="13" t="s" ph="1">
        <v>5385</v>
      </c>
      <c r="M699" s="14" t="str" ph="1">
        <f>IFERROR(INDEX([1]!_born[生没年],
MATCH(I699,[1]!_born[作],0)),"")</f>
        <v/>
      </c>
      <c r="N699" s="14" t="str" ph="1">
        <f>IFERROR(INDEX([1]!_born[生没年],
MATCH(K699,[1]!_born[作],0)),"")</f>
        <v/>
      </c>
      <c r="O699" s="13" t="s" ph="1">
        <v>5386</v>
      </c>
      <c r="R699" s="16" t="s" ph="1">
        <v>742</v>
      </c>
      <c r="S699" s="13" t="s" ph="1">
        <v>5387</v>
      </c>
      <c r="T699" s="13" t="s" ph="1">
        <v>5388</v>
      </c>
      <c r="U699" s="16" ph="1">
        <v>37561</v>
      </c>
      <c r="V699" s="17" ph="1">
        <f>667*1.05</f>
        <v>700.35</v>
      </c>
      <c r="W699" s="17" ph="1">
        <f>667*1.05</f>
        <v>700.35</v>
      </c>
      <c r="X699" s="5" t="s" ph="1">
        <v>5389</v>
      </c>
      <c r="Y699" s="5" t="s" ph="1">
        <v>5390</v>
      </c>
    </row>
    <row r="700" spans="1:25" s="19" customFormat="1" ht="22.5" customHeight="1" ph="1" x14ac:dyDescent="0.35">
      <c r="A700" s="107" ph="1"/>
      <c r="B700" s="18" ph="1"/>
      <c r="C700" s="19" t="s" ph="1">
        <v>707</v>
      </c>
      <c r="D700" s="124" ph="1"/>
      <c r="E700" s="124" ph="1"/>
      <c r="G700" s="19" t="s" ph="1">
        <v>5223</v>
      </c>
      <c r="H700" s="19" t="s" ph="1">
        <v>709</v>
      </c>
      <c r="I700" s="19" t="s" ph="1">
        <v>5391</v>
      </c>
      <c r="J700" s="19" t="s" ph="1">
        <v>5392</v>
      </c>
      <c r="K700" s="19" t="s" ph="1">
        <v>5393</v>
      </c>
      <c r="L700" s="19" t="s" ph="1">
        <v>5394</v>
      </c>
      <c r="M700" s="27" t="str" ph="1">
        <f>IFERROR(INDEX([1]!_born[生没年],
MATCH(I700,[1]!_born[作],0)),"")</f>
        <v/>
      </c>
      <c r="N700" s="27" t="str" ph="1">
        <f>IFERROR(INDEX([1]!_born[生没年],
MATCH(K700,[1]!_born[作],0)),"")</f>
        <v/>
      </c>
      <c r="O700" s="19" t="s" ph="1">
        <v>5395</v>
      </c>
      <c r="R700" s="20" t="s" ph="1">
        <v>743</v>
      </c>
      <c r="S700" s="19" t="s" ph="1">
        <v>5396</v>
      </c>
      <c r="T700" s="19" t="s" ph="1">
        <v>5397</v>
      </c>
      <c r="U700" s="20" t="s" ph="1">
        <v>744</v>
      </c>
      <c r="V700" s="21" ph="1">
        <f>1350*1.05</f>
        <v>1417.5</v>
      </c>
      <c r="W700" s="21" ph="1"/>
      <c r="Y700" s="19" t="s" ph="1">
        <v>5398</v>
      </c>
    </row>
    <row r="701" spans="1:25" s="19" customFormat="1" ht="22.5" customHeight="1" ph="1" x14ac:dyDescent="0.35">
      <c r="A701" s="107" ph="1"/>
      <c r="B701" s="18" ph="1"/>
      <c r="C701" s="19" t="s" ph="1">
        <v>707</v>
      </c>
      <c r="D701" s="124" ph="1"/>
      <c r="E701" s="124" ph="1"/>
      <c r="G701" s="19" t="s" ph="1">
        <v>5223</v>
      </c>
      <c r="H701" s="19" t="s" ph="1">
        <v>709</v>
      </c>
      <c r="I701" s="19" t="s" ph="1">
        <v>5391</v>
      </c>
      <c r="J701" s="19" t="s" ph="1">
        <v>5392</v>
      </c>
      <c r="K701" s="19" t="s" ph="1">
        <v>5393</v>
      </c>
      <c r="L701" s="19" t="s" ph="1">
        <v>5394</v>
      </c>
      <c r="M701" s="27" t="str" ph="1">
        <f>IFERROR(INDEX([1]!_born[生没年],
MATCH(I701,[1]!_born[作],0)),"")</f>
        <v/>
      </c>
      <c r="N701" s="27" t="str" ph="1">
        <f>IFERROR(INDEX([1]!_born[生没年],
MATCH(K701,[1]!_born[作],0)),"")</f>
        <v/>
      </c>
      <c r="O701" s="19" t="s" ph="1">
        <v>5399</v>
      </c>
      <c r="R701" s="20" ph="1"/>
      <c r="S701" s="19" t="s" ph="1">
        <v>5396</v>
      </c>
      <c r="U701" s="20" ph="1"/>
      <c r="V701" s="21" ph="1"/>
      <c r="W701" s="21" ph="1"/>
      <c r="Y701" s="19" t="s" ph="1">
        <v>5398</v>
      </c>
    </row>
    <row r="702" spans="1:25" s="19" customFormat="1" ht="22.5" customHeight="1" ph="1" x14ac:dyDescent="0.35">
      <c r="A702" s="107" ph="1"/>
      <c r="B702" s="18" ph="1"/>
      <c r="C702" s="19" t="s" ph="1">
        <v>707</v>
      </c>
      <c r="D702" s="124" ph="1"/>
      <c r="E702" s="124" ph="1"/>
      <c r="G702" s="19" t="s" ph="1">
        <v>5223</v>
      </c>
      <c r="H702" s="19" t="s" ph="1">
        <v>709</v>
      </c>
      <c r="I702" s="19" t="s" ph="1">
        <v>5391</v>
      </c>
      <c r="J702" s="19" t="s" ph="1">
        <v>5392</v>
      </c>
      <c r="K702" s="19" t="s" ph="1">
        <v>5393</v>
      </c>
      <c r="L702" s="19" t="s" ph="1">
        <v>5394</v>
      </c>
      <c r="M702" s="27" t="str" ph="1">
        <f>IFERROR(INDEX([1]!_born[生没年],
MATCH(I702,[1]!_born[作],0)),"")</f>
        <v/>
      </c>
      <c r="N702" s="27" t="str" ph="1">
        <f>IFERROR(INDEX([1]!_born[生没年],
MATCH(K702,[1]!_born[作],0)),"")</f>
        <v/>
      </c>
      <c r="O702" s="19" t="s" ph="1">
        <v>5400</v>
      </c>
      <c r="R702" s="20" ph="1"/>
      <c r="S702" s="19" t="s" ph="1">
        <v>5396</v>
      </c>
      <c r="U702" s="20" ph="1"/>
      <c r="V702" s="21" ph="1"/>
      <c r="W702" s="21" ph="1"/>
      <c r="Y702" s="19" t="s" ph="1">
        <v>5398</v>
      </c>
    </row>
    <row r="703" spans="1:25" s="19" customFormat="1" ht="22.5" customHeight="1" ph="1" x14ac:dyDescent="0.35">
      <c r="A703" s="107" ph="1"/>
      <c r="B703" s="18" ph="1"/>
      <c r="C703" s="19" t="s" ph="1">
        <v>707</v>
      </c>
      <c r="D703" s="124" ph="1"/>
      <c r="E703" s="124" ph="1"/>
      <c r="G703" s="19" t="s" ph="1">
        <v>5223</v>
      </c>
      <c r="H703" s="19" t="s" ph="1">
        <v>709</v>
      </c>
      <c r="I703" s="19" t="s" ph="1">
        <v>5391</v>
      </c>
      <c r="J703" s="19" t="s" ph="1">
        <v>5392</v>
      </c>
      <c r="K703" s="19" t="s" ph="1">
        <v>5393</v>
      </c>
      <c r="L703" s="19" t="s" ph="1">
        <v>5394</v>
      </c>
      <c r="M703" s="27" t="str" ph="1">
        <f>IFERROR(INDEX([1]!_born[生没年],
MATCH(I703,[1]!_born[作],0)),"")</f>
        <v/>
      </c>
      <c r="N703" s="27" t="str" ph="1">
        <f>IFERROR(INDEX([1]!_born[生没年],
MATCH(K703,[1]!_born[作],0)),"")</f>
        <v/>
      </c>
      <c r="O703" s="19" t="s" ph="1">
        <v>5401</v>
      </c>
      <c r="R703" s="20" ph="1"/>
      <c r="S703" s="19" t="s" ph="1">
        <v>5396</v>
      </c>
      <c r="U703" s="20" ph="1"/>
      <c r="V703" s="21" ph="1"/>
      <c r="W703" s="21" ph="1"/>
      <c r="Y703" s="19" t="s" ph="1">
        <v>5398</v>
      </c>
    </row>
    <row r="704" spans="1:25" ht="22.5" customHeight="1" ph="1" x14ac:dyDescent="0.35">
      <c r="C704" s="13" t="s" ph="1">
        <v>707</v>
      </c>
      <c r="G704" s="13" t="s" ph="1">
        <v>5218</v>
      </c>
      <c r="H704" s="13" t="s" ph="1">
        <v>709</v>
      </c>
      <c r="M704" s="14" t="str" ph="1">
        <f>IFERROR(INDEX([1]!_born[生没年],
MATCH(I704,[1]!_born[作],0)),"")</f>
        <v/>
      </c>
      <c r="N704" s="14" t="str" ph="1">
        <f>IFERROR(INDEX([1]!_born[生没年],
MATCH(K704,[1]!_born[作],0)),"")</f>
        <v/>
      </c>
      <c r="O704" s="13" t="s" ph="1">
        <v>5402</v>
      </c>
    </row>
    <row r="705" spans="3:25" ht="22.5" customHeight="1" ph="1" x14ac:dyDescent="0.35">
      <c r="C705" s="13" t="s" ph="1">
        <v>707</v>
      </c>
      <c r="G705" s="13" t="s" ph="1">
        <v>5218</v>
      </c>
      <c r="H705" s="13" t="s" ph="1">
        <v>709</v>
      </c>
      <c r="M705" s="14" t="str" ph="1">
        <f>IFERROR(INDEX([1]!_born[生没年],
MATCH(I705,[1]!_born[作],0)),"")</f>
        <v/>
      </c>
      <c r="N705" s="14" t="str" ph="1">
        <f>IFERROR(INDEX([1]!_born[生没年],
MATCH(K705,[1]!_born[作],0)),"")</f>
        <v/>
      </c>
      <c r="O705" s="13" t="s" ph="1">
        <v>5403</v>
      </c>
    </row>
    <row r="706" spans="3:25" ht="22.5" customHeight="1" ph="1" x14ac:dyDescent="0.35">
      <c r="C706" s="13" t="s" ph="1">
        <v>707</v>
      </c>
      <c r="G706" s="13" t="s" ph="1">
        <v>5218</v>
      </c>
      <c r="H706" s="13" t="s" ph="1">
        <v>716</v>
      </c>
      <c r="I706" s="13" t="s" ph="1">
        <v>5404</v>
      </c>
      <c r="M706" s="14" t="str" ph="1">
        <f>IFERROR(INDEX([1]!_born[生没年],
MATCH(I706,[1]!_born[作],0)),"")</f>
        <v/>
      </c>
      <c r="N706" s="14" t="str" ph="1">
        <f>IFERROR(INDEX([1]!_born[生没年],
MATCH(K706,[1]!_born[作],0)),"")</f>
        <v/>
      </c>
      <c r="O706" s="22" t="s" ph="1">
        <v>5405</v>
      </c>
      <c r="R706" s="16" t="s" ph="1">
        <v>745</v>
      </c>
      <c r="S706" s="13" t="s" ph="1">
        <v>5406</v>
      </c>
      <c r="T706" s="13" t="s" ph="1">
        <v>5407</v>
      </c>
      <c r="U706" s="16" ph="1">
        <v>37134</v>
      </c>
      <c r="V706" s="17" ph="1">
        <v>980</v>
      </c>
      <c r="X706" s="13" t="s" ph="1">
        <v>472</v>
      </c>
      <c r="Y706" s="13" t="s" ph="1">
        <v>5408</v>
      </c>
    </row>
    <row r="707" spans="3:25" ht="22.5" customHeight="1" ph="1" x14ac:dyDescent="0.35">
      <c r="C707" s="13" t="s" ph="1">
        <v>4106</v>
      </c>
      <c r="G707" s="13" t="s" ph="1">
        <v>746</v>
      </c>
      <c r="H707" s="13" t="s" ph="1">
        <v>716</v>
      </c>
      <c r="I707" s="13" t="s" ph="1">
        <v>5409</v>
      </c>
      <c r="M707" s="14" t="str" ph="1">
        <f>IFERROR(INDEX([1]!_born[生没年],
MATCH(I707,[1]!_born[作],0)),"")</f>
        <v/>
      </c>
      <c r="N707" s="14" t="str" ph="1">
        <f>IFERROR(INDEX([1]!_born[生没年],
MATCH(K707,[1]!_born[作],0)),"")</f>
        <v/>
      </c>
      <c r="O707" s="13" t="s" ph="1">
        <v>5410</v>
      </c>
      <c r="R707" s="16" t="s" ph="1">
        <v>742</v>
      </c>
      <c r="T707" s="13" t="s" ph="1">
        <v>4405</v>
      </c>
      <c r="U707" s="16" t="s" ph="1">
        <v>747</v>
      </c>
      <c r="V707" s="17" ph="1">
        <f>1000*1.05</f>
        <v>1050</v>
      </c>
    </row>
    <row r="708" spans="3:25" ht="22.5" customHeight="1" ph="1" x14ac:dyDescent="0.35">
      <c r="C708" s="13" t="s" ph="1">
        <v>5411</v>
      </c>
      <c r="G708" s="13" t="s" ph="1">
        <v>746</v>
      </c>
      <c r="H708" s="13" t="s" ph="1">
        <v>716</v>
      </c>
      <c r="I708" s="13" t="s" ph="1">
        <v>5412</v>
      </c>
      <c r="M708" s="14" t="str" ph="1">
        <f>IFERROR(INDEX([1]!_born[生没年],
MATCH(I708,[1]!_born[作],0)),"")</f>
        <v/>
      </c>
      <c r="N708" s="14" t="str" ph="1">
        <f>IFERROR(INDEX([1]!_born[生没年],
MATCH(K708,[1]!_born[作],0)),"")</f>
        <v/>
      </c>
      <c r="O708" s="13" t="s" ph="1">
        <v>5413</v>
      </c>
      <c r="T708" s="13" t="s" ph="1">
        <v>474</v>
      </c>
      <c r="V708" s="17" ph="1">
        <v>1400</v>
      </c>
    </row>
    <row r="709" spans="3:25" ht="22.5" customHeight="1" ph="1" x14ac:dyDescent="0.35">
      <c r="C709" s="13" t="s" ph="1">
        <v>707</v>
      </c>
      <c r="G709" s="13" t="s" ph="1">
        <v>5218</v>
      </c>
      <c r="H709" s="13" t="s" ph="1">
        <v>709</v>
      </c>
      <c r="I709" s="13" t="s" ph="1">
        <v>748</v>
      </c>
      <c r="M709" s="14" t="str" ph="1">
        <f>IFERROR(INDEX([1]!_born[生没年],
MATCH(I709,[1]!_born[作],0)),"")</f>
        <v/>
      </c>
      <c r="N709" s="14" t="str" ph="1">
        <f>IFERROR(INDEX([1]!_born[生没年],
MATCH(K709,[1]!_born[作],0)),"")</f>
        <v/>
      </c>
      <c r="O709" s="15" t="s" ph="1">
        <v>624</v>
      </c>
      <c r="S709" s="13" t="s" ph="1">
        <v>749</v>
      </c>
      <c r="T709" s="13" t="s" ph="1">
        <v>750</v>
      </c>
      <c r="U709" s="16" t="s" ph="1">
        <v>751</v>
      </c>
      <c r="V709" s="17" ph="1">
        <f>1800*1.05</f>
        <v>1890</v>
      </c>
      <c r="X709" s="13" t="s" ph="1">
        <v>5414</v>
      </c>
      <c r="Y709" s="13" t="s" ph="1">
        <v>5415</v>
      </c>
    </row>
    <row r="710" spans="3:25" ht="22.5" customHeight="1" ph="1" x14ac:dyDescent="0.35">
      <c r="C710" s="13" t="s" ph="1">
        <v>707</v>
      </c>
      <c r="G710" s="13" t="s" ph="1">
        <v>5218</v>
      </c>
      <c r="H710" s="13" t="s" ph="1">
        <v>709</v>
      </c>
      <c r="I710" s="13" t="s" ph="1">
        <v>748</v>
      </c>
      <c r="M710" s="14" t="str" ph="1">
        <f>IFERROR(INDEX([1]!_born[生没年],
MATCH(I710,[1]!_born[作],0)),"")</f>
        <v/>
      </c>
      <c r="N710" s="14" t="str" ph="1">
        <f>IFERROR(INDEX([1]!_born[生没年],
MATCH(K710,[1]!_born[作],0)),"")</f>
        <v/>
      </c>
      <c r="O710" s="15" t="s" ph="1">
        <v>752</v>
      </c>
      <c r="S710" s="13" t="s" ph="1">
        <v>753</v>
      </c>
      <c r="T710" s="13" t="s" ph="1">
        <v>750</v>
      </c>
      <c r="U710" s="16" t="s" ph="1">
        <v>751</v>
      </c>
      <c r="V710" s="17" ph="1">
        <f>1800*1.05</f>
        <v>1890</v>
      </c>
      <c r="X710" s="13" t="s" ph="1">
        <v>5414</v>
      </c>
      <c r="Y710" s="13" t="s" ph="1">
        <v>5415</v>
      </c>
    </row>
    <row r="711" spans="3:25" ht="22.5" customHeight="1" ph="1" x14ac:dyDescent="0.35">
      <c r="C711" s="13" t="s" ph="1">
        <v>707</v>
      </c>
      <c r="G711" s="13" t="s" ph="1">
        <v>5218</v>
      </c>
      <c r="H711" s="13" t="s" ph="1">
        <v>709</v>
      </c>
      <c r="I711" s="13" t="s" ph="1">
        <v>748</v>
      </c>
      <c r="M711" s="14" t="str" ph="1">
        <f>IFERROR(INDEX([1]!_born[生没年],
MATCH(I711,[1]!_born[作],0)),"")</f>
        <v/>
      </c>
      <c r="N711" s="14" t="str" ph="1">
        <f>IFERROR(INDEX([1]!_born[生没年],
MATCH(K711,[1]!_born[作],0)),"")</f>
        <v/>
      </c>
      <c r="O711" s="15" t="s" ph="1">
        <v>623</v>
      </c>
      <c r="S711" s="13" t="s" ph="1">
        <v>5416</v>
      </c>
      <c r="T711" s="13" t="s" ph="1">
        <v>750</v>
      </c>
      <c r="U711" s="16" t="s" ph="1">
        <v>751</v>
      </c>
      <c r="V711" s="17" ph="1">
        <f>2300*1.05</f>
        <v>2415</v>
      </c>
      <c r="X711" s="13" t="s" ph="1">
        <v>5414</v>
      </c>
      <c r="Y711" s="13" t="s" ph="1">
        <v>5415</v>
      </c>
    </row>
    <row r="712" spans="3:25" ht="22.5" customHeight="1" ph="1" x14ac:dyDescent="0.35">
      <c r="C712" s="13" t="s" ph="1">
        <v>707</v>
      </c>
      <c r="G712" s="13" t="s" ph="1">
        <v>5417</v>
      </c>
      <c r="H712" s="13" t="s" ph="1">
        <v>716</v>
      </c>
      <c r="I712" s="13" t="s" ph="1">
        <v>5418</v>
      </c>
      <c r="J712" s="13" t="s" ph="1">
        <v>3671</v>
      </c>
      <c r="M712" s="14" t="str" ph="1">
        <f>IFERROR(INDEX([1]!_born[生没年],
MATCH(I712,[1]!_born[作],0)),"")</f>
        <v/>
      </c>
      <c r="N712" s="14" t="str" ph="1">
        <f>IFERROR(INDEX([1]!_born[生没年],
MATCH(K712,[1]!_born[作],0)),"")</f>
        <v/>
      </c>
      <c r="O712" s="15" t="s" ph="1">
        <v>5419</v>
      </c>
      <c r="R712" s="16" t="s" ph="1">
        <v>10044</v>
      </c>
      <c r="S712" s="13" t="s" ph="1">
        <v>10182</v>
      </c>
      <c r="T712" s="13" t="s" ph="1">
        <v>3988</v>
      </c>
      <c r="V712" s="17" ph="1">
        <v>1100</v>
      </c>
      <c r="W712" s="17" ph="1">
        <v>1100</v>
      </c>
    </row>
    <row r="713" spans="3:25" ht="22.5" customHeight="1" ph="1" x14ac:dyDescent="0.35">
      <c r="C713" s="13" t="s" ph="1">
        <v>25</v>
      </c>
      <c r="G713" s="13" t="s" ph="1">
        <v>5417</v>
      </c>
      <c r="H713" s="13" t="s" ph="1">
        <v>61</v>
      </c>
      <c r="I713" s="13" t="s" ph="1">
        <v>5418</v>
      </c>
      <c r="J713" s="13" t="s" ph="1">
        <v>3671</v>
      </c>
      <c r="M713" s="14" t="str" ph="1">
        <f>IFERROR(INDEX([1]!_born[生没年],
MATCH(I713,[1]!_born[作],0)),"")</f>
        <v/>
      </c>
      <c r="N713" s="14" t="str" ph="1">
        <f>IFERROR(INDEX([1]!_born[生没年],
MATCH(K713,[1]!_born[作],0)),"")</f>
        <v/>
      </c>
      <c r="O713" s="13" t="s" ph="1">
        <v>10183</v>
      </c>
      <c r="R713" s="16" ph="1">
        <v>22852</v>
      </c>
      <c r="S713" s="13" t="s" ph="1">
        <v>10184</v>
      </c>
      <c r="T713" s="13" t="s" ph="1">
        <v>3988</v>
      </c>
      <c r="U713" s="16" ph="1">
        <v>45457</v>
      </c>
      <c r="V713" s="17" ph="1">
        <v>1100</v>
      </c>
      <c r="W713" s="17" ph="1">
        <v>3000</v>
      </c>
      <c r="X713" s="13" t="s" ph="1">
        <v>2874</v>
      </c>
    </row>
    <row r="714" spans="3:25" ht="22.5" customHeight="1" ph="1" x14ac:dyDescent="0.35">
      <c r="C714" s="13" t="s" ph="1">
        <v>25</v>
      </c>
      <c r="G714" s="13" t="s" ph="1">
        <v>5417</v>
      </c>
      <c r="H714" s="13" t="s" ph="1">
        <v>61</v>
      </c>
      <c r="I714" s="13" t="s" ph="1">
        <v>5418</v>
      </c>
      <c r="J714" s="13" t="s" ph="1">
        <v>3671</v>
      </c>
      <c r="M714" s="14" t="str" ph="1">
        <f>IFERROR(INDEX([1]!_born[生没年],
MATCH(I714,[1]!_born[作],0)),"")</f>
        <v/>
      </c>
      <c r="N714" s="14" t="str" ph="1">
        <f>IFERROR(INDEX([1]!_born[生没年],
MATCH(K714,[1]!_born[作],0)),"")</f>
        <v/>
      </c>
      <c r="O714" s="13" t="s" ph="1">
        <v>10185</v>
      </c>
      <c r="R714" s="16" ph="1">
        <v>23538</v>
      </c>
      <c r="S714" s="13" t="s" ph="1">
        <v>10184</v>
      </c>
      <c r="T714" s="13" t="s" ph="1">
        <v>3988</v>
      </c>
      <c r="U714" s="16" ph="1">
        <v>45714</v>
      </c>
      <c r="V714" s="17" ph="1">
        <v>1100</v>
      </c>
      <c r="W714" s="17" ph="1">
        <v>8888</v>
      </c>
      <c r="X714" s="13" t="s" ph="1">
        <v>10186</v>
      </c>
    </row>
    <row r="715" spans="3:25" ht="22.5" customHeight="1" ph="1" x14ac:dyDescent="0.35">
      <c r="C715" s="13" t="s" ph="1">
        <v>707</v>
      </c>
      <c r="G715" s="13" t="s" ph="1">
        <v>5417</v>
      </c>
      <c r="H715" s="13" t="s" ph="1">
        <v>709</v>
      </c>
      <c r="I715" s="13" t="s" ph="1">
        <v>5420</v>
      </c>
      <c r="J715" s="13" t="s" ph="1">
        <v>5421</v>
      </c>
      <c r="K715" s="13" t="s" ph="1">
        <v>5422</v>
      </c>
      <c r="L715" s="13" t="s" ph="1">
        <v>5423</v>
      </c>
      <c r="M715" s="14" t="str" ph="1">
        <f>IFERROR(INDEX([1]!_born[生没年],
MATCH(I715,[1]!_born[作],0)),"")</f>
        <v/>
      </c>
      <c r="N715" s="14" t="str" ph="1">
        <f>IFERROR(INDEX([1]!_born[生没年],
MATCH(K715,[1]!_born[作],0)),"")</f>
        <v/>
      </c>
      <c r="O715" s="13" t="s" ph="1">
        <v>5424</v>
      </c>
      <c r="R715" s="16" t="s" ph="1">
        <v>10045</v>
      </c>
      <c r="S715" s="13" t="s" ph="1">
        <v>5425</v>
      </c>
      <c r="T715" s="13" t="s" ph="1">
        <v>4902</v>
      </c>
      <c r="U715" s="16" ph="1">
        <v>39018</v>
      </c>
      <c r="V715" s="17" ph="1">
        <v>380</v>
      </c>
      <c r="W715" s="17" ph="1">
        <v>200</v>
      </c>
      <c r="X715" s="13" t="s" ph="1">
        <v>3792</v>
      </c>
    </row>
    <row r="716" spans="3:25" ht="22.5" customHeight="1" ph="1" x14ac:dyDescent="0.35">
      <c r="C716" s="13" t="s" ph="1">
        <v>707</v>
      </c>
      <c r="G716" s="13" t="s" ph="1">
        <v>5417</v>
      </c>
      <c r="H716" s="13" t="s" ph="1">
        <v>709</v>
      </c>
      <c r="I716" s="13" t="s" ph="1">
        <v>5426</v>
      </c>
      <c r="J716" s="13" t="s" ph="1">
        <v>5421</v>
      </c>
      <c r="K716" s="13" t="s" ph="1">
        <v>5427</v>
      </c>
      <c r="L716" s="13" t="s" ph="1">
        <v>5423</v>
      </c>
      <c r="M716" s="14" t="str" ph="1">
        <f>IFERROR(INDEX([1]!_born[生没年],
MATCH(I716,[1]!_born[作],0)),"")</f>
        <v/>
      </c>
      <c r="N716" s="14" t="str" ph="1">
        <f>IFERROR(INDEX([1]!_born[生没年],
MATCH(K716,[1]!_born[作],0)),"")</f>
        <v/>
      </c>
      <c r="O716" s="15" t="s" ph="1">
        <v>5428</v>
      </c>
      <c r="R716" s="16" t="s" ph="1">
        <v>10045</v>
      </c>
      <c r="S716" s="13" t="s" ph="1">
        <v>5429</v>
      </c>
      <c r="T716" s="13" t="s" ph="1">
        <v>4902</v>
      </c>
      <c r="U716" s="16" ph="1">
        <v>39015</v>
      </c>
      <c r="V716" s="17" ph="1">
        <v>380</v>
      </c>
      <c r="W716" s="17" ph="1">
        <v>200</v>
      </c>
      <c r="X716" s="13" t="s" ph="1">
        <v>3792</v>
      </c>
    </row>
    <row r="717" spans="3:25" ht="22.5" customHeight="1" ph="1" x14ac:dyDescent="0.35">
      <c r="C717" s="13" t="s" ph="1">
        <v>707</v>
      </c>
      <c r="G717" s="13" t="s" ph="1">
        <v>5417</v>
      </c>
      <c r="H717" s="13" t="s" ph="1">
        <v>709</v>
      </c>
      <c r="I717" s="13" t="s" ph="1">
        <v>5426</v>
      </c>
      <c r="J717" s="13" t="s" ph="1">
        <v>5421</v>
      </c>
      <c r="K717" s="13" t="s" ph="1">
        <v>5427</v>
      </c>
      <c r="L717" s="13" t="s" ph="1">
        <v>5423</v>
      </c>
      <c r="M717" s="14" t="str" ph="1">
        <f>IFERROR(INDEX([1]!_born[生没年],
MATCH(I717,[1]!_born[作],0)),"")</f>
        <v/>
      </c>
      <c r="N717" s="14" t="str" ph="1">
        <f>IFERROR(INDEX([1]!_born[生没年],
MATCH(K717,[1]!_born[作],0)),"")</f>
        <v/>
      </c>
      <c r="O717" s="15" t="s" ph="1">
        <v>5428</v>
      </c>
      <c r="R717" s="16" t="s" ph="1">
        <v>10045</v>
      </c>
      <c r="S717" s="13" t="s" ph="1">
        <v>5429</v>
      </c>
      <c r="T717" s="13" t="s" ph="1">
        <v>4902</v>
      </c>
      <c r="U717" s="16" ph="1">
        <v>39015</v>
      </c>
      <c r="V717" s="17" ph="1">
        <v>380</v>
      </c>
      <c r="W717" s="17" ph="1">
        <v>200</v>
      </c>
      <c r="Y717" s="13" t="s" ph="1">
        <v>4724</v>
      </c>
    </row>
    <row r="718" spans="3:25" ht="22.5" customHeight="1" ph="1" x14ac:dyDescent="0.35">
      <c r="C718" s="13" t="s" ph="1">
        <v>707</v>
      </c>
      <c r="D718" s="123" ph="1">
        <v>6</v>
      </c>
      <c r="E718" s="123" ph="1">
        <v>52</v>
      </c>
      <c r="G718" s="13" t="s" ph="1">
        <v>5417</v>
      </c>
      <c r="H718" s="13" t="s" ph="1">
        <v>709</v>
      </c>
      <c r="I718" s="13" t="s" ph="1">
        <v>5430</v>
      </c>
      <c r="K718" s="13" t="s" ph="1">
        <v>5431</v>
      </c>
      <c r="L718" s="13" t="s" ph="1">
        <v>3628</v>
      </c>
      <c r="M718" s="14" t="str" ph="1">
        <f>IFERROR(INDEX([1]!_born[生没年],
MATCH(I718,[1]!_born[作],0)),"")</f>
        <v/>
      </c>
      <c r="N718" s="14" t="str" ph="1">
        <f>IFERROR(INDEX([1]!_born[生没年],
MATCH(K718,[1]!_born[作],0)),"")</f>
        <v/>
      </c>
      <c r="O718" s="13" t="s" ph="1">
        <v>5432</v>
      </c>
      <c r="R718" s="16" t="s">
        <v>755</v>
      </c>
      <c r="S718" s="13" t="s" ph="1">
        <v>5433</v>
      </c>
      <c r="T718" s="13" t="s" ph="1">
        <v>3926</v>
      </c>
      <c r="V718" s="17" ph="1">
        <v>550</v>
      </c>
      <c r="W718" s="17" ph="1">
        <v>550</v>
      </c>
      <c r="Y718" s="13" t="s" ph="1">
        <v>4724</v>
      </c>
    </row>
    <row r="719" spans="3:25" ht="22.5" customHeight="1" ph="1" x14ac:dyDescent="0.35">
      <c r="C719" s="13" t="s" ph="1">
        <v>707</v>
      </c>
      <c r="G719" s="13" t="s" ph="1">
        <v>5417</v>
      </c>
      <c r="H719" s="13" t="s" ph="1">
        <v>709</v>
      </c>
      <c r="I719" s="13" t="s" ph="1">
        <v>396</v>
      </c>
      <c r="K719" s="13" t="s" ph="1">
        <v>5434</v>
      </c>
      <c r="L719" s="13" t="s" ph="1">
        <v>5435</v>
      </c>
      <c r="M719" s="14" t="str" ph="1">
        <f>IFERROR(INDEX([1]!_born[生没年],
MATCH(I719,[1]!_born[作],0)),"")</f>
        <v/>
      </c>
      <c r="N719" s="14" t="str" ph="1">
        <f>IFERROR(INDEX([1]!_born[生没年],
MATCH(K719,[1]!_born[作],0)),"")</f>
        <v/>
      </c>
      <c r="O719" s="13" t="s" ph="1">
        <v>5436</v>
      </c>
      <c r="R719" s="16" t="s">
        <v>756</v>
      </c>
      <c r="S719" s="13" t="s" ph="1">
        <v>5437</v>
      </c>
      <c r="T719" s="13" t="s" ph="1">
        <v>4902</v>
      </c>
      <c r="V719" s="17" ph="1">
        <v>390</v>
      </c>
      <c r="W719" s="17" ph="1">
        <v>0</v>
      </c>
      <c r="Y719" s="13" t="s" ph="1">
        <v>5438</v>
      </c>
    </row>
    <row r="720" spans="3:25" ht="22.5" customHeight="1" ph="1" x14ac:dyDescent="0.35">
      <c r="C720" s="13" t="s" ph="1">
        <v>707</v>
      </c>
      <c r="D720" s="123" ph="1">
        <v>1</v>
      </c>
      <c r="E720" s="123" ph="1">
        <v>10</v>
      </c>
      <c r="G720" s="13" t="s" ph="1">
        <v>5417</v>
      </c>
      <c r="H720" s="13" t="s" ph="1">
        <v>709</v>
      </c>
      <c r="I720" s="13" t="s" ph="1">
        <v>345</v>
      </c>
      <c r="K720" s="13" t="s" ph="1">
        <v>5439</v>
      </c>
      <c r="L720" s="13" t="s" ph="1">
        <v>5440</v>
      </c>
      <c r="M720" s="14" t="str" ph="1">
        <f>IFERROR(INDEX([1]!_born[生没年],
MATCH(I720,[1]!_born[作],0)),"")</f>
        <v/>
      </c>
      <c r="N720" s="14" t="str" ph="1">
        <f>IFERROR(INDEX([1]!_born[生没年],
MATCH(K720,[1]!_born[作],0)),"")</f>
        <v/>
      </c>
      <c r="O720" s="13" t="s" ph="1">
        <v>5441</v>
      </c>
      <c r="R720" s="16" t="s">
        <v>757</v>
      </c>
      <c r="S720" s="13" t="s" ph="1">
        <v>5442</v>
      </c>
      <c r="T720" s="13" t="s" ph="1">
        <v>5443</v>
      </c>
      <c r="V720" s="17" ph="1">
        <v>290</v>
      </c>
      <c r="W720" s="17" ph="1">
        <v>290</v>
      </c>
      <c r="Y720" s="13" t="s" ph="1">
        <v>4724</v>
      </c>
    </row>
    <row r="721" spans="1:25" ht="22.5" customHeight="1" ph="1" x14ac:dyDescent="0.35">
      <c r="C721" s="13" t="s" ph="1">
        <v>707</v>
      </c>
      <c r="D721" s="123" ph="1">
        <v>17</v>
      </c>
      <c r="E721" s="123" ph="1">
        <v>60</v>
      </c>
      <c r="G721" s="13" t="s" ph="1">
        <v>5417</v>
      </c>
      <c r="H721" s="13" t="s" ph="1">
        <v>709</v>
      </c>
      <c r="I721" s="13" t="s" ph="1">
        <v>5444</v>
      </c>
      <c r="K721" s="13" t="s" ph="1">
        <v>5445</v>
      </c>
      <c r="L721" s="13" t="s" ph="1">
        <v>5446</v>
      </c>
      <c r="M721" s="14" t="str" ph="1">
        <f>IFERROR(INDEX([1]!_born[生没年],
MATCH(I721,[1]!_born[作],0)),"")</f>
        <v/>
      </c>
      <c r="N721" s="14" t="str" ph="1">
        <f>IFERROR(INDEX([1]!_born[生没年],
MATCH(K721,[1]!_born[作],0)),"")</f>
        <v/>
      </c>
      <c r="O721" s="13" t="s" ph="1">
        <v>5447</v>
      </c>
      <c r="R721" s="16" t="s">
        <v>758</v>
      </c>
      <c r="S721" s="13" t="s" ph="1">
        <v>5448</v>
      </c>
      <c r="T721" s="13" t="s" ph="1">
        <v>4902</v>
      </c>
      <c r="V721" s="17" ph="1">
        <v>220</v>
      </c>
      <c r="W721" s="17" ph="1">
        <v>220</v>
      </c>
      <c r="Y721" s="13" t="s" ph="1">
        <v>4724</v>
      </c>
    </row>
    <row r="722" spans="1:25" ht="22.5" customHeight="1" ph="1" x14ac:dyDescent="0.35">
      <c r="C722" s="13" t="s" ph="1">
        <v>707</v>
      </c>
      <c r="D722" s="123" ph="1">
        <v>1</v>
      </c>
      <c r="E722" s="123" ph="1">
        <v>5</v>
      </c>
      <c r="G722" s="13" t="s" ph="1">
        <v>5417</v>
      </c>
      <c r="H722" s="13" t="s" ph="1">
        <v>716</v>
      </c>
      <c r="I722" s="13" t="s" ph="1">
        <v>5449</v>
      </c>
      <c r="J722" s="13" t="s" ph="1">
        <v>3628</v>
      </c>
      <c r="K722" s="13" t="s" ph="1">
        <v>5450</v>
      </c>
      <c r="L722" s="13" t="s" ph="1">
        <v>3879</v>
      </c>
      <c r="M722" s="14" t="str" ph="1">
        <f>IFERROR(INDEX([1]!_born[生没年],
MATCH(I722,[1]!_born[作],0)),"")</f>
        <v/>
      </c>
      <c r="N722" s="14" t="str" ph="1">
        <f>IFERROR(INDEX([1]!_born[生没年],
MATCH(K722,[1]!_born[作],0)),"")</f>
        <v/>
      </c>
      <c r="O722" s="13" t="s" ph="1">
        <v>5451</v>
      </c>
      <c r="T722" s="13" t="s" ph="1">
        <v>3810</v>
      </c>
      <c r="U722" s="16" ph="1">
        <v>36839</v>
      </c>
      <c r="V722" s="17" ph="1">
        <v>6500</v>
      </c>
      <c r="W722" s="17" t="s" ph="1">
        <v>759</v>
      </c>
      <c r="X722" s="13" t="s" ph="1">
        <v>5452</v>
      </c>
    </row>
    <row r="723" spans="1:25" ht="22.5" customHeight="1" ph="1" x14ac:dyDescent="0.35">
      <c r="C723" s="13" t="s" ph="1">
        <v>707</v>
      </c>
      <c r="D723" s="123" ph="1">
        <v>2</v>
      </c>
      <c r="E723" s="123" ph="1">
        <v>5</v>
      </c>
      <c r="G723" s="13" t="s" ph="1">
        <v>5417</v>
      </c>
      <c r="H723" s="13" t="s" ph="1">
        <v>716</v>
      </c>
      <c r="I723" s="13" t="s" ph="1">
        <v>5449</v>
      </c>
      <c r="J723" s="13" t="s" ph="1">
        <v>3628</v>
      </c>
      <c r="K723" s="13" t="s" ph="1">
        <v>5450</v>
      </c>
      <c r="L723" s="13" t="s" ph="1">
        <v>3879</v>
      </c>
      <c r="M723" s="14" t="str" ph="1">
        <f>IFERROR(INDEX([1]!_born[生没年],
MATCH(I723,[1]!_born[作],0)),"")</f>
        <v/>
      </c>
      <c r="N723" s="14" t="str" ph="1">
        <f>IFERROR(INDEX([1]!_born[生没年],
MATCH(K723,[1]!_born[作],0)),"")</f>
        <v/>
      </c>
      <c r="O723" s="13" t="s" ph="1">
        <v>5451</v>
      </c>
      <c r="T723" s="13" t="s" ph="1">
        <v>3810</v>
      </c>
      <c r="U723" s="16" ph="1">
        <v>36839</v>
      </c>
      <c r="V723" s="17" ph="1">
        <v>6500</v>
      </c>
      <c r="W723" s="17" t="s" ph="1">
        <v>759</v>
      </c>
      <c r="X723" s="13" t="s" ph="1">
        <v>5452</v>
      </c>
    </row>
    <row r="724" spans="1:25" ht="22.5" customHeight="1" ph="1" x14ac:dyDescent="0.35">
      <c r="C724" s="13" t="s" ph="1">
        <v>707</v>
      </c>
      <c r="D724" s="123" ph="1">
        <v>3</v>
      </c>
      <c r="E724" s="123" ph="1">
        <v>5</v>
      </c>
      <c r="G724" s="13" t="s" ph="1">
        <v>5417</v>
      </c>
      <c r="H724" s="13" t="s" ph="1">
        <v>716</v>
      </c>
      <c r="I724" s="13" t="s" ph="1">
        <v>5449</v>
      </c>
      <c r="J724" s="13" t="s" ph="1">
        <v>3628</v>
      </c>
      <c r="K724" s="13" t="s" ph="1">
        <v>5450</v>
      </c>
      <c r="L724" s="13" t="s" ph="1">
        <v>3879</v>
      </c>
      <c r="M724" s="14" t="str" ph="1">
        <f>IFERROR(INDEX([1]!_born[生没年],
MATCH(I724,[1]!_born[作],0)),"")</f>
        <v/>
      </c>
      <c r="N724" s="14" t="str" ph="1">
        <f>IFERROR(INDEX([1]!_born[生没年],
MATCH(K724,[1]!_born[作],0)),"")</f>
        <v/>
      </c>
      <c r="O724" s="13" t="s" ph="1">
        <v>5451</v>
      </c>
      <c r="T724" s="13" t="s" ph="1">
        <v>3810</v>
      </c>
      <c r="U724" s="16" ph="1">
        <v>36839</v>
      </c>
      <c r="V724" s="17" ph="1">
        <v>6500</v>
      </c>
      <c r="W724" s="17" t="s" ph="1">
        <v>759</v>
      </c>
      <c r="X724" s="13" t="s" ph="1">
        <v>5452</v>
      </c>
    </row>
    <row r="725" spans="1:25" ht="22.5" customHeight="1" ph="1" x14ac:dyDescent="0.35">
      <c r="C725" s="13" t="s" ph="1">
        <v>707</v>
      </c>
      <c r="D725" s="123" ph="1">
        <v>4</v>
      </c>
      <c r="E725" s="123" ph="1">
        <v>5</v>
      </c>
      <c r="G725" s="13" t="s" ph="1">
        <v>5417</v>
      </c>
      <c r="H725" s="13" t="s" ph="1">
        <v>716</v>
      </c>
      <c r="I725" s="13" t="s" ph="1">
        <v>5449</v>
      </c>
      <c r="J725" s="13" t="s" ph="1">
        <v>3628</v>
      </c>
      <c r="K725" s="13" t="s" ph="1">
        <v>5450</v>
      </c>
      <c r="L725" s="13" t="s" ph="1">
        <v>3879</v>
      </c>
      <c r="M725" s="14" t="str" ph="1">
        <f>IFERROR(INDEX([1]!_born[生没年],
MATCH(I725,[1]!_born[作],0)),"")</f>
        <v/>
      </c>
      <c r="N725" s="14" t="str" ph="1">
        <f>IFERROR(INDEX([1]!_born[生没年],
MATCH(K725,[1]!_born[作],0)),"")</f>
        <v/>
      </c>
      <c r="O725" s="13" t="s" ph="1">
        <v>5451</v>
      </c>
      <c r="T725" s="13" t="s" ph="1">
        <v>3810</v>
      </c>
      <c r="U725" s="16" ph="1">
        <v>36839</v>
      </c>
      <c r="V725" s="17" ph="1">
        <v>6500</v>
      </c>
      <c r="W725" s="17" t="s" ph="1">
        <v>759</v>
      </c>
      <c r="X725" s="13" t="s" ph="1">
        <v>5452</v>
      </c>
    </row>
    <row r="726" spans="1:25" ht="22.5" customHeight="1" ph="1" x14ac:dyDescent="0.35">
      <c r="C726" s="13" t="s" ph="1">
        <v>707</v>
      </c>
      <c r="D726" s="123" ph="1">
        <v>5</v>
      </c>
      <c r="E726" s="123" ph="1">
        <v>5</v>
      </c>
      <c r="G726" s="13" t="s" ph="1">
        <v>5417</v>
      </c>
      <c r="H726" s="13" t="s" ph="1">
        <v>716</v>
      </c>
      <c r="I726" s="13" t="s" ph="1">
        <v>5449</v>
      </c>
      <c r="J726" s="13" t="s" ph="1">
        <v>3628</v>
      </c>
      <c r="K726" s="13" t="s" ph="1">
        <v>5450</v>
      </c>
      <c r="L726" s="13" t="s" ph="1">
        <v>3879</v>
      </c>
      <c r="M726" s="14" t="str" ph="1">
        <f>IFERROR(INDEX([1]!_born[生没年],
MATCH(I726,[1]!_born[作],0)),"")</f>
        <v/>
      </c>
      <c r="N726" s="14" t="str" ph="1">
        <f>IFERROR(INDEX([1]!_born[生没年],
MATCH(K726,[1]!_born[作],0)),"")</f>
        <v/>
      </c>
      <c r="O726" s="13" t="s" ph="1">
        <v>5451</v>
      </c>
      <c r="T726" s="13" t="s" ph="1">
        <v>3810</v>
      </c>
      <c r="U726" s="16" ph="1">
        <v>36839</v>
      </c>
      <c r="V726" s="17" ph="1">
        <v>6500</v>
      </c>
      <c r="W726" s="17" t="s" ph="1">
        <v>759</v>
      </c>
      <c r="X726" s="13" t="s" ph="1">
        <v>5452</v>
      </c>
    </row>
    <row r="727" spans="1:25" s="19" customFormat="1" ht="22.5" customHeight="1" ph="1" x14ac:dyDescent="0.35">
      <c r="A727" s="107" t="s" ph="1">
        <v>2462</v>
      </c>
      <c r="B727" s="18" t="s" ph="1">
        <v>2463</v>
      </c>
      <c r="C727" s="19" t="s" ph="1">
        <v>25</v>
      </c>
      <c r="D727" s="124" ph="1"/>
      <c r="E727" s="124" ph="1"/>
      <c r="G727" s="19" t="s" ph="1">
        <v>5223</v>
      </c>
      <c r="H727" s="19" t="s" ph="1">
        <v>61</v>
      </c>
      <c r="I727" s="19" t="s" ph="1">
        <v>5453</v>
      </c>
      <c r="J727" s="19" t="s" ph="1">
        <v>5454</v>
      </c>
      <c r="M727" s="27" t="str" ph="1">
        <f>IFERROR(INDEX([1]!_born[生没年],
MATCH(I727,[1]!_born[作],0)),"")</f>
        <v/>
      </c>
      <c r="N727" s="27" t="str" ph="1">
        <f>IFERROR(INDEX([1]!_born[生没年],
MATCH(K727,[1]!_born[作],0)),"")</f>
        <v/>
      </c>
      <c r="O727" s="19" t="s" ph="1">
        <v>5455</v>
      </c>
      <c r="R727" s="20" ph="1">
        <v>39102</v>
      </c>
      <c r="S727" s="19" t="s" ph="1">
        <v>5456</v>
      </c>
      <c r="T727" s="19" t="s" ph="1">
        <v>5457</v>
      </c>
      <c r="U727" s="20" ph="1">
        <v>40089</v>
      </c>
      <c r="V727" s="21" ph="1">
        <f>552*1.05</f>
        <v>579.6</v>
      </c>
      <c r="W727" s="21" ph="1">
        <v>300</v>
      </c>
      <c r="X727" s="19" t="s" ph="1">
        <v>5458</v>
      </c>
    </row>
    <row r="728" spans="1:25" s="19" customFormat="1" ht="22.5" customHeight="1" ph="1" x14ac:dyDescent="0.35">
      <c r="A728" s="107" ph="1"/>
      <c r="B728" s="18" ph="1"/>
      <c r="C728" s="19" t="s" ph="1">
        <v>25</v>
      </c>
      <c r="D728" s="124" ph="1"/>
      <c r="E728" s="124" ph="1"/>
      <c r="G728" s="19" t="s" ph="1">
        <v>5223</v>
      </c>
      <c r="H728" s="19" t="s" ph="1">
        <v>61</v>
      </c>
      <c r="I728" s="19" t="s" ph="1">
        <v>5453</v>
      </c>
      <c r="J728" s="19" t="s" ph="1">
        <v>5454</v>
      </c>
      <c r="M728" s="27" t="str" ph="1">
        <f>IFERROR(INDEX([1]!_born[生没年],
MATCH(I728,[1]!_born[作],0)),"")</f>
        <v/>
      </c>
      <c r="N728" s="27" t="str" ph="1">
        <f>IFERROR(INDEX([1]!_born[生没年],
MATCH(K728,[1]!_born[作],0)),"")</f>
        <v/>
      </c>
      <c r="O728" s="19" t="s" ph="1">
        <v>5459</v>
      </c>
      <c r="R728" s="20" ph="1">
        <v>39807</v>
      </c>
      <c r="S728" s="19" t="s" ph="1">
        <v>5460</v>
      </c>
      <c r="T728" s="19" t="s" ph="1">
        <v>5461</v>
      </c>
      <c r="U728" s="20" ph="1">
        <v>40089</v>
      </c>
      <c r="V728" s="21" ph="1">
        <f>750*1.05</f>
        <v>787.5</v>
      </c>
      <c r="W728" s="21" ph="1">
        <v>450</v>
      </c>
      <c r="X728" s="19" t="s" ph="1">
        <v>5458</v>
      </c>
    </row>
    <row r="729" spans="1:25" s="19" customFormat="1" ht="22.5" customHeight="1" ph="1" x14ac:dyDescent="0.35">
      <c r="A729" s="107" t="s" ph="1">
        <v>771</v>
      </c>
      <c r="B729" s="18" t="s" ph="1">
        <v>761</v>
      </c>
      <c r="C729" s="19" t="s" ph="1">
        <v>707</v>
      </c>
      <c r="D729" s="124" ph="1"/>
      <c r="E729" s="124" ph="1"/>
      <c r="G729" s="19" t="s" ph="1">
        <v>5462</v>
      </c>
      <c r="H729" s="19" t="s" ph="1">
        <v>716</v>
      </c>
      <c r="I729" s="19" t="s" ph="1">
        <v>5463</v>
      </c>
      <c r="M729" s="27" t="str" ph="1">
        <f>IFERROR(INDEX([1]!_born[生没年],
MATCH(I729,[1]!_born[作],0)),"")</f>
        <v/>
      </c>
      <c r="N729" s="27" t="str" ph="1">
        <f>IFERROR(INDEX([1]!_born[生没年],
MATCH(K729,[1]!_born[作],0)),"")</f>
        <v/>
      </c>
      <c r="O729" s="19" t="s" ph="1">
        <v>5464</v>
      </c>
      <c r="R729" s="20" t="s" ph="1">
        <v>729</v>
      </c>
      <c r="S729" s="19" t="s" ph="1">
        <v>5465</v>
      </c>
      <c r="T729" s="19" t="s" ph="1">
        <v>5466</v>
      </c>
      <c r="U729" s="20" t="s" ph="1">
        <v>772</v>
      </c>
      <c r="V729" s="21" ph="1">
        <f>800*1.05</f>
        <v>840</v>
      </c>
      <c r="W729" s="21" ph="1">
        <v>0</v>
      </c>
      <c r="X729" s="19" t="s" ph="1">
        <v>5467</v>
      </c>
      <c r="Y729" s="19" t="s" ph="1">
        <v>5468</v>
      </c>
    </row>
    <row r="730" spans="1:25" s="19" customFormat="1" ht="22.5" customHeight="1" ph="1" x14ac:dyDescent="0.35">
      <c r="A730" s="107" t="s" ph="1">
        <v>773</v>
      </c>
      <c r="B730" s="18" t="s" ph="1">
        <v>761</v>
      </c>
      <c r="C730" s="19" t="s" ph="1">
        <v>707</v>
      </c>
      <c r="D730" s="124" ph="1"/>
      <c r="E730" s="124" ph="1"/>
      <c r="G730" s="19" t="s" ph="1">
        <v>5462</v>
      </c>
      <c r="H730" s="19" t="s" ph="1">
        <v>716</v>
      </c>
      <c r="I730" s="19" t="s" ph="1">
        <v>5469</v>
      </c>
      <c r="J730" s="19" t="s" ph="1">
        <v>5470</v>
      </c>
      <c r="M730" s="27" t="str" ph="1">
        <f>IFERROR(INDEX([1]!_born[生没年],
MATCH(I730,[1]!_born[作],0)),"")</f>
        <v/>
      </c>
      <c r="N730" s="27" t="str" ph="1">
        <f>IFERROR(INDEX([1]!_born[生没年],
MATCH(K730,[1]!_born[作],0)),"")</f>
        <v/>
      </c>
      <c r="O730" s="19" t="s" ph="1">
        <v>5471</v>
      </c>
      <c r="R730" s="20" t="s" ph="1">
        <v>774</v>
      </c>
      <c r="S730" s="19" t="s" ph="1">
        <v>5472</v>
      </c>
      <c r="T730" s="19" t="s" ph="1">
        <v>5473</v>
      </c>
      <c r="U730" s="20" t="s" ph="1">
        <v>772</v>
      </c>
      <c r="V730" s="21" ph="1">
        <f>600*1.05</f>
        <v>630</v>
      </c>
      <c r="W730" s="21" ph="1">
        <v>0</v>
      </c>
      <c r="X730" s="19" t="s" ph="1">
        <v>5467</v>
      </c>
      <c r="Y730" s="19" t="s" ph="1">
        <v>5468</v>
      </c>
    </row>
    <row r="731" spans="1:25" s="19" customFormat="1" ht="22.5" customHeight="1" ph="1" x14ac:dyDescent="0.35">
      <c r="A731" s="107" t="s" ph="1">
        <v>775</v>
      </c>
      <c r="B731" s="18" t="s" ph="1">
        <v>761</v>
      </c>
      <c r="C731" s="19" t="s" ph="1">
        <v>707</v>
      </c>
      <c r="D731" s="124" ph="1"/>
      <c r="E731" s="124" ph="1"/>
      <c r="G731" s="19" t="s" ph="1">
        <v>5462</v>
      </c>
      <c r="H731" s="19" t="s" ph="1">
        <v>716</v>
      </c>
      <c r="I731" s="19" t="s" ph="1">
        <v>5469</v>
      </c>
      <c r="J731" s="19" t="s" ph="1">
        <v>5470</v>
      </c>
      <c r="M731" s="27" t="str" ph="1">
        <f>IFERROR(INDEX([1]!_born[生没年],
MATCH(I731,[1]!_born[作],0)),"")</f>
        <v/>
      </c>
      <c r="N731" s="27" t="str" ph="1">
        <f>IFERROR(INDEX([1]!_born[生没年],
MATCH(K731,[1]!_born[作],0)),"")</f>
        <v/>
      </c>
      <c r="O731" s="19" t="s" ph="1">
        <v>5474</v>
      </c>
      <c r="R731" s="20" t="s" ph="1">
        <v>776</v>
      </c>
      <c r="S731" s="19" t="s" ph="1">
        <v>5475</v>
      </c>
      <c r="T731" s="19" t="s" ph="1">
        <v>5473</v>
      </c>
      <c r="U731" s="20" t="s" ph="1">
        <v>772</v>
      </c>
      <c r="V731" s="21" ph="1">
        <f>600*1.05</f>
        <v>630</v>
      </c>
      <c r="W731" s="21" ph="1">
        <v>0</v>
      </c>
      <c r="X731" s="19" t="s" ph="1">
        <v>5467</v>
      </c>
      <c r="Y731" s="19" t="s" ph="1">
        <v>5468</v>
      </c>
    </row>
    <row r="732" spans="1:25" s="19" customFormat="1" ht="22.5" customHeight="1" ph="1" x14ac:dyDescent="0.35">
      <c r="A732" s="107" t="s" ph="1">
        <v>777</v>
      </c>
      <c r="B732" s="18" t="s" ph="1">
        <v>761</v>
      </c>
      <c r="C732" s="19" t="s" ph="1">
        <v>707</v>
      </c>
      <c r="D732" s="124" ph="1"/>
      <c r="E732" s="124" ph="1"/>
      <c r="G732" s="19" t="s" ph="1">
        <v>5462</v>
      </c>
      <c r="H732" s="19" t="s" ph="1">
        <v>716</v>
      </c>
      <c r="I732" s="19" t="s" ph="1">
        <v>5476</v>
      </c>
      <c r="J732" s="19" t="s" ph="1">
        <v>5470</v>
      </c>
      <c r="M732" s="27" t="str" ph="1">
        <f>IFERROR(INDEX([1]!_born[生没年],
MATCH(I732,[1]!_born[作],0)),"")</f>
        <v/>
      </c>
      <c r="N732" s="27" t="str" ph="1">
        <f>IFERROR(INDEX([1]!_born[生没年],
MATCH(K732,[1]!_born[作],0)),"")</f>
        <v/>
      </c>
      <c r="O732" s="19" t="s" ph="1">
        <v>5477</v>
      </c>
      <c r="R732" s="20" t="s" ph="1">
        <v>729</v>
      </c>
      <c r="S732" s="19" t="s" ph="1">
        <v>5478</v>
      </c>
      <c r="T732" s="19" t="s" ph="1">
        <v>5479</v>
      </c>
      <c r="U732" s="20" t="s" ph="1">
        <v>772</v>
      </c>
      <c r="V732" s="21" ph="1">
        <v>780</v>
      </c>
      <c r="W732" s="21" ph="1">
        <v>0</v>
      </c>
      <c r="X732" s="19" t="s" ph="1">
        <v>5467</v>
      </c>
      <c r="Y732" s="19" t="s" ph="1">
        <v>5468</v>
      </c>
    </row>
    <row r="733" spans="1:25" s="19" customFormat="1" ht="22.5" customHeight="1" ph="1" x14ac:dyDescent="0.35">
      <c r="A733" s="107" t="s" ph="1">
        <v>778</v>
      </c>
      <c r="B733" s="18" t="s" ph="1">
        <v>779</v>
      </c>
      <c r="C733" s="19" t="s" ph="1">
        <v>707</v>
      </c>
      <c r="D733" s="124" ph="1"/>
      <c r="E733" s="124" ph="1"/>
      <c r="G733" s="19" t="s" ph="1">
        <v>5462</v>
      </c>
      <c r="H733" s="19" t="s" ph="1">
        <v>716</v>
      </c>
      <c r="I733" s="19" t="s" ph="1">
        <v>5480</v>
      </c>
      <c r="J733" s="19" t="s" ph="1">
        <v>5470</v>
      </c>
      <c r="M733" s="27" t="str" ph="1">
        <f>IFERROR(INDEX([1]!_born[生没年],
MATCH(I733,[1]!_born[作],0)),"")</f>
        <v/>
      </c>
      <c r="N733" s="27" t="str" ph="1">
        <f>IFERROR(INDEX([1]!_born[生没年],
MATCH(K733,[1]!_born[作],0)),"")</f>
        <v/>
      </c>
      <c r="O733" s="19" t="s" ph="1">
        <v>5481</v>
      </c>
      <c r="R733" s="20" t="s" ph="1">
        <v>729</v>
      </c>
      <c r="S733" s="19" t="s" ph="1">
        <v>5482</v>
      </c>
      <c r="T733" s="19" t="s" ph="1">
        <v>5483</v>
      </c>
      <c r="U733" s="20" t="s" ph="1">
        <v>772</v>
      </c>
      <c r="V733" s="21" ph="1">
        <f>1300*1.05</f>
        <v>1365</v>
      </c>
      <c r="W733" s="21" ph="1">
        <v>0</v>
      </c>
      <c r="X733" s="19" t="s" ph="1">
        <v>5467</v>
      </c>
      <c r="Y733" s="19" t="s" ph="1">
        <v>5468</v>
      </c>
    </row>
    <row r="734" spans="1:25" s="19" customFormat="1" ht="22.5" customHeight="1" ph="1" x14ac:dyDescent="0.35">
      <c r="A734" s="107" t="s" ph="1">
        <v>760</v>
      </c>
      <c r="B734" s="18" t="s" ph="1">
        <v>761</v>
      </c>
      <c r="C734" s="19" t="s" ph="1">
        <v>707</v>
      </c>
      <c r="D734" s="124" ph="1"/>
      <c r="E734" s="124" ph="1"/>
      <c r="G734" s="19" t="s" ph="1">
        <v>5462</v>
      </c>
      <c r="H734" s="19" t="s" ph="1">
        <v>716</v>
      </c>
      <c r="I734" s="19" t="s" ph="1">
        <v>5463</v>
      </c>
      <c r="M734" s="27" t="str" ph="1">
        <f>IFERROR(INDEX([1]!_born[生没年],
MATCH(I734,[1]!_born[作],0)),"")</f>
        <v/>
      </c>
      <c r="N734" s="27" t="str" ph="1">
        <f>IFERROR(INDEX([1]!_born[生没年],
MATCH(K734,[1]!_born[作],0)),"")</f>
        <v/>
      </c>
      <c r="O734" s="19" t="s" ph="1">
        <v>5484</v>
      </c>
      <c r="R734" s="20" t="s" ph="1">
        <v>729</v>
      </c>
      <c r="S734" s="19" t="s" ph="1">
        <v>5485</v>
      </c>
      <c r="T734" s="19" t="s" ph="1">
        <v>5466</v>
      </c>
      <c r="U734" s="20" t="s" ph="1">
        <v>762</v>
      </c>
      <c r="V734" s="21" ph="1">
        <f>800*1.05</f>
        <v>840</v>
      </c>
      <c r="W734" s="21" ph="1">
        <v>0</v>
      </c>
      <c r="X734" s="19" t="s" ph="1">
        <v>5467</v>
      </c>
    </row>
    <row r="735" spans="1:25" s="19" customFormat="1" ht="22.5" customHeight="1" ph="1" x14ac:dyDescent="0.35">
      <c r="A735" s="107" t="s" ph="1">
        <v>763</v>
      </c>
      <c r="B735" s="18" t="s" ph="1">
        <v>761</v>
      </c>
      <c r="C735" s="19" t="s" ph="1">
        <v>707</v>
      </c>
      <c r="D735" s="124" ph="1"/>
      <c r="E735" s="124" ph="1"/>
      <c r="G735" s="19" t="s" ph="1">
        <v>5462</v>
      </c>
      <c r="H735" s="19" t="s" ph="1">
        <v>716</v>
      </c>
      <c r="I735" s="19" t="s" ph="1">
        <v>5486</v>
      </c>
      <c r="M735" s="27" t="str" ph="1">
        <f>IFERROR(INDEX([1]!_born[生没年],
MATCH(I735,[1]!_born[作],0)),"")</f>
        <v/>
      </c>
      <c r="N735" s="27" t="str" ph="1">
        <f>IFERROR(INDEX([1]!_born[生没年],
MATCH(K735,[1]!_born[作],0)),"")</f>
        <v/>
      </c>
      <c r="O735" s="19" t="s" ph="1">
        <v>5487</v>
      </c>
      <c r="R735" s="20" t="s" ph="1">
        <v>764</v>
      </c>
      <c r="T735" s="19" t="s" ph="1">
        <v>5488</v>
      </c>
      <c r="U735" s="20" t="s" ph="1">
        <v>762</v>
      </c>
      <c r="V735" s="21" ph="1">
        <f>1000*1.05</f>
        <v>1050</v>
      </c>
      <c r="W735" s="21" ph="1">
        <v>0</v>
      </c>
      <c r="X735" s="19" t="s" ph="1">
        <v>5467</v>
      </c>
    </row>
    <row r="736" spans="1:25" s="19" customFormat="1" ht="22.5" customHeight="1" ph="1" x14ac:dyDescent="0.35">
      <c r="A736" s="107" t="s" ph="1">
        <v>765</v>
      </c>
      <c r="B736" s="18" t="s" ph="1">
        <v>761</v>
      </c>
      <c r="C736" s="19" t="s" ph="1">
        <v>707</v>
      </c>
      <c r="D736" s="124" ph="1"/>
      <c r="E736" s="124" ph="1"/>
      <c r="G736" s="19" t="s" ph="1">
        <v>5462</v>
      </c>
      <c r="H736" s="19" t="s" ph="1">
        <v>716</v>
      </c>
      <c r="I736" s="19" t="s" ph="1">
        <v>5489</v>
      </c>
      <c r="J736" s="19" t="s" ph="1">
        <v>5490</v>
      </c>
      <c r="M736" s="27" t="str" ph="1">
        <f>IFERROR(INDEX([1]!_born[生没年],
MATCH(I736,[1]!_born[作],0)),"")</f>
        <v/>
      </c>
      <c r="N736" s="27" t="str" ph="1">
        <f>IFERROR(INDEX([1]!_born[生没年],
MATCH(K736,[1]!_born[作],0)),"")</f>
        <v/>
      </c>
      <c r="O736" s="19" t="s" ph="1">
        <v>5491</v>
      </c>
      <c r="R736" s="20" t="s" ph="1">
        <v>766</v>
      </c>
      <c r="S736" s="19" t="s" ph="1">
        <v>5492</v>
      </c>
      <c r="T736" s="19" t="s" ph="1">
        <v>5493</v>
      </c>
      <c r="U736" s="20" t="s" ph="1">
        <v>762</v>
      </c>
      <c r="V736" s="21" ph="1">
        <f>1500*1.05</f>
        <v>1575</v>
      </c>
      <c r="W736" s="21" ph="1">
        <v>0</v>
      </c>
      <c r="X736" s="19" t="s" ph="1">
        <v>5467</v>
      </c>
    </row>
    <row r="737" spans="1:25" s="19" customFormat="1" ht="22.5" customHeight="1" ph="1" x14ac:dyDescent="0.35">
      <c r="A737" s="107" t="s" ph="1">
        <v>767</v>
      </c>
      <c r="B737" s="18" t="s" ph="1">
        <v>768</v>
      </c>
      <c r="C737" s="19" t="s" ph="1">
        <v>707</v>
      </c>
      <c r="D737" s="124" ph="1"/>
      <c r="E737" s="124" ph="1"/>
      <c r="G737" s="19" t="s" ph="1">
        <v>5462</v>
      </c>
      <c r="H737" s="19" t="s" ph="1">
        <v>716</v>
      </c>
      <c r="I737" s="19" t="s" ph="1">
        <v>5494</v>
      </c>
      <c r="J737" s="19" t="s" ph="1">
        <v>5495</v>
      </c>
      <c r="K737" s="19" t="s" ph="1">
        <v>5496</v>
      </c>
      <c r="L737" s="19" t="s" ph="1">
        <v>5490</v>
      </c>
      <c r="M737" s="27" t="str" ph="1">
        <f>IFERROR(INDEX([1]!_born[生没年],
MATCH(I737,[1]!_born[作],0)),"")</f>
        <v/>
      </c>
      <c r="N737" s="27" t="str" ph="1">
        <f>IFERROR(INDEX([1]!_born[生没年],
MATCH(K737,[1]!_born[作],0)),"")</f>
        <v/>
      </c>
      <c r="O737" s="19" t="s" ph="1">
        <v>5497</v>
      </c>
      <c r="R737" s="20" t="s" ph="1">
        <v>764</v>
      </c>
      <c r="S737" s="19" t="s" ph="1">
        <v>5498</v>
      </c>
      <c r="T737" s="19" t="s" ph="1">
        <v>5499</v>
      </c>
      <c r="U737" s="20" t="s" ph="1">
        <v>762</v>
      </c>
      <c r="V737" s="21" ph="1">
        <f>743*1.05</f>
        <v>780.15</v>
      </c>
      <c r="W737" s="21" ph="1">
        <v>0</v>
      </c>
      <c r="X737" s="19" t="s" ph="1">
        <v>5467</v>
      </c>
    </row>
    <row r="738" spans="1:25" s="19" customFormat="1" ht="22.5" customHeight="1" ph="1" x14ac:dyDescent="0.35">
      <c r="A738" s="107" t="s" ph="1">
        <v>769</v>
      </c>
      <c r="B738" s="18" t="s" ph="1">
        <v>770</v>
      </c>
      <c r="C738" s="19" t="s" ph="1">
        <v>707</v>
      </c>
      <c r="D738" s="124" ph="1"/>
      <c r="E738" s="124" ph="1"/>
      <c r="G738" s="19" t="s" ph="1">
        <v>5462</v>
      </c>
      <c r="H738" s="19" t="s" ph="1">
        <v>716</v>
      </c>
      <c r="I738" s="19" t="s" ph="1">
        <v>5500</v>
      </c>
      <c r="J738" s="19" t="s" ph="1">
        <v>5470</v>
      </c>
      <c r="M738" s="27" t="str" ph="1">
        <f>IFERROR(INDEX([1]!_born[生没年],
MATCH(I738,[1]!_born[作],0)),"")</f>
        <v/>
      </c>
      <c r="N738" s="27" t="str" ph="1">
        <f>IFERROR(INDEX([1]!_born[生没年],
MATCH(K738,[1]!_born[作],0)),"")</f>
        <v/>
      </c>
      <c r="O738" s="19" t="s" ph="1">
        <v>5501</v>
      </c>
      <c r="R738" s="20" t="s" ph="1">
        <v>764</v>
      </c>
      <c r="S738" s="19" t="s" ph="1">
        <v>5502</v>
      </c>
      <c r="T738" s="19" t="s" ph="1">
        <v>5503</v>
      </c>
      <c r="U738" s="20" t="s" ph="1">
        <v>762</v>
      </c>
      <c r="V738" s="21" ph="1">
        <f>1300*1.05</f>
        <v>1365</v>
      </c>
      <c r="W738" s="21" ph="1">
        <v>0</v>
      </c>
      <c r="X738" s="19" t="s" ph="1">
        <v>5467</v>
      </c>
    </row>
    <row r="739" spans="1:25" s="19" customFormat="1" ht="22.5" customHeight="1" ph="1" x14ac:dyDescent="0.35">
      <c r="A739" s="107" t="s" ph="1">
        <v>780</v>
      </c>
      <c r="B739" s="18" t="s" ph="1">
        <v>761</v>
      </c>
      <c r="C739" s="19" t="s" ph="1">
        <v>707</v>
      </c>
      <c r="D739" s="124" ph="1"/>
      <c r="E739" s="124" ph="1"/>
      <c r="G739" s="19" t="s" ph="1">
        <v>5462</v>
      </c>
      <c r="H739" s="19" t="s" ph="1">
        <v>716</v>
      </c>
      <c r="I739" s="19" t="s" ph="1">
        <v>5469</v>
      </c>
      <c r="J739" s="19" t="s" ph="1">
        <v>5470</v>
      </c>
      <c r="M739" s="27" t="str" ph="1">
        <f>IFERROR(INDEX([1]!_born[生没年],
MATCH(I739,[1]!_born[作],0)),"")</f>
        <v/>
      </c>
      <c r="N739" s="27" t="str" ph="1">
        <f>IFERROR(INDEX([1]!_born[生没年],
MATCH(K739,[1]!_born[作],0)),"")</f>
        <v/>
      </c>
      <c r="O739" s="19" t="s" ph="1">
        <v>5504</v>
      </c>
      <c r="R739" s="20" ph="1">
        <v>31990</v>
      </c>
      <c r="S739" s="19" t="s" ph="1">
        <v>5505</v>
      </c>
      <c r="T739" s="19" t="s" ph="1">
        <v>5473</v>
      </c>
      <c r="U739" s="20" t="s" ph="1">
        <v>781</v>
      </c>
      <c r="V739" s="21" ph="1">
        <f>600*1.05</f>
        <v>630</v>
      </c>
      <c r="W739" s="21" ph="1">
        <v>0</v>
      </c>
      <c r="X739" s="19" t="s" ph="1">
        <v>5467</v>
      </c>
      <c r="Y739" s="19" t="s" ph="1">
        <v>5468</v>
      </c>
    </row>
    <row r="740" spans="1:25" s="19" customFormat="1" ht="22.5" customHeight="1" ph="1" x14ac:dyDescent="0.35">
      <c r="A740" s="107" t="s" ph="1">
        <v>2249</v>
      </c>
      <c r="B740" s="18" t="s" ph="1">
        <v>2250</v>
      </c>
      <c r="C740" s="19" t="s" ph="1">
        <v>707</v>
      </c>
      <c r="D740" s="124" ph="1"/>
      <c r="E740" s="124" ph="1"/>
      <c r="G740" s="19" t="s" ph="1">
        <v>5462</v>
      </c>
      <c r="H740" s="19" t="s" ph="1">
        <v>716</v>
      </c>
      <c r="I740" s="19" t="s" ph="1">
        <v>5506</v>
      </c>
      <c r="J740" s="19" t="s" ph="1">
        <v>3721</v>
      </c>
      <c r="M740" s="27" t="str" ph="1">
        <f>IFERROR(INDEX([1]!_born[生没年],
MATCH(I740,[1]!_born[作],0)),"")</f>
        <v/>
      </c>
      <c r="N740" s="27" t="str" ph="1">
        <f>IFERROR(INDEX([1]!_born[生没年],
MATCH(K740,[1]!_born[作],0)),"")</f>
        <v/>
      </c>
      <c r="O740" s="19" t="s" ph="1">
        <v>5507</v>
      </c>
      <c r="R740" s="20" ph="1">
        <v>31444</v>
      </c>
      <c r="S740" s="19" t="s" ph="1">
        <v>5508</v>
      </c>
      <c r="T740" s="19" t="s" ph="1">
        <v>5509</v>
      </c>
      <c r="U740" s="20" t="s" ph="1">
        <v>781</v>
      </c>
      <c r="V740" s="21" ph="1">
        <f>2000*1.05</f>
        <v>2100</v>
      </c>
      <c r="W740" s="21" ph="1">
        <v>0</v>
      </c>
      <c r="X740" s="19" t="s" ph="1">
        <v>5467</v>
      </c>
      <c r="Y740" s="19" t="s" ph="1">
        <v>5468</v>
      </c>
    </row>
    <row r="741" spans="1:25" s="19" customFormat="1" ht="22.5" customHeight="1" ph="1" x14ac:dyDescent="0.35">
      <c r="A741" s="107" t="s" ph="1">
        <v>2251</v>
      </c>
      <c r="B741" s="18" t="s" ph="1">
        <v>779</v>
      </c>
      <c r="C741" s="19" t="s" ph="1">
        <v>707</v>
      </c>
      <c r="D741" s="124" ph="1"/>
      <c r="E741" s="124" ph="1"/>
      <c r="G741" s="19" t="s" ph="1">
        <v>5462</v>
      </c>
      <c r="H741" s="19" t="s" ph="1">
        <v>716</v>
      </c>
      <c r="I741" s="19" t="s" ph="1">
        <v>5510</v>
      </c>
      <c r="J741" s="19" t="s" ph="1">
        <v>5495</v>
      </c>
      <c r="K741" s="19" t="s" ph="1">
        <v>5511</v>
      </c>
      <c r="M741" s="27" t="str" ph="1">
        <f>IFERROR(INDEX([1]!_born[生没年],
MATCH(I741,[1]!_born[作],0)),"")</f>
        <v/>
      </c>
      <c r="N741" s="27" t="str" ph="1">
        <f>IFERROR(INDEX([1]!_born[生没年],
MATCH(K741,[1]!_born[作],0)),"")</f>
        <v/>
      </c>
      <c r="O741" s="19" t="s" ph="1">
        <v>5512</v>
      </c>
      <c r="R741" s="20" t="s" ph="1">
        <v>729</v>
      </c>
      <c r="S741" s="19" t="s" ph="1">
        <v>5513</v>
      </c>
      <c r="T741" s="19" t="s" ph="1">
        <v>5483</v>
      </c>
      <c r="U741" s="20" t="s" ph="1">
        <v>781</v>
      </c>
      <c r="V741" s="21" ph="1">
        <f>1300*1.05</f>
        <v>1365</v>
      </c>
      <c r="W741" s="21" ph="1">
        <v>0</v>
      </c>
      <c r="X741" s="19" t="s" ph="1">
        <v>5467</v>
      </c>
      <c r="Y741" s="19" t="s" ph="1">
        <v>5468</v>
      </c>
    </row>
    <row r="742" spans="1:25" s="19" customFormat="1" ht="22.5" customHeight="1" ph="1" x14ac:dyDescent="0.35">
      <c r="A742" s="107" t="s" ph="1">
        <v>2252</v>
      </c>
      <c r="B742" s="18" t="s" ph="1">
        <v>768</v>
      </c>
      <c r="C742" s="19" t="s" ph="1">
        <v>707</v>
      </c>
      <c r="D742" s="124" ph="1"/>
      <c r="E742" s="124" ph="1"/>
      <c r="G742" s="19" t="s" ph="1">
        <v>5462</v>
      </c>
      <c r="H742" s="19" t="s" ph="1">
        <v>716</v>
      </c>
      <c r="I742" s="19" t="s" ph="1">
        <v>5514</v>
      </c>
      <c r="J742" s="19" t="s" ph="1">
        <v>5515</v>
      </c>
      <c r="K742" s="19" t="s" ph="1">
        <v>5516</v>
      </c>
      <c r="L742" s="19" t="s" ph="1">
        <v>5517</v>
      </c>
      <c r="M742" s="27" t="str" ph="1">
        <f>IFERROR(INDEX([1]!_born[生没年],
MATCH(I742,[1]!_born[作],0)),"")</f>
        <v/>
      </c>
      <c r="N742" s="27" t="str" ph="1">
        <f>IFERROR(INDEX([1]!_born[生没年],
MATCH(K742,[1]!_born[作],0)),"")</f>
        <v/>
      </c>
      <c r="O742" s="19" t="s" ph="1">
        <v>5518</v>
      </c>
      <c r="R742" s="20" ph="1">
        <v>24990</v>
      </c>
      <c r="S742" s="19" t="s" ph="1">
        <v>5519</v>
      </c>
      <c r="T742" s="19" t="s" ph="1">
        <v>5499</v>
      </c>
      <c r="U742" s="20" t="s" ph="1">
        <v>762</v>
      </c>
      <c r="V742" s="21" ph="1">
        <f>800*1.05</f>
        <v>840</v>
      </c>
      <c r="W742" s="21" ph="1">
        <v>0</v>
      </c>
      <c r="X742" s="19" t="s" ph="1">
        <v>5467</v>
      </c>
      <c r="Y742" s="19" t="s" ph="1">
        <v>5468</v>
      </c>
    </row>
    <row r="743" spans="1:25" s="19" customFormat="1" ht="22.5" customHeight="1" ph="1" x14ac:dyDescent="0.35">
      <c r="A743" s="107" t="s" ph="1">
        <v>2253</v>
      </c>
      <c r="B743" s="18" t="s" ph="1">
        <v>2254</v>
      </c>
      <c r="C743" s="19" t="s" ph="1">
        <v>707</v>
      </c>
      <c r="D743" s="124" ph="1"/>
      <c r="E743" s="124" ph="1"/>
      <c r="G743" s="19" t="s" ph="1">
        <v>5462</v>
      </c>
      <c r="H743" s="19" t="s" ph="1">
        <v>716</v>
      </c>
      <c r="M743" s="27" t="str" ph="1">
        <f>IFERROR(INDEX([1]!_born[生没年],
MATCH(I743,[1]!_born[作],0)),"")</f>
        <v/>
      </c>
      <c r="N743" s="27" t="str" ph="1">
        <f>IFERROR(INDEX([1]!_born[生没年],
MATCH(K743,[1]!_born[作],0)),"")</f>
        <v/>
      </c>
      <c r="O743" s="19" t="s" ph="1">
        <v>5520</v>
      </c>
      <c r="R743" s="20" t="s" ph="1">
        <v>2255</v>
      </c>
      <c r="S743" s="19" t="s" ph="1">
        <v>5521</v>
      </c>
      <c r="T743" s="19" t="s" ph="1">
        <v>5522</v>
      </c>
      <c r="U743" s="20" t="s" ph="1">
        <v>762</v>
      </c>
      <c r="V743" s="21" ph="1">
        <f>1280*1.05</f>
        <v>1344</v>
      </c>
      <c r="W743" s="21" ph="1">
        <v>0</v>
      </c>
      <c r="X743" s="19" t="s" ph="1">
        <v>5467</v>
      </c>
      <c r="Y743" s="19" t="s" ph="1">
        <v>5468</v>
      </c>
    </row>
    <row r="744" spans="1:25" s="19" customFormat="1" ht="22.5" customHeight="1" ph="1" x14ac:dyDescent="0.35">
      <c r="A744" s="107" t="s" ph="1">
        <v>2552</v>
      </c>
      <c r="B744" s="18" t="s" ph="1">
        <v>2553</v>
      </c>
      <c r="C744" s="19" t="s" ph="1">
        <v>25</v>
      </c>
      <c r="D744" s="124" ph="1"/>
      <c r="E744" s="124" ph="1"/>
      <c r="G744" s="19" t="s" ph="1">
        <v>5223</v>
      </c>
      <c r="H744" s="19" t="s" ph="1">
        <v>61</v>
      </c>
      <c r="I744" s="19" t="s" ph="1">
        <v>5523</v>
      </c>
      <c r="J744" s="19" t="s" ph="1">
        <v>5524</v>
      </c>
      <c r="K744" s="19" t="s" ph="1">
        <v>5525</v>
      </c>
      <c r="L744" s="19" t="s" ph="1">
        <v>5490</v>
      </c>
      <c r="M744" s="27" t="str" ph="1">
        <f>IFERROR(INDEX([1]!_born[生没年],
MATCH(I744,[1]!_born[作],0)),"")</f>
        <v/>
      </c>
      <c r="N744" s="27" t="str" ph="1">
        <f>IFERROR(INDEX([1]!_born[生没年],
MATCH(K744,[1]!_born[作],0)),"")</f>
        <v/>
      </c>
      <c r="O744" s="19" t="s" ph="1">
        <v>5526</v>
      </c>
      <c r="R744" s="20" t="s" ph="1">
        <v>2554</v>
      </c>
      <c r="S744" s="19" t="s" ph="1">
        <v>5527</v>
      </c>
      <c r="T744" s="19" t="s" ph="1">
        <v>5528</v>
      </c>
      <c r="U744" s="20" ph="1">
        <v>40268</v>
      </c>
      <c r="V744" s="21" ph="1">
        <f>1200*1.05</f>
        <v>1260</v>
      </c>
      <c r="W744" s="21" ph="1">
        <v>0</v>
      </c>
      <c r="X744" s="19" t="s" ph="1">
        <v>5529</v>
      </c>
      <c r="Y744" s="19" t="s" ph="1">
        <v>5530</v>
      </c>
    </row>
    <row r="745" spans="1:25" s="19" customFormat="1" ht="22.5" customHeight="1" ph="1" x14ac:dyDescent="0.35">
      <c r="A745" s="107" t="s" ph="1">
        <v>2564</v>
      </c>
      <c r="B745" s="18" t="s" ph="1">
        <v>768</v>
      </c>
      <c r="C745" s="19" t="s" ph="1">
        <v>25</v>
      </c>
      <c r="D745" s="124" ph="1"/>
      <c r="E745" s="124" ph="1"/>
      <c r="G745" s="19" t="s" ph="1">
        <v>5223</v>
      </c>
      <c r="H745" s="19" t="s" ph="1">
        <v>61</v>
      </c>
      <c r="I745" s="19" t="s" ph="1">
        <v>5531</v>
      </c>
      <c r="J745" s="19" t="s" ph="1">
        <v>5532</v>
      </c>
      <c r="K745" s="19" t="s" ph="1">
        <v>5533</v>
      </c>
      <c r="L745" s="19" t="s" ph="1">
        <v>5534</v>
      </c>
      <c r="M745" s="27" t="str" ph="1">
        <f>IFERROR(INDEX([1]!_born[生没年],
MATCH(I745,[1]!_born[作],0)),"")</f>
        <v/>
      </c>
      <c r="N745" s="27" t="str" ph="1">
        <f>IFERROR(INDEX([1]!_born[生没年],
MATCH(K745,[1]!_born[作],0)),"")</f>
        <v/>
      </c>
      <c r="O745" s="19" t="s" ph="1">
        <v>5535</v>
      </c>
      <c r="R745" s="20" ph="1">
        <v>30071</v>
      </c>
      <c r="T745" s="19" t="s" ph="1">
        <v>5499</v>
      </c>
      <c r="U745" s="20" ph="1">
        <v>40268</v>
      </c>
      <c r="V745" s="21" ph="1">
        <f>1300*1.05</f>
        <v>1365</v>
      </c>
      <c r="W745" s="21" ph="1">
        <v>0</v>
      </c>
      <c r="X745" s="19" t="s" ph="1">
        <v>5529</v>
      </c>
      <c r="Y745" s="19" t="s">
        <v>5530</v>
      </c>
    </row>
    <row r="746" spans="1:25" s="19" customFormat="1" ht="22.5" customHeight="1" ph="1" x14ac:dyDescent="0.35">
      <c r="A746" s="107" t="s" ph="1">
        <v>2556</v>
      </c>
      <c r="B746" s="18" t="s" ph="1">
        <v>2248</v>
      </c>
      <c r="C746" s="19" t="s" ph="1">
        <v>25</v>
      </c>
      <c r="D746" s="124" ph="1"/>
      <c r="E746" s="124" ph="1"/>
      <c r="G746" s="19" t="s" ph="1">
        <v>5223</v>
      </c>
      <c r="H746" s="19" t="s" ph="1">
        <v>2555</v>
      </c>
      <c r="I746" s="19" t="s" ph="1">
        <v>5536</v>
      </c>
      <c r="J746" s="19" t="s" ph="1">
        <v>5537</v>
      </c>
      <c r="K746" s="19" t="s" ph="1">
        <v>5538</v>
      </c>
      <c r="L746" s="19" t="s" ph="1">
        <v>5539</v>
      </c>
      <c r="M746" s="27" t="str" ph="1">
        <f>IFERROR(INDEX([1]!_born[生没年],
MATCH(I746,[1]!_born[作],0)),"")</f>
        <v/>
      </c>
      <c r="N746" s="27" t="str" ph="1">
        <f>IFERROR(INDEX([1]!_born[生没年],
MATCH(K746,[1]!_born[作],0)),"")</f>
        <v/>
      </c>
      <c r="O746" s="19" t="s" ph="1">
        <v>5540</v>
      </c>
      <c r="R746" s="20" ph="1">
        <v>22767</v>
      </c>
      <c r="S746" s="19" t="s" ph="1">
        <v>5541</v>
      </c>
      <c r="T746" s="19" t="s" ph="1">
        <v>5499</v>
      </c>
      <c r="U746" s="20" ph="1">
        <v>40268</v>
      </c>
      <c r="V746" s="21" ph="1">
        <f>800*1.05</f>
        <v>840</v>
      </c>
      <c r="W746" s="21" ph="1">
        <v>0</v>
      </c>
      <c r="X746" s="19" t="s" ph="1">
        <v>5529</v>
      </c>
      <c r="Y746" s="19" t="s" ph="1">
        <v>5530</v>
      </c>
    </row>
    <row r="747" spans="1:25" s="19" customFormat="1" ht="22.5" customHeight="1" ph="1" x14ac:dyDescent="0.35">
      <c r="A747" s="107" t="s" ph="1">
        <v>2557</v>
      </c>
      <c r="B747" s="18" t="s" ph="1">
        <v>2558</v>
      </c>
      <c r="C747" s="19" t="s" ph="1">
        <v>25</v>
      </c>
      <c r="D747" s="124" ph="1"/>
      <c r="E747" s="124" ph="1"/>
      <c r="G747" s="19" t="s" ph="1">
        <v>5223</v>
      </c>
      <c r="H747" s="19" t="s" ph="1">
        <v>2555</v>
      </c>
      <c r="I747" s="19" t="s" ph="1">
        <v>2560</v>
      </c>
      <c r="M747" s="27" t="str" ph="1">
        <f>IFERROR(INDEX([1]!_born[生没年],
MATCH(I747,[1]!_born[作],0)),"")</f>
        <v/>
      </c>
      <c r="N747" s="27" t="str" ph="1">
        <f>IFERROR(INDEX([1]!_born[生没年],
MATCH(K747,[1]!_born[作],0)),"")</f>
        <v/>
      </c>
      <c r="O747" s="19" t="s" ph="1">
        <v>5542</v>
      </c>
      <c r="R747" s="20" t="s" ph="1">
        <v>2559</v>
      </c>
      <c r="T747" s="19" t="s" ph="1">
        <v>5473</v>
      </c>
      <c r="U747" s="20" ph="1">
        <v>40268</v>
      </c>
      <c r="V747" s="21" ph="1">
        <f>1200*1.05</f>
        <v>1260</v>
      </c>
      <c r="W747" s="21" ph="1">
        <v>0</v>
      </c>
      <c r="X747" s="19" t="s" ph="1">
        <v>5529</v>
      </c>
      <c r="Y747" s="19" t="s" ph="1">
        <v>5530</v>
      </c>
    </row>
    <row r="748" spans="1:25" s="19" customFormat="1" ht="22.5" customHeight="1" ph="1" x14ac:dyDescent="0.35">
      <c r="A748" s="107" t="s" ph="1">
        <v>2561</v>
      </c>
      <c r="B748" s="18" t="s" ph="1">
        <v>2562</v>
      </c>
      <c r="C748" s="19" t="s" ph="1">
        <v>25</v>
      </c>
      <c r="D748" s="124" ph="1"/>
      <c r="E748" s="124" ph="1"/>
      <c r="G748" s="19" t="s" ph="1">
        <v>5223</v>
      </c>
      <c r="H748" s="19" t="s" ph="1">
        <v>2555</v>
      </c>
      <c r="I748" s="19" t="s" ph="1">
        <v>2560</v>
      </c>
      <c r="J748" s="19" t="s" ph="1">
        <v>5543</v>
      </c>
      <c r="K748" s="19" t="s" ph="1">
        <v>4535</v>
      </c>
      <c r="M748" s="27" t="str" ph="1">
        <f>IFERROR(INDEX([1]!_born[生没年],
MATCH(I748,[1]!_born[作],0)),"")</f>
        <v/>
      </c>
      <c r="N748" s="27" t="str" ph="1">
        <f>IFERROR(INDEX([1]!_born[生没年],
MATCH(K748,[1]!_born[作],0)),"")</f>
        <v/>
      </c>
      <c r="O748" s="19" t="s" ph="1">
        <v>5544</v>
      </c>
      <c r="R748" s="20" t="s" ph="1">
        <v>2563</v>
      </c>
      <c r="T748" s="19" t="s" ph="1">
        <v>5473</v>
      </c>
      <c r="U748" s="20" ph="1">
        <v>40268</v>
      </c>
      <c r="V748" s="21" ph="1">
        <f>1200*1.05</f>
        <v>1260</v>
      </c>
      <c r="W748" s="21" ph="1">
        <v>0</v>
      </c>
      <c r="X748" s="19" t="s" ph="1">
        <v>5529</v>
      </c>
      <c r="Y748" s="19" t="s" ph="1">
        <v>5530</v>
      </c>
    </row>
    <row r="749" spans="1:25" s="19" customFormat="1" ht="22.5" customHeight="1" ph="1" x14ac:dyDescent="0.35">
      <c r="A749" s="107" t="s" ph="1">
        <v>2565</v>
      </c>
      <c r="B749" s="18" t="s" ph="1">
        <v>2566</v>
      </c>
      <c r="C749" s="19" t="s" ph="1">
        <v>25</v>
      </c>
      <c r="D749" s="124" ph="1"/>
      <c r="E749" s="124" ph="1"/>
      <c r="G749" s="19" t="s" ph="1">
        <v>5223</v>
      </c>
      <c r="H749" s="19" t="s" ph="1">
        <v>61</v>
      </c>
      <c r="I749" s="19" t="s" ph="1">
        <v>5545</v>
      </c>
      <c r="M749" s="27" t="str" ph="1">
        <f>IFERROR(INDEX([1]!_born[生没年],
MATCH(I749,[1]!_born[作],0)),"")</f>
        <v/>
      </c>
      <c r="N749" s="27" t="str" ph="1">
        <f>IFERROR(INDEX([1]!_born[生没年],
MATCH(K749,[1]!_born[作],0)),"")</f>
        <v/>
      </c>
      <c r="O749" s="19" t="s" ph="1">
        <v>5546</v>
      </c>
      <c r="R749" s="20" t="s" ph="1">
        <v>2567</v>
      </c>
      <c r="T749" s="19" t="s" ph="1">
        <v>5547</v>
      </c>
      <c r="U749" s="20" ph="1">
        <v>40268</v>
      </c>
      <c r="V749" s="21" ph="1">
        <f>1500*1.05</f>
        <v>1575</v>
      </c>
      <c r="W749" s="21" ph="1">
        <v>0</v>
      </c>
      <c r="X749" s="19" t="s" ph="1">
        <v>5529</v>
      </c>
      <c r="Y749" s="19" t="s" ph="1">
        <v>5530</v>
      </c>
    </row>
    <row r="750" spans="1:25" s="19" customFormat="1" ht="22.5" customHeight="1" ph="1" x14ac:dyDescent="0.35">
      <c r="A750" s="107" t="s" ph="1">
        <v>2602</v>
      </c>
      <c r="B750" s="18" t="s" ph="1">
        <v>715</v>
      </c>
      <c r="C750" s="19" t="s" ph="1">
        <v>25</v>
      </c>
      <c r="D750" s="124" ph="1"/>
      <c r="E750" s="124" ph="1"/>
      <c r="G750" s="19" t="s" ph="1">
        <v>5223</v>
      </c>
      <c r="H750" s="19" t="s" ph="1">
        <v>61</v>
      </c>
      <c r="I750" s="19" t="s" ph="1">
        <v>5548</v>
      </c>
      <c r="J750" s="19" t="s" ph="1">
        <v>5532</v>
      </c>
      <c r="K750" s="19" t="s" ph="1">
        <v>5549</v>
      </c>
      <c r="L750" s="19" t="s" ph="1">
        <v>5534</v>
      </c>
      <c r="M750" s="27" t="str" ph="1">
        <f>IFERROR(INDEX([1]!_born[生没年],
MATCH(I750,[1]!_born[作],0)),"")</f>
        <v/>
      </c>
      <c r="N750" s="27" t="str" ph="1">
        <f>IFERROR(INDEX([1]!_born[生没年],
MATCH(K750,[1]!_born[作],0)),"")</f>
        <v/>
      </c>
      <c r="O750" s="19" t="s" ph="1">
        <v>5550</v>
      </c>
      <c r="R750" s="20" ph="1">
        <v>33879</v>
      </c>
      <c r="S750" s="19" t="s" ph="1">
        <v>5551</v>
      </c>
      <c r="T750" s="19" t="s" ph="1">
        <v>5552</v>
      </c>
      <c r="U750" s="20" ph="1">
        <v>40999</v>
      </c>
      <c r="V750" s="21" ph="1">
        <f>1068*1.05</f>
        <v>1121.4000000000001</v>
      </c>
      <c r="W750" s="21" ph="1">
        <v>0</v>
      </c>
      <c r="X750" s="19" t="s" ph="1">
        <v>5529</v>
      </c>
      <c r="Y750" s="19" t="s" ph="1">
        <v>5530</v>
      </c>
    </row>
    <row r="751" spans="1:25" s="19" customFormat="1" ht="22.5" customHeight="1" ph="1" x14ac:dyDescent="0.35">
      <c r="A751" s="107" t="s" ph="1">
        <v>2600</v>
      </c>
      <c r="B751" s="18" t="s" ph="1">
        <v>715</v>
      </c>
      <c r="C751" s="19" t="s" ph="1">
        <v>25</v>
      </c>
      <c r="D751" s="124" ph="1"/>
      <c r="E751" s="124" ph="1"/>
      <c r="G751" s="19" t="s" ph="1">
        <v>5223</v>
      </c>
      <c r="H751" s="19" t="s" ph="1">
        <v>61</v>
      </c>
      <c r="I751" s="19" t="s" ph="1">
        <v>5553</v>
      </c>
      <c r="J751" s="19" t="s" ph="1">
        <v>5470</v>
      </c>
      <c r="M751" s="27" t="str" ph="1">
        <f>IFERROR(INDEX([1]!_born[生没年],
MATCH(I751,[1]!_born[作],0)),"")</f>
        <v/>
      </c>
      <c r="N751" s="27" t="str" ph="1">
        <f>IFERROR(INDEX([1]!_born[生没年],
MATCH(K751,[1]!_born[作],0)),"")</f>
        <v/>
      </c>
      <c r="O751" s="19" t="s" ph="1">
        <v>5554</v>
      </c>
      <c r="R751" s="20" t="s" ph="1">
        <v>2601</v>
      </c>
      <c r="S751" s="19" t="s" ph="1">
        <v>5555</v>
      </c>
      <c r="T751" s="19" t="s" ph="1">
        <v>5397</v>
      </c>
      <c r="U751" s="20" ph="1">
        <v>40999</v>
      </c>
      <c r="V751" s="21" ph="1">
        <f>1200*1.05</f>
        <v>1260</v>
      </c>
      <c r="W751" s="21" ph="1">
        <v>0</v>
      </c>
      <c r="X751" s="19" t="s" ph="1">
        <v>5529</v>
      </c>
      <c r="Y751" s="19" t="s" ph="1">
        <v>5530</v>
      </c>
    </row>
    <row r="752" spans="1:25" s="19" customFormat="1" ht="22.5" customHeight="1" ph="1" x14ac:dyDescent="0.35">
      <c r="A752" s="107" t="s" ph="1">
        <v>2603</v>
      </c>
      <c r="B752" s="18" t="s" ph="1">
        <v>715</v>
      </c>
      <c r="C752" s="19" t="s" ph="1">
        <v>25</v>
      </c>
      <c r="D752" s="124" ph="1"/>
      <c r="E752" s="124" ph="1"/>
      <c r="G752" s="19" t="s" ph="1">
        <v>5223</v>
      </c>
      <c r="H752" s="19" t="s" ph="1">
        <v>61</v>
      </c>
      <c r="I752" s="19" t="s" ph="1">
        <v>5556</v>
      </c>
      <c r="J752" s="19" t="s" ph="1">
        <v>5490</v>
      </c>
      <c r="M752" s="27" t="str" ph="1">
        <f>IFERROR(INDEX([1]!_born[生没年],
MATCH(I752,[1]!_born[作],0)),"")</f>
        <v/>
      </c>
      <c r="N752" s="27" t="str" ph="1">
        <f>IFERROR(INDEX([1]!_born[生没年],
MATCH(K752,[1]!_born[作],0)),"")</f>
        <v/>
      </c>
      <c r="O752" s="19" t="s" ph="1">
        <v>5557</v>
      </c>
      <c r="R752" s="20" ph="1">
        <v>25842</v>
      </c>
      <c r="S752" s="19" t="s" ph="1">
        <v>5558</v>
      </c>
      <c r="T752" s="19" t="s" ph="1">
        <v>5559</v>
      </c>
      <c r="U752" s="20" ph="1">
        <v>40999</v>
      </c>
      <c r="V752" s="21" ph="1">
        <f>800*1.05</f>
        <v>840</v>
      </c>
      <c r="W752" s="21" ph="1">
        <v>0</v>
      </c>
      <c r="X752" s="19" t="s" ph="1">
        <v>5529</v>
      </c>
      <c r="Y752" s="19" t="s" ph="1">
        <v>5530</v>
      </c>
    </row>
    <row r="753" spans="1:25" s="19" customFormat="1" ht="22.5" customHeight="1" ph="1" x14ac:dyDescent="0.35">
      <c r="A753" s="107" t="s" ph="1">
        <v>2599</v>
      </c>
      <c r="B753" s="18" t="s" ph="1">
        <v>768</v>
      </c>
      <c r="C753" s="19" t="s" ph="1">
        <v>25</v>
      </c>
      <c r="D753" s="124" ph="1"/>
      <c r="E753" s="124" ph="1"/>
      <c r="G753" s="19" t="s" ph="1">
        <v>5223</v>
      </c>
      <c r="H753" s="19" t="s" ph="1">
        <v>61</v>
      </c>
      <c r="I753" s="19" t="s" ph="1">
        <v>5560</v>
      </c>
      <c r="J753" s="19" t="s" ph="1">
        <v>5561</v>
      </c>
      <c r="K753" s="19" t="s" ph="1">
        <v>5562</v>
      </c>
      <c r="L753" s="19" t="s" ph="1">
        <v>5534</v>
      </c>
      <c r="M753" s="27" t="str" ph="1">
        <f>IFERROR(INDEX([1]!_born[生没年],
MATCH(I753,[1]!_born[作],0)),"")</f>
        <v/>
      </c>
      <c r="N753" s="27" t="str" ph="1">
        <f>IFERROR(INDEX([1]!_born[生没年],
MATCH(K753,[1]!_born[作],0)),"")</f>
        <v/>
      </c>
      <c r="O753" s="19" t="s" ph="1">
        <v>5563</v>
      </c>
      <c r="R753" s="20" ph="1">
        <v>27973</v>
      </c>
      <c r="S753" s="19" t="s" ph="1">
        <v>5564</v>
      </c>
      <c r="T753" s="19" t="s" ph="1">
        <v>5499</v>
      </c>
      <c r="U753" s="20" ph="1">
        <v>40999</v>
      </c>
      <c r="V753" s="21" ph="1">
        <f>800*1.05</f>
        <v>840</v>
      </c>
      <c r="W753" s="21" ph="1">
        <v>0</v>
      </c>
      <c r="X753" s="19" t="s" ph="1">
        <v>5529</v>
      </c>
      <c r="Y753" s="19" t="s" ph="1">
        <v>5530</v>
      </c>
    </row>
    <row r="754" spans="1:25" s="19" customFormat="1" ht="22.5" customHeight="1" ph="1" x14ac:dyDescent="0.35">
      <c r="A754" s="107" t="s" ph="1">
        <v>2598</v>
      </c>
      <c r="B754" s="18" t="s" ph="1">
        <v>768</v>
      </c>
      <c r="C754" s="19" t="s" ph="1">
        <v>25</v>
      </c>
      <c r="D754" s="124" ph="1"/>
      <c r="E754" s="124" ph="1"/>
      <c r="G754" s="19" t="s" ph="1">
        <v>5223</v>
      </c>
      <c r="H754" s="19" t="s" ph="1">
        <v>61</v>
      </c>
      <c r="I754" s="19" t="s" ph="1">
        <v>5565</v>
      </c>
      <c r="J754" s="19" t="s" ph="1">
        <v>5524</v>
      </c>
      <c r="K754" s="19" t="s" ph="1">
        <v>5566</v>
      </c>
      <c r="L754" s="19" t="s" ph="1">
        <v>5490</v>
      </c>
      <c r="M754" s="27" t="str" ph="1">
        <f>IFERROR(INDEX([1]!_born[生没年],
MATCH(I754,[1]!_born[作],0)),"")</f>
        <v/>
      </c>
      <c r="N754" s="27" t="str" ph="1">
        <f>IFERROR(INDEX([1]!_born[生没年],
MATCH(K754,[1]!_born[作],0)),"")</f>
        <v/>
      </c>
      <c r="O754" s="19" t="s" ph="1">
        <v>5567</v>
      </c>
      <c r="R754" s="20" ph="1">
        <v>23285</v>
      </c>
      <c r="S754" s="19" t="s" ph="1">
        <v>5568</v>
      </c>
      <c r="T754" s="19" t="s" ph="1">
        <v>5499</v>
      </c>
      <c r="U754" s="20" ph="1">
        <v>40999</v>
      </c>
      <c r="V754" s="21" ph="1">
        <f>800*1.05</f>
        <v>840</v>
      </c>
      <c r="W754" s="21" ph="1">
        <v>0</v>
      </c>
      <c r="X754" s="19" t="s" ph="1">
        <v>5529</v>
      </c>
      <c r="Y754" s="19" t="s" ph="1">
        <v>5530</v>
      </c>
    </row>
    <row r="755" spans="1:25" s="19" customFormat="1" ht="22.5" customHeight="1" ph="1" x14ac:dyDescent="0.35">
      <c r="A755" s="107" t="s" ph="1">
        <v>2604</v>
      </c>
      <c r="B755" s="18" t="s" ph="1">
        <v>761</v>
      </c>
      <c r="C755" s="19" t="s" ph="1">
        <v>25</v>
      </c>
      <c r="D755" s="124" ph="1"/>
      <c r="E755" s="124" ph="1"/>
      <c r="G755" s="19" t="s" ph="1">
        <v>5223</v>
      </c>
      <c r="H755" s="19" t="s" ph="1">
        <v>61</v>
      </c>
      <c r="I755" s="19" t="s" ph="1">
        <v>5463</v>
      </c>
      <c r="M755" s="27" t="str" ph="1">
        <f>IFERROR(INDEX([1]!_born[生没年],
MATCH(I755,[1]!_born[作],0)),"")</f>
        <v/>
      </c>
      <c r="N755" s="27" t="str" ph="1">
        <f>IFERROR(INDEX([1]!_born[生没年],
MATCH(K755,[1]!_born[作],0)),"")</f>
        <v/>
      </c>
      <c r="O755" s="19" t="s" ph="1">
        <v>5569</v>
      </c>
      <c r="R755" s="20" t="s" ph="1">
        <v>2605</v>
      </c>
      <c r="T755" s="19" t="s" ph="1">
        <v>5473</v>
      </c>
      <c r="U755" s="20" ph="1">
        <v>40999</v>
      </c>
      <c r="V755" s="21" ph="1">
        <f>1000*1.05</f>
        <v>1050</v>
      </c>
      <c r="W755" s="21" ph="1">
        <v>0</v>
      </c>
      <c r="X755" s="19" t="s" ph="1">
        <v>5529</v>
      </c>
    </row>
    <row r="756" spans="1:25" s="19" customFormat="1" ht="22.5" customHeight="1" ph="1" x14ac:dyDescent="0.35">
      <c r="A756" s="107" t="s" ph="1">
        <v>2635</v>
      </c>
      <c r="B756" s="18" t="s" ph="1">
        <v>715</v>
      </c>
      <c r="C756" s="19" t="s" ph="1">
        <v>25</v>
      </c>
      <c r="D756" s="124" ph="1"/>
      <c r="E756" s="124" ph="1"/>
      <c r="G756" s="19" t="s" ph="1">
        <v>5223</v>
      </c>
      <c r="H756" s="19" t="s" ph="1">
        <v>61</v>
      </c>
      <c r="I756" s="19" t="s" ph="1">
        <v>5570</v>
      </c>
      <c r="J756" s="19" t="s" ph="1">
        <v>5571</v>
      </c>
      <c r="M756" s="27" t="str" ph="1">
        <f>IFERROR(INDEX([1]!_born[生没年],
MATCH(I756,[1]!_born[作],0)),"")</f>
        <v/>
      </c>
      <c r="N756" s="27" t="str" ph="1">
        <f>IFERROR(INDEX([1]!_born[生没年],
MATCH(K756,[1]!_born[作],0)),"")</f>
        <v/>
      </c>
      <c r="O756" s="19" t="s" ph="1">
        <v>5572</v>
      </c>
      <c r="R756" s="20" t="s" ph="1">
        <v>2636</v>
      </c>
      <c r="S756" s="19" t="s" ph="1">
        <v>5573</v>
      </c>
      <c r="T756" s="19" t="s" ph="1">
        <v>5574</v>
      </c>
      <c r="U756" s="20" ph="1">
        <v>41364</v>
      </c>
      <c r="V756" s="21" ph="1">
        <f>1700*1.05</f>
        <v>1785</v>
      </c>
      <c r="W756" s="21" ph="1">
        <v>0</v>
      </c>
      <c r="X756" s="19" t="s" ph="1">
        <v>5529</v>
      </c>
    </row>
    <row r="757" spans="1:25" s="19" customFormat="1" ht="22.5" customHeight="1" ph="1" x14ac:dyDescent="0.35">
      <c r="A757" s="107" t="s" ph="1">
        <v>2637</v>
      </c>
      <c r="B757" s="18" t="s" ph="1">
        <v>2638</v>
      </c>
      <c r="C757" s="19" t="s" ph="1">
        <v>25</v>
      </c>
      <c r="D757" s="124" ph="1"/>
      <c r="E757" s="124" ph="1"/>
      <c r="G757" s="19" t="s" ph="1">
        <v>5223</v>
      </c>
      <c r="H757" s="19" t="s" ph="1">
        <v>61</v>
      </c>
      <c r="I757" s="19" t="s" ph="1">
        <v>5575</v>
      </c>
      <c r="J757" s="19" t="s" ph="1">
        <v>5524</v>
      </c>
      <c r="K757" s="19" t="s" ph="1">
        <v>5576</v>
      </c>
      <c r="L757" s="19" t="s" ph="1">
        <v>5577</v>
      </c>
      <c r="M757" s="27" t="str" ph="1">
        <f>IFERROR(INDEX([1]!_born[生没年],
MATCH(I757,[1]!_born[作],0)),"")</f>
        <v/>
      </c>
      <c r="N757" s="27" t="str" ph="1">
        <f>IFERROR(INDEX([1]!_born[生没年],
MATCH(K757,[1]!_born[作],0)),"")</f>
        <v/>
      </c>
      <c r="O757" s="19" t="s" ph="1">
        <v>5578</v>
      </c>
      <c r="R757" s="20" t="s" ph="1">
        <v>2639</v>
      </c>
      <c r="S757" s="19" t="s" ph="1">
        <v>5579</v>
      </c>
      <c r="T757" s="19" t="s" ph="1">
        <v>5483</v>
      </c>
      <c r="U757" s="20" ph="1">
        <v>41364</v>
      </c>
      <c r="V757" s="21" ph="1">
        <f>1300*1.05</f>
        <v>1365</v>
      </c>
      <c r="W757" s="21" ph="1">
        <v>0</v>
      </c>
      <c r="X757" s="19" t="s" ph="1">
        <v>5529</v>
      </c>
    </row>
    <row r="758" spans="1:25" s="19" customFormat="1" ht="22.5" customHeight="1" ph="1" x14ac:dyDescent="0.35">
      <c r="A758" s="107" t="s" ph="1">
        <v>2640</v>
      </c>
      <c r="B758" s="18" t="s" ph="1">
        <v>770</v>
      </c>
      <c r="C758" s="19" t="s" ph="1">
        <v>25</v>
      </c>
      <c r="D758" s="124" ph="1"/>
      <c r="E758" s="124" ph="1"/>
      <c r="G758" s="19" t="s" ph="1">
        <v>5223</v>
      </c>
      <c r="H758" s="19" t="s" ph="1">
        <v>61</v>
      </c>
      <c r="I758" s="19" t="s" ph="1">
        <v>5580</v>
      </c>
      <c r="J758" s="19" t="s" ph="1">
        <v>5470</v>
      </c>
      <c r="M758" s="27" t="str" ph="1">
        <f>IFERROR(INDEX([1]!_born[生没年],
MATCH(I758,[1]!_born[作],0)),"")</f>
        <v/>
      </c>
      <c r="N758" s="27" t="str" ph="1">
        <f>IFERROR(INDEX([1]!_born[生没年],
MATCH(K758,[1]!_born[作],0)),"")</f>
        <v/>
      </c>
      <c r="O758" s="19" t="s" ph="1">
        <v>5581</v>
      </c>
      <c r="R758" s="20" t="s" ph="1">
        <v>2641</v>
      </c>
      <c r="S758" s="19" t="s" ph="1">
        <v>5582</v>
      </c>
      <c r="T758" s="19" t="s" ph="1">
        <v>5503</v>
      </c>
      <c r="U758" s="20" ph="1">
        <v>41364</v>
      </c>
      <c r="V758" s="21" ph="1">
        <f>1300*1.05</f>
        <v>1365</v>
      </c>
      <c r="W758" s="21" ph="1">
        <v>0</v>
      </c>
      <c r="X758" s="19" t="s" ph="1">
        <v>5529</v>
      </c>
    </row>
    <row r="759" spans="1:25" s="19" customFormat="1" ht="22.5" customHeight="1" ph="1" x14ac:dyDescent="0.35">
      <c r="A759" s="107" t="s" ph="1">
        <v>2642</v>
      </c>
      <c r="B759" s="18" t="s" ph="1">
        <v>2643</v>
      </c>
      <c r="C759" s="19" t="s" ph="1">
        <v>25</v>
      </c>
      <c r="D759" s="124" ph="1"/>
      <c r="E759" s="124" ph="1"/>
      <c r="G759" s="19" t="s" ph="1">
        <v>5223</v>
      </c>
      <c r="H759" s="19" t="s" ph="1">
        <v>61</v>
      </c>
      <c r="I759" s="19" t="s" ph="1">
        <v>5583</v>
      </c>
      <c r="J759" s="19" t="s" ph="1">
        <v>5532</v>
      </c>
      <c r="M759" s="27" t="str" ph="1">
        <f>IFERROR(INDEX([1]!_born[生没年],
MATCH(I759,[1]!_born[作],0)),"")</f>
        <v/>
      </c>
      <c r="N759" s="27" t="str" ph="1">
        <f>IFERROR(INDEX([1]!_born[生没年],
MATCH(K759,[1]!_born[作],0)),"")</f>
        <v/>
      </c>
      <c r="O759" s="19" t="s" ph="1">
        <v>5584</v>
      </c>
      <c r="R759" s="20" t="s" ph="1">
        <v>2644</v>
      </c>
      <c r="S759" s="19" t="s" ph="1">
        <v>5585</v>
      </c>
      <c r="T759" s="19" t="s" ph="1">
        <v>5503</v>
      </c>
      <c r="U759" s="20" ph="1">
        <v>41364</v>
      </c>
      <c r="V759" s="21" ph="1">
        <f>1400*1.05</f>
        <v>1470</v>
      </c>
      <c r="W759" s="21" ph="1">
        <v>0</v>
      </c>
      <c r="X759" s="19" t="s" ph="1">
        <v>5529</v>
      </c>
    </row>
    <row r="760" spans="1:25" s="19" customFormat="1" ht="22.5" customHeight="1" ph="1" x14ac:dyDescent="0.35">
      <c r="A760" s="107" t="s" ph="1">
        <v>2645</v>
      </c>
      <c r="B760" s="18" t="s" ph="1">
        <v>2646</v>
      </c>
      <c r="C760" s="19" t="s" ph="1">
        <v>25</v>
      </c>
      <c r="D760" s="124" ph="1"/>
      <c r="E760" s="124" ph="1"/>
      <c r="G760" s="19" t="s" ph="1">
        <v>5223</v>
      </c>
      <c r="H760" s="19" t="s" ph="1">
        <v>61</v>
      </c>
      <c r="I760" s="19" t="s" ph="1">
        <v>5586</v>
      </c>
      <c r="J760" s="19" t="s" ph="1">
        <v>5587</v>
      </c>
      <c r="K760" s="19" t="s" ph="1">
        <v>5588</v>
      </c>
      <c r="L760" s="19" t="s" ph="1">
        <v>5534</v>
      </c>
      <c r="M760" s="27" t="str" ph="1">
        <f>IFERROR(INDEX([1]!_born[生没年],
MATCH(I760,[1]!_born[作],0)),"")</f>
        <v/>
      </c>
      <c r="N760" s="27" t="str" ph="1">
        <f>IFERROR(INDEX([1]!_born[生没年],
MATCH(K760,[1]!_born[作],0)),"")</f>
        <v/>
      </c>
      <c r="O760" s="19" t="s" ph="1">
        <v>5589</v>
      </c>
      <c r="R760" s="20" t="s" ph="1">
        <v>2647</v>
      </c>
      <c r="S760" s="19" t="s" ph="1">
        <v>5590</v>
      </c>
      <c r="T760" s="19" t="s" ph="1">
        <v>5503</v>
      </c>
      <c r="U760" s="20" ph="1">
        <v>41364</v>
      </c>
      <c r="V760" s="21" ph="1">
        <f>1165*1.05</f>
        <v>1223.25</v>
      </c>
      <c r="W760" s="21" ph="1">
        <v>0</v>
      </c>
      <c r="X760" s="19" t="s" ph="1">
        <v>5529</v>
      </c>
    </row>
    <row r="761" spans="1:25" s="19" customFormat="1" ht="22.5" customHeight="1" ph="1" x14ac:dyDescent="0.35">
      <c r="A761" s="107" t="s" ph="1">
        <v>2649</v>
      </c>
      <c r="B761" s="18" t="s" ph="1">
        <v>2648</v>
      </c>
      <c r="C761" s="19" t="s" ph="1">
        <v>25</v>
      </c>
      <c r="D761" s="124" ph="1"/>
      <c r="E761" s="124" ph="1"/>
      <c r="G761" s="19" t="s" ph="1">
        <v>5223</v>
      </c>
      <c r="H761" s="19" t="s" ph="1">
        <v>61</v>
      </c>
      <c r="I761" s="19" t="s" ph="1">
        <v>5591</v>
      </c>
      <c r="M761" s="27" t="str" ph="1">
        <f>IFERROR(INDEX([1]!_born[生没年],
MATCH(I761,[1]!_born[作],0)),"")</f>
        <v/>
      </c>
      <c r="N761" s="27" t="str" ph="1">
        <f>IFERROR(INDEX([1]!_born[生没年],
MATCH(K761,[1]!_born[作],0)),"")</f>
        <v/>
      </c>
      <c r="O761" s="19" t="s" ph="1">
        <v>5592</v>
      </c>
      <c r="R761" s="20" ph="1">
        <v>29067</v>
      </c>
      <c r="T761" s="19" t="s" ph="1">
        <v>5593</v>
      </c>
      <c r="U761" s="20" ph="1">
        <v>41364</v>
      </c>
      <c r="V761" s="21" ph="1">
        <f>981*1.05</f>
        <v>1030.05</v>
      </c>
      <c r="W761" s="21" ph="1">
        <v>0</v>
      </c>
      <c r="X761" s="19" t="s" ph="1">
        <v>5529</v>
      </c>
    </row>
    <row r="762" spans="1:25" s="19" customFormat="1" ht="22.5" customHeight="1" ph="1" x14ac:dyDescent="0.35">
      <c r="A762" s="107" ph="1"/>
      <c r="B762" s="18" ph="1"/>
      <c r="C762" s="19" t="s" ph="1">
        <v>25</v>
      </c>
      <c r="D762" s="124" ph="1"/>
      <c r="E762" s="124" ph="1"/>
      <c r="G762" s="19" t="s" ph="1">
        <v>5594</v>
      </c>
      <c r="H762" s="19" t="s" ph="1">
        <v>61</v>
      </c>
      <c r="I762" s="19" t="s" ph="1">
        <v>5595</v>
      </c>
      <c r="M762" s="27" t="str" ph="1">
        <f>IFERROR(INDEX([1]!_born[生没年],
MATCH(I762,[1]!_born[作],0)),"")</f>
        <v/>
      </c>
      <c r="N762" s="27" t="str" ph="1">
        <f>IFERROR(INDEX([1]!_born[生没年],
MATCH(K762,[1]!_born[作],0)),"")</f>
        <v/>
      </c>
      <c r="O762" s="19" t="s" ph="1">
        <v>5596</v>
      </c>
      <c r="R762" s="20" ph="1">
        <v>40964</v>
      </c>
      <c r="S762" s="19" t="s" ph="1">
        <v>5597</v>
      </c>
      <c r="T762" s="19" t="s" ph="1">
        <v>5598</v>
      </c>
      <c r="U762" s="20" ph="1">
        <v>41364</v>
      </c>
      <c r="V762" s="21" ph="1">
        <v>0</v>
      </c>
      <c r="W762" s="21" ph="1">
        <v>0</v>
      </c>
      <c r="X762" s="19" t="s" ph="1">
        <v>5529</v>
      </c>
    </row>
    <row r="763" spans="1:25" s="19" customFormat="1" ht="22.5" customHeight="1" ph="1" x14ac:dyDescent="0.35">
      <c r="A763" s="107" t="s" ph="1">
        <v>2651</v>
      </c>
      <c r="B763" s="18" t="s" ph="1">
        <v>2652</v>
      </c>
      <c r="C763" s="19" t="s" ph="1">
        <v>25</v>
      </c>
      <c r="D763" s="124" ph="1"/>
      <c r="E763" s="124" ph="1"/>
      <c r="G763" s="19" t="s" ph="1">
        <v>5594</v>
      </c>
      <c r="H763" s="19" t="s" ph="1">
        <v>61</v>
      </c>
      <c r="I763" s="19" t="s" ph="1">
        <v>5595</v>
      </c>
      <c r="M763" s="27" t="str" ph="1">
        <f>IFERROR(INDEX([1]!_born[生没年],
MATCH(I763,[1]!_born[作],0)),"")</f>
        <v/>
      </c>
      <c r="N763" s="27" t="str" ph="1">
        <f>IFERROR(INDEX([1]!_born[生没年],
MATCH(K763,[1]!_born[作],0)),"")</f>
        <v/>
      </c>
      <c r="O763" s="19" t="s" ph="1">
        <v>5599</v>
      </c>
      <c r="R763" s="20" ph="1">
        <v>40928</v>
      </c>
      <c r="S763" s="19" t="s" ph="1">
        <v>5600</v>
      </c>
      <c r="T763" s="19" t="s" ph="1">
        <v>5598</v>
      </c>
      <c r="U763" s="20" ph="1">
        <v>41364</v>
      </c>
      <c r="V763" s="21" ph="1">
        <v>0</v>
      </c>
      <c r="W763" s="21" ph="1">
        <v>0</v>
      </c>
      <c r="X763" s="19" t="s" ph="1">
        <v>5529</v>
      </c>
    </row>
    <row r="764" spans="1:25" s="19" customFormat="1" ht="22.5" customHeight="1" ph="1" x14ac:dyDescent="0.35">
      <c r="A764" s="107" ph="1"/>
      <c r="B764" s="18" ph="1"/>
      <c r="C764" s="19" t="s" ph="1">
        <v>25</v>
      </c>
      <c r="D764" s="124" ph="1"/>
      <c r="E764" s="124" ph="1"/>
      <c r="G764" s="19" t="s" ph="1">
        <v>5594</v>
      </c>
      <c r="H764" s="19" t="s" ph="1">
        <v>61</v>
      </c>
      <c r="I764" s="19" t="s" ph="1">
        <v>5601</v>
      </c>
      <c r="M764" s="27" t="str" ph="1">
        <f>IFERROR(INDEX([1]!_born[生没年],
MATCH(I764,[1]!_born[作],0)),"")</f>
        <v/>
      </c>
      <c r="N764" s="27" t="str" ph="1">
        <f>IFERROR(INDEX([1]!_born[生没年],
MATCH(K764,[1]!_born[作],0)),"")</f>
        <v/>
      </c>
      <c r="O764" s="19" t="s" ph="1">
        <v>5602</v>
      </c>
      <c r="R764" s="20" t="s" ph="1">
        <v>2653</v>
      </c>
      <c r="S764" s="19" t="s" ph="1">
        <v>5603</v>
      </c>
      <c r="T764" s="19" t="s" ph="1">
        <v>5604</v>
      </c>
      <c r="U764" s="20" ph="1">
        <v>41000</v>
      </c>
      <c r="V764" s="21" ph="1">
        <v>0</v>
      </c>
      <c r="W764" s="21" ph="1">
        <v>0</v>
      </c>
      <c r="X764" s="19" t="s" ph="1">
        <v>5605</v>
      </c>
    </row>
    <row r="765" spans="1:25" s="19" customFormat="1" ht="22.5" customHeight="1" ph="1" x14ac:dyDescent="0.35">
      <c r="A765" s="107" t="s" ph="1">
        <v>2780</v>
      </c>
      <c r="B765" s="18" t="s" ph="1">
        <v>2781</v>
      </c>
      <c r="C765" s="19" t="s" ph="1">
        <v>25</v>
      </c>
      <c r="D765" s="124" ph="1"/>
      <c r="E765" s="124" ph="1"/>
      <c r="G765" s="19" t="s" ph="1">
        <v>5223</v>
      </c>
      <c r="H765" s="19" t="s" ph="1">
        <v>61</v>
      </c>
      <c r="I765" s="19" t="s" ph="1">
        <v>5606</v>
      </c>
      <c r="J765" s="19" t="s" ph="1">
        <v>5607</v>
      </c>
      <c r="K765" s="19" t="s" ph="1">
        <v>5608</v>
      </c>
      <c r="L765" s="19" t="s" ph="1">
        <v>5534</v>
      </c>
      <c r="M765" s="27" t="str" ph="1">
        <f>IFERROR(INDEX([1]!_born[生没年],
MATCH(I765,[1]!_born[作],0)),"")</f>
        <v/>
      </c>
      <c r="N765" s="27" t="str" ph="1">
        <f>IFERROR(INDEX([1]!_born[生没年],
MATCH(K765,[1]!_born[作],0)),"")</f>
        <v/>
      </c>
      <c r="O765" s="19" t="s" ph="1">
        <v>5609</v>
      </c>
      <c r="R765" s="20" ph="1">
        <v>35815</v>
      </c>
      <c r="T765" s="19" t="s" ph="1">
        <v>5610</v>
      </c>
      <c r="U765" s="20" ph="1">
        <v>41364</v>
      </c>
      <c r="V765" s="21" ph="1">
        <f>1600*1.05</f>
        <v>1680</v>
      </c>
      <c r="W765" s="21" ph="1">
        <v>0</v>
      </c>
      <c r="X765" s="19" t="s" ph="1">
        <v>5529</v>
      </c>
    </row>
    <row r="766" spans="1:25" s="19" customFormat="1" ht="22.5" customHeight="1" ph="1" x14ac:dyDescent="0.35">
      <c r="A766" s="107" t="s" ph="1">
        <v>2766</v>
      </c>
      <c r="B766" s="18" t="s" ph="1">
        <v>2767</v>
      </c>
      <c r="C766" s="19" t="s" ph="1">
        <v>25</v>
      </c>
      <c r="D766" s="124" ph="1"/>
      <c r="E766" s="124" ph="1"/>
      <c r="G766" s="19" t="s" ph="1">
        <v>5223</v>
      </c>
      <c r="H766" s="19" t="s" ph="1">
        <v>61</v>
      </c>
      <c r="I766" s="19" t="s" ph="1">
        <v>5611</v>
      </c>
      <c r="J766" s="19" t="s" ph="1">
        <v>5612</v>
      </c>
      <c r="M766" s="27" t="str" ph="1">
        <f>IFERROR(INDEX([1]!_born[生没年],
MATCH(I766,[1]!_born[作],0)),"")</f>
        <v/>
      </c>
      <c r="N766" s="27" t="str" ph="1">
        <f>IFERROR(INDEX([1]!_born[生没年],
MATCH(K766,[1]!_born[作],0)),"")</f>
        <v/>
      </c>
      <c r="O766" s="19" t="s" ph="1">
        <v>5613</v>
      </c>
      <c r="R766" s="20" t="s" ph="1">
        <v>2768</v>
      </c>
      <c r="S766" s="19" t="s" ph="1">
        <v>5614</v>
      </c>
      <c r="T766" s="19" t="s" ph="1">
        <v>5522</v>
      </c>
      <c r="U766" s="20" ph="1">
        <v>41364</v>
      </c>
      <c r="V766" s="21" ph="1">
        <v>800</v>
      </c>
      <c r="W766" s="21" ph="1">
        <v>0</v>
      </c>
      <c r="X766" s="19" t="s" ph="1">
        <v>5529</v>
      </c>
    </row>
    <row r="767" spans="1:25" s="19" customFormat="1" ht="22.5" customHeight="1" ph="1" x14ac:dyDescent="0.35">
      <c r="A767" s="107" t="s" ph="1">
        <v>2772</v>
      </c>
      <c r="B767" s="18" t="s" ph="1">
        <v>2773</v>
      </c>
      <c r="C767" s="19" t="s" ph="1">
        <v>25</v>
      </c>
      <c r="D767" s="124" ph="1"/>
      <c r="E767" s="124" ph="1"/>
      <c r="G767" s="19" t="s" ph="1">
        <v>5223</v>
      </c>
      <c r="H767" s="19" t="s" ph="1">
        <v>61</v>
      </c>
      <c r="I767" s="19" t="s" ph="1">
        <v>5615</v>
      </c>
      <c r="M767" s="27" t="str" ph="1">
        <f>IFERROR(INDEX([1]!_born[生没年],
MATCH(I767,[1]!_born[作],0)),"")</f>
        <v/>
      </c>
      <c r="N767" s="27" t="str" ph="1">
        <f>IFERROR(INDEX([1]!_born[生没年],
MATCH(K767,[1]!_born[作],0)),"")</f>
        <v/>
      </c>
      <c r="O767" s="19" t="s" ph="1">
        <v>5616</v>
      </c>
      <c r="R767" s="20" t="s" ph="1">
        <v>2774</v>
      </c>
      <c r="S767" s="19" t="s" ph="1">
        <v>5617</v>
      </c>
      <c r="T767" s="19" t="s" ph="1">
        <v>5397</v>
      </c>
      <c r="U767" s="20" ph="1">
        <v>41364</v>
      </c>
      <c r="V767" s="21" ph="1">
        <f>1200*1.05</f>
        <v>1260</v>
      </c>
      <c r="W767" s="21" ph="1">
        <v>0</v>
      </c>
      <c r="X767" s="19" t="s" ph="1">
        <v>5529</v>
      </c>
    </row>
    <row r="768" spans="1:25" s="19" customFormat="1" ht="22.5" customHeight="1" ph="1" x14ac:dyDescent="0.35">
      <c r="A768" s="107" t="s" ph="1">
        <v>2778</v>
      </c>
      <c r="B768" s="18" t="s" ph="1">
        <v>2779</v>
      </c>
      <c r="C768" s="19" t="s" ph="1">
        <v>25</v>
      </c>
      <c r="D768" s="124" ph="1"/>
      <c r="E768" s="124" ph="1"/>
      <c r="G768" s="19" t="s" ph="1">
        <v>5223</v>
      </c>
      <c r="H768" s="19" t="s" ph="1">
        <v>61</v>
      </c>
      <c r="I768" s="19" t="s" ph="1">
        <v>5618</v>
      </c>
      <c r="J768" s="19" t="s" ph="1">
        <v>5612</v>
      </c>
      <c r="K768" s="19" t="s" ph="1">
        <v>5619</v>
      </c>
      <c r="L768" s="19" t="s" ph="1">
        <v>5620</v>
      </c>
      <c r="M768" s="27" t="str" ph="1">
        <f>IFERROR(INDEX([1]!_born[生没年],
MATCH(I768,[1]!_born[作],0)),"")</f>
        <v/>
      </c>
      <c r="N768" s="27" t="str" ph="1">
        <f>IFERROR(INDEX([1]!_born[生没年],
MATCH(K768,[1]!_born[作],0)),"")</f>
        <v/>
      </c>
      <c r="O768" s="19" t="s" ph="1">
        <v>5621</v>
      </c>
      <c r="R768" s="20" ph="1">
        <v>37295</v>
      </c>
      <c r="T768" s="19" t="s" ph="1">
        <v>5622</v>
      </c>
      <c r="U768" s="20" ph="1">
        <v>41364</v>
      </c>
      <c r="V768" s="21" ph="1">
        <f>2000*1.05</f>
        <v>2100</v>
      </c>
      <c r="W768" s="21" ph="1">
        <v>0</v>
      </c>
      <c r="X768" s="19" t="s" ph="1">
        <v>5529</v>
      </c>
    </row>
    <row r="769" spans="1:25" s="19" customFormat="1" ht="22.5" customHeight="1" ph="1" x14ac:dyDescent="0.35">
      <c r="A769" s="107" t="s" ph="1">
        <v>2776</v>
      </c>
      <c r="B769" s="18" t="s" ph="1">
        <v>715</v>
      </c>
      <c r="C769" s="19" t="s" ph="1">
        <v>25</v>
      </c>
      <c r="D769" s="124" ph="1"/>
      <c r="E769" s="124" ph="1"/>
      <c r="G769" s="19" t="s" ph="1">
        <v>5223</v>
      </c>
      <c r="H769" s="19" t="s" ph="1">
        <v>61</v>
      </c>
      <c r="I769" s="19" t="s" ph="1">
        <v>5623</v>
      </c>
      <c r="M769" s="27" t="str" ph="1">
        <f>IFERROR(INDEX([1]!_born[生没年],
MATCH(I769,[1]!_born[作],0)),"")</f>
        <v/>
      </c>
      <c r="N769" s="27" t="str" ph="1">
        <f>IFERROR(INDEX([1]!_born[生没年],
MATCH(K769,[1]!_born[作],0)),"")</f>
        <v/>
      </c>
      <c r="O769" s="19" t="s" ph="1">
        <v>5624</v>
      </c>
      <c r="R769" s="20" t="s" ph="1">
        <v>2777</v>
      </c>
      <c r="T769" s="19" t="s" ph="1">
        <v>5625</v>
      </c>
      <c r="U769" s="20" ph="1">
        <v>41364</v>
      </c>
      <c r="V769" s="21" ph="1">
        <f>1800*1.05</f>
        <v>1890</v>
      </c>
      <c r="W769" s="21" ph="1">
        <v>0</v>
      </c>
      <c r="X769" s="19" t="s" ph="1">
        <v>5529</v>
      </c>
    </row>
    <row r="770" spans="1:25" s="19" customFormat="1" ht="22.5" customHeight="1" ph="1" x14ac:dyDescent="0.35">
      <c r="A770" s="107" t="s" ph="1">
        <v>2775</v>
      </c>
      <c r="B770" s="18" t="s" ph="1">
        <v>2765</v>
      </c>
      <c r="C770" s="19" t="s" ph="1">
        <v>25</v>
      </c>
      <c r="D770" s="124" ph="1"/>
      <c r="E770" s="124" ph="1"/>
      <c r="G770" s="19" t="s" ph="1">
        <v>5223</v>
      </c>
      <c r="H770" s="19" t="s" ph="1">
        <v>61</v>
      </c>
      <c r="I770" s="19" t="s" ph="1">
        <v>5463</v>
      </c>
      <c r="M770" s="27" t="str" ph="1">
        <f>IFERROR(INDEX([1]!_born[生没年],
MATCH(I770,[1]!_born[作],0)),"")</f>
        <v/>
      </c>
      <c r="N770" s="27" t="str" ph="1">
        <f>IFERROR(INDEX([1]!_born[生没年],
MATCH(K770,[1]!_born[作],0)),"")</f>
        <v/>
      </c>
      <c r="O770" s="19" t="s" ph="1">
        <v>5626</v>
      </c>
      <c r="R770" s="20" ph="1">
        <v>29290</v>
      </c>
      <c r="T770" s="19" t="s" ph="1">
        <v>5503</v>
      </c>
      <c r="U770" s="20" ph="1">
        <v>41364</v>
      </c>
      <c r="V770" s="21" ph="1">
        <f>1200*1.05</f>
        <v>1260</v>
      </c>
      <c r="W770" s="21" ph="1">
        <v>0</v>
      </c>
      <c r="X770" s="19" t="s" ph="1">
        <v>5529</v>
      </c>
    </row>
    <row r="771" spans="1:25" s="19" customFormat="1" ht="22.5" customHeight="1" ph="1" x14ac:dyDescent="0.35">
      <c r="A771" s="107" t="s" ph="1">
        <v>2769</v>
      </c>
      <c r="B771" s="18" t="s" ph="1">
        <v>2770</v>
      </c>
      <c r="C771" s="19" t="s" ph="1">
        <v>25</v>
      </c>
      <c r="D771" s="124" ph="1"/>
      <c r="E771" s="124" ph="1"/>
      <c r="G771" s="19" t="s" ph="1">
        <v>5223</v>
      </c>
      <c r="H771" s="19" t="s" ph="1">
        <v>61</v>
      </c>
      <c r="I771" s="19" t="s" ph="1">
        <v>5463</v>
      </c>
      <c r="M771" s="27" t="str" ph="1">
        <f>IFERROR(INDEX([1]!_born[生没年],
MATCH(I771,[1]!_born[作],0)),"")</f>
        <v/>
      </c>
      <c r="N771" s="27" t="str" ph="1">
        <f>IFERROR(INDEX([1]!_born[生没年],
MATCH(K771,[1]!_born[作],0)),"")</f>
        <v/>
      </c>
      <c r="O771" s="19" t="s" ph="1">
        <v>5627</v>
      </c>
      <c r="R771" s="20" t="s" ph="1">
        <v>2771</v>
      </c>
      <c r="T771" s="19" t="s" ph="1">
        <v>5473</v>
      </c>
      <c r="U771" s="20" ph="1">
        <v>41364</v>
      </c>
      <c r="V771" s="21" ph="1">
        <f>1000*1.05</f>
        <v>1050</v>
      </c>
      <c r="W771" s="21" ph="1">
        <v>0</v>
      </c>
      <c r="X771" s="19" t="s" ph="1">
        <v>5529</v>
      </c>
    </row>
    <row r="772" spans="1:25" s="19" customFormat="1" ht="22.5" customHeight="1" ph="1" x14ac:dyDescent="0.35">
      <c r="A772" s="107" t="s" ph="1">
        <v>2764</v>
      </c>
      <c r="B772" s="18" t="s" ph="1">
        <v>2765</v>
      </c>
      <c r="C772" s="19" t="s" ph="1">
        <v>25</v>
      </c>
      <c r="D772" s="124" ph="1"/>
      <c r="E772" s="124" ph="1"/>
      <c r="G772" s="19" t="s" ph="1">
        <v>5223</v>
      </c>
      <c r="H772" s="19" t="s" ph="1">
        <v>61</v>
      </c>
      <c r="I772" s="19" t="s" ph="1">
        <v>5463</v>
      </c>
      <c r="J772" s="19" t="s" ph="1">
        <v>5628</v>
      </c>
      <c r="M772" s="27" t="str" ph="1">
        <f>IFERROR(INDEX([1]!_born[生没年],
MATCH(I772,[1]!_born[作],0)),"")</f>
        <v/>
      </c>
      <c r="N772" s="27" t="str" ph="1">
        <f>IFERROR(INDEX([1]!_born[生没年],
MATCH(K772,[1]!_born[作],0)),"")</f>
        <v/>
      </c>
      <c r="O772" s="19" t="s" ph="1">
        <v>5629</v>
      </c>
      <c r="R772" s="20" t="s" ph="1">
        <v>2644</v>
      </c>
      <c r="S772" s="19" t="s" ph="1">
        <v>5585</v>
      </c>
      <c r="T772" s="19" t="s" ph="1">
        <v>5473</v>
      </c>
      <c r="U772" s="20" ph="1">
        <v>41364</v>
      </c>
      <c r="V772" s="21" ph="1">
        <f>1200*1.05</f>
        <v>1260</v>
      </c>
      <c r="W772" s="21" ph="1">
        <v>0</v>
      </c>
      <c r="X772" s="19" t="s" ph="1">
        <v>5529</v>
      </c>
    </row>
    <row r="773" spans="1:25" s="19" customFormat="1" ht="22.5" customHeight="1" ph="1" x14ac:dyDescent="0.35">
      <c r="A773" s="107" ph="1"/>
      <c r="B773" s="18" ph="1"/>
      <c r="C773" s="19" t="s" ph="1">
        <v>25</v>
      </c>
      <c r="D773" s="124" ph="1"/>
      <c r="E773" s="124" ph="1"/>
      <c r="G773" s="19" t="s" ph="1">
        <v>5594</v>
      </c>
      <c r="H773" s="19" t="s" ph="1">
        <v>61</v>
      </c>
      <c r="I773" s="19" t="s" ph="1">
        <v>5595</v>
      </c>
      <c r="M773" s="27" t="str" ph="1">
        <f>IFERROR(INDEX([1]!_born[生没年],
MATCH(I773,[1]!_born[作],0)),"")</f>
        <v/>
      </c>
      <c r="N773" s="27" t="str" ph="1">
        <f>IFERROR(INDEX([1]!_born[生没年],
MATCH(K773,[1]!_born[作],0)),"")</f>
        <v/>
      </c>
      <c r="O773" s="19" t="s" ph="1">
        <v>5630</v>
      </c>
      <c r="R773" s="20" t="s" ph="1">
        <v>2439</v>
      </c>
      <c r="U773" s="20" ph="1">
        <v>41364</v>
      </c>
      <c r="V773" s="21" ph="1">
        <v>0</v>
      </c>
      <c r="W773" s="21" ph="1">
        <v>0</v>
      </c>
      <c r="X773" s="19" t="s" ph="1">
        <v>5529</v>
      </c>
    </row>
    <row r="774" spans="1:25" s="19" customFormat="1" ht="22.5" customHeight="1" ph="1" x14ac:dyDescent="0.35">
      <c r="A774" s="107" t="s" ph="1">
        <v>2811</v>
      </c>
      <c r="B774" s="18" t="s" ph="1">
        <v>761</v>
      </c>
      <c r="C774" s="19" t="s" ph="1">
        <v>25</v>
      </c>
      <c r="D774" s="124" ph="1"/>
      <c r="E774" s="124" ph="1"/>
      <c r="G774" s="19" t="s" ph="1">
        <v>5223</v>
      </c>
      <c r="H774" s="19" t="s" ph="1">
        <v>61</v>
      </c>
      <c r="I774" s="19" t="s" ph="1">
        <v>5463</v>
      </c>
      <c r="M774" s="27" t="str" ph="1">
        <f>IFERROR(INDEX([1]!_born[生没年],
MATCH(I774,[1]!_born[作],0)),"")</f>
        <v/>
      </c>
      <c r="N774" s="27" t="str" ph="1">
        <f>IFERROR(INDEX([1]!_born[生没年],
MATCH(K774,[1]!_born[作],0)),"")</f>
        <v/>
      </c>
      <c r="O774" s="19" t="s" ph="1">
        <v>5631</v>
      </c>
      <c r="R774" s="20" t="s" ph="1">
        <v>2812</v>
      </c>
      <c r="T774" s="19" t="s" ph="1">
        <v>5632</v>
      </c>
      <c r="U774" s="20" ph="1">
        <v>41729</v>
      </c>
      <c r="V774" s="21" ph="1">
        <f>1200*1.08</f>
        <v>1296</v>
      </c>
      <c r="W774" s="21" ph="1">
        <v>0</v>
      </c>
      <c r="X774" s="19" t="s" ph="1">
        <v>5529</v>
      </c>
    </row>
    <row r="775" spans="1:25" s="19" customFormat="1" ht="22.5" customHeight="1" ph="1" x14ac:dyDescent="0.35">
      <c r="A775" s="107" t="s" ph="1">
        <v>2816</v>
      </c>
      <c r="B775" s="18" t="s" ph="1">
        <v>2817</v>
      </c>
      <c r="C775" s="19" t="s" ph="1">
        <v>25</v>
      </c>
      <c r="D775" s="124" ph="1"/>
      <c r="E775" s="124" ph="1"/>
      <c r="G775" s="19" t="s" ph="1">
        <v>5223</v>
      </c>
      <c r="H775" s="19" t="s" ph="1">
        <v>61</v>
      </c>
      <c r="I775" s="19" t="s" ph="1">
        <v>5633</v>
      </c>
      <c r="J775" s="19" t="s" ph="1">
        <v>5634</v>
      </c>
      <c r="K775" s="19" t="s" ph="1">
        <v>5635</v>
      </c>
      <c r="L775" s="19" t="s" ph="1">
        <v>5636</v>
      </c>
      <c r="M775" s="27" t="str" ph="1">
        <f>IFERROR(INDEX([1]!_born[生没年],
MATCH(I775,[1]!_born[作],0)),"")</f>
        <v/>
      </c>
      <c r="N775" s="27" t="str" ph="1">
        <f>IFERROR(INDEX([1]!_born[生没年],
MATCH(K775,[1]!_born[作],0)),"")</f>
        <v/>
      </c>
      <c r="O775" s="19" t="s" ph="1">
        <v>5637</v>
      </c>
      <c r="R775" s="20" t="s" ph="1">
        <v>2818</v>
      </c>
      <c r="S775" s="19" t="s" ph="1">
        <v>5638</v>
      </c>
      <c r="T775" s="19" t="s" ph="1">
        <v>5639</v>
      </c>
      <c r="U775" s="20" ph="1">
        <v>41729</v>
      </c>
      <c r="V775" s="21" ph="1">
        <f>900*1.08</f>
        <v>972.00000000000011</v>
      </c>
      <c r="W775" s="21" ph="1">
        <v>0</v>
      </c>
      <c r="X775" s="19" t="s" ph="1">
        <v>5529</v>
      </c>
    </row>
    <row r="776" spans="1:25" s="19" customFormat="1" ht="22.5" customHeight="1" ph="1" x14ac:dyDescent="0.35">
      <c r="A776" s="107" t="s" ph="1">
        <v>2813</v>
      </c>
      <c r="B776" s="18" t="s" ph="1">
        <v>2814</v>
      </c>
      <c r="C776" s="19" t="s" ph="1">
        <v>25</v>
      </c>
      <c r="D776" s="124" ph="1"/>
      <c r="E776" s="124" ph="1"/>
      <c r="G776" s="19" t="s" ph="1">
        <v>5223</v>
      </c>
      <c r="H776" s="19" t="s" ph="1">
        <v>61</v>
      </c>
      <c r="I776" s="19" t="s" ph="1">
        <v>5640</v>
      </c>
      <c r="J776" s="19" t="s" ph="1">
        <v>5470</v>
      </c>
      <c r="M776" s="27" t="str" ph="1">
        <f>IFERROR(INDEX([1]!_born[生没年],
MATCH(I776,[1]!_born[作],0)),"")</f>
        <v/>
      </c>
      <c r="N776" s="27" t="str" ph="1">
        <f>IFERROR(INDEX([1]!_born[生没年],
MATCH(K776,[1]!_born[作],0)),"")</f>
        <v/>
      </c>
      <c r="O776" s="19" t="s" ph="1">
        <v>5641</v>
      </c>
      <c r="R776" s="20" t="s" ph="1">
        <v>2815</v>
      </c>
      <c r="S776" s="19" t="s" ph="1">
        <v>5642</v>
      </c>
      <c r="T776" s="19" t="s" ph="1">
        <v>5397</v>
      </c>
      <c r="U776" s="20" ph="1">
        <v>41729</v>
      </c>
      <c r="V776" s="21" ph="1">
        <f>1200*1.08</f>
        <v>1296</v>
      </c>
      <c r="W776" s="21" ph="1">
        <v>0</v>
      </c>
      <c r="X776" s="19" t="s" ph="1">
        <v>5529</v>
      </c>
    </row>
    <row r="777" spans="1:25" s="19" customFormat="1" ht="22.5" customHeight="1" ph="1" x14ac:dyDescent="0.35">
      <c r="A777" s="107" t="s" ph="1">
        <v>2808</v>
      </c>
      <c r="B777" s="18" t="s" ph="1">
        <v>2765</v>
      </c>
      <c r="C777" s="19" t="s" ph="1">
        <v>25</v>
      </c>
      <c r="D777" s="124" ph="1"/>
      <c r="E777" s="124" ph="1"/>
      <c r="G777" s="19" t="s" ph="1">
        <v>5223</v>
      </c>
      <c r="H777" s="19" t="s" ph="1">
        <v>61</v>
      </c>
      <c r="I777" s="19" t="s" ph="1">
        <v>5463</v>
      </c>
      <c r="M777" s="27" t="str" ph="1">
        <f>IFERROR(INDEX([1]!_born[生没年],
MATCH(I777,[1]!_born[作],0)),"")</f>
        <v/>
      </c>
      <c r="N777" s="27" t="str" ph="1">
        <f>IFERROR(INDEX([1]!_born[生没年],
MATCH(K777,[1]!_born[作],0)),"")</f>
        <v/>
      </c>
      <c r="O777" s="19" t="s" ph="1">
        <v>5643</v>
      </c>
      <c r="R777" s="20" t="s" ph="1">
        <v>2807</v>
      </c>
      <c r="S777" s="19" t="s" ph="1">
        <v>5644</v>
      </c>
      <c r="T777" s="19" t="s" ph="1">
        <v>5473</v>
      </c>
      <c r="U777" s="20" ph="1">
        <v>41729</v>
      </c>
      <c r="V777" s="21" ph="1">
        <f>1200*1.08</f>
        <v>1296</v>
      </c>
      <c r="W777" s="21" ph="1">
        <v>0</v>
      </c>
      <c r="X777" s="19" t="s" ph="1">
        <v>5529</v>
      </c>
    </row>
    <row r="778" spans="1:25" s="19" customFormat="1" ht="22.5" customHeight="1" ph="1" x14ac:dyDescent="0.35">
      <c r="A778" s="107" t="s" ph="1">
        <v>2809</v>
      </c>
      <c r="B778" s="18" t="s" ph="1">
        <v>1725</v>
      </c>
      <c r="C778" s="19" t="s" ph="1">
        <v>25</v>
      </c>
      <c r="D778" s="124" ph="1"/>
      <c r="E778" s="124" ph="1"/>
      <c r="G778" s="19" t="s" ph="1">
        <v>5223</v>
      </c>
      <c r="H778" s="19" t="s" ph="1">
        <v>61</v>
      </c>
      <c r="I778" s="19" t="s" ph="1">
        <v>5645</v>
      </c>
      <c r="J778" s="19" t="s" ph="1">
        <v>5646</v>
      </c>
      <c r="K778" s="19" t="s" ph="1">
        <v>5647</v>
      </c>
      <c r="L778" s="19" t="s" ph="1">
        <v>5648</v>
      </c>
      <c r="M778" s="27" t="str" ph="1">
        <f>IFERROR(INDEX([1]!_born[生没年],
MATCH(I778,[1]!_born[作],0)),"")</f>
        <v/>
      </c>
      <c r="N778" s="27" t="str" ph="1">
        <f>IFERROR(INDEX([1]!_born[生没年],
MATCH(K778,[1]!_born[作],0)),"")</f>
        <v/>
      </c>
      <c r="O778" s="19" t="s" ph="1">
        <v>5649</v>
      </c>
      <c r="R778" s="20" t="s" ph="1">
        <v>2810</v>
      </c>
      <c r="T778" s="19" t="s" ph="1">
        <v>5473</v>
      </c>
      <c r="U778" s="20" ph="1">
        <v>41729</v>
      </c>
      <c r="V778" s="21" ph="1">
        <f>2000*1.08</f>
        <v>2160</v>
      </c>
      <c r="W778" s="21" ph="1">
        <v>0</v>
      </c>
      <c r="X778" s="19" t="s" ph="1">
        <v>5529</v>
      </c>
    </row>
    <row r="779" spans="1:25" s="19" customFormat="1" ht="22.5" customHeight="1" ph="1" x14ac:dyDescent="0.35">
      <c r="A779" s="107" t="s" ph="1">
        <v>2805</v>
      </c>
      <c r="B779" s="18" t="s" ph="1">
        <v>2248</v>
      </c>
      <c r="C779" s="19" t="s" ph="1">
        <v>25</v>
      </c>
      <c r="D779" s="124" ph="1"/>
      <c r="E779" s="124" ph="1"/>
      <c r="G779" s="19" t="s" ph="1">
        <v>5223</v>
      </c>
      <c r="H779" s="19" t="s" ph="1">
        <v>61</v>
      </c>
      <c r="I779" s="19" t="s" ph="1">
        <v>5650</v>
      </c>
      <c r="J779" s="19" t="s" ph="1">
        <v>5651</v>
      </c>
      <c r="K779" s="19" t="s" ph="1">
        <v>5652</v>
      </c>
      <c r="L779" s="19" t="s" ph="1">
        <v>5653</v>
      </c>
      <c r="M779" s="27" t="str" ph="1">
        <f>IFERROR(INDEX([1]!_born[生没年],
MATCH(I779,[1]!_born[作],0)),"")</f>
        <v/>
      </c>
      <c r="N779" s="27" t="str" ph="1">
        <f>IFERROR(INDEX([1]!_born[生没年],
MATCH(K779,[1]!_born[作],0)),"")</f>
        <v/>
      </c>
      <c r="O779" s="19" t="s" ph="1">
        <v>5654</v>
      </c>
      <c r="R779" s="20" ph="1">
        <v>29971</v>
      </c>
      <c r="S779" s="19" t="s" ph="1">
        <v>5655</v>
      </c>
      <c r="T779" s="19" t="s" ph="1">
        <v>5656</v>
      </c>
      <c r="U779" s="20" ph="1">
        <v>41729</v>
      </c>
      <c r="V779" s="21" ph="1">
        <f>1500*1.08</f>
        <v>1620</v>
      </c>
      <c r="W779" s="21" ph="1">
        <v>0</v>
      </c>
      <c r="X779" s="19" t="s" ph="1">
        <v>5529</v>
      </c>
    </row>
    <row r="780" spans="1:25" s="19" customFormat="1" ht="22.5" customHeight="1" ph="1" x14ac:dyDescent="0.35">
      <c r="A780" s="107" ph="1"/>
      <c r="B780" s="18" ph="1"/>
      <c r="C780" s="19" t="s" ph="1">
        <v>25</v>
      </c>
      <c r="D780" s="124" ph="1"/>
      <c r="E780" s="124" ph="1"/>
      <c r="G780" s="19" t="s" ph="1">
        <v>5594</v>
      </c>
      <c r="H780" s="19" t="s" ph="1">
        <v>61</v>
      </c>
      <c r="I780" s="19" t="s" ph="1">
        <v>5657</v>
      </c>
      <c r="M780" s="27" t="str" ph="1">
        <f>IFERROR(INDEX([1]!_born[生没年],
MATCH(I780,[1]!_born[作],0)),"")</f>
        <v/>
      </c>
      <c r="N780" s="27" t="str" ph="1">
        <f>IFERROR(INDEX([1]!_born[生没年],
MATCH(K780,[1]!_born[作],0)),"")</f>
        <v/>
      </c>
      <c r="O780" s="19" t="s" ph="1">
        <v>5658</v>
      </c>
      <c r="R780" s="20" ph="1">
        <v>41729</v>
      </c>
      <c r="S780" s="19" t="s" ph="1">
        <v>5595</v>
      </c>
      <c r="T780" s="19" t="s" ph="1">
        <v>5604</v>
      </c>
      <c r="U780" s="20" ph="1">
        <v>41729</v>
      </c>
      <c r="V780" s="21" ph="1">
        <v>0</v>
      </c>
      <c r="W780" s="21" ph="1">
        <v>0</v>
      </c>
      <c r="X780" s="19" t="s" ph="1">
        <v>5529</v>
      </c>
    </row>
    <row r="781" spans="1:25" s="19" customFormat="1" ht="22.5" customHeight="1" ph="1" x14ac:dyDescent="0.35">
      <c r="A781" s="107" ph="1"/>
      <c r="B781" s="18" ph="1"/>
      <c r="C781" s="19" t="s" ph="1">
        <v>25</v>
      </c>
      <c r="D781" s="124" ph="1"/>
      <c r="E781" s="124" ph="1"/>
      <c r="G781" s="19" t="s" ph="1">
        <v>5594</v>
      </c>
      <c r="H781" s="19" t="s" ph="1">
        <v>61</v>
      </c>
      <c r="I781" s="19" t="s" ph="1">
        <v>5595</v>
      </c>
      <c r="M781" s="27" t="str" ph="1">
        <f>IFERROR(INDEX([1]!_born[生没年],
MATCH(I781,[1]!_born[作],0)),"")</f>
        <v/>
      </c>
      <c r="N781" s="27" t="str" ph="1">
        <f>IFERROR(INDEX([1]!_born[生没年],
MATCH(K781,[1]!_born[作],0)),"")</f>
        <v/>
      </c>
      <c r="O781" s="19" t="s" ph="1">
        <v>5659</v>
      </c>
      <c r="R781" s="20" ph="1">
        <v>41729</v>
      </c>
      <c r="S781" s="19" t="s" ph="1">
        <v>5595</v>
      </c>
      <c r="T781" s="19" t="s" ph="1">
        <v>5604</v>
      </c>
      <c r="U781" s="20" ph="1">
        <v>41729</v>
      </c>
      <c r="V781" s="21" ph="1">
        <v>0</v>
      </c>
      <c r="W781" s="21" ph="1">
        <v>0</v>
      </c>
      <c r="X781" s="19" t="s" ph="1">
        <v>5529</v>
      </c>
    </row>
    <row r="782" spans="1:25" s="19" customFormat="1" ht="22.5" customHeight="1" ph="1" x14ac:dyDescent="0.35">
      <c r="A782" s="107" ph="1"/>
      <c r="B782" s="18" ph="1"/>
      <c r="C782" s="19" t="s" ph="1">
        <v>25</v>
      </c>
      <c r="D782" s="124" ph="1"/>
      <c r="E782" s="124" ph="1"/>
      <c r="G782" s="19" t="s" ph="1">
        <v>5594</v>
      </c>
      <c r="H782" s="19" t="s" ph="1">
        <v>61</v>
      </c>
      <c r="I782" s="19" t="s" ph="1">
        <v>5604</v>
      </c>
      <c r="M782" s="27" t="str" ph="1">
        <f>IFERROR(INDEX([1]!_born[生没年],
MATCH(I782,[1]!_born[作],0)),"")</f>
        <v/>
      </c>
      <c r="N782" s="27" t="str" ph="1">
        <f>IFERROR(INDEX([1]!_born[生没年],
MATCH(K782,[1]!_born[作],0)),"")</f>
        <v/>
      </c>
      <c r="O782" s="19" t="s" ph="1">
        <v>5660</v>
      </c>
      <c r="R782" s="20" t="s" ph="1">
        <v>2806</v>
      </c>
      <c r="S782" s="19" t="s" ph="1">
        <v>5661</v>
      </c>
      <c r="T782" s="19" t="s" ph="1">
        <v>5604</v>
      </c>
      <c r="U782" s="20" ph="1">
        <v>41729</v>
      </c>
      <c r="V782" s="21" ph="1">
        <v>0</v>
      </c>
      <c r="W782" s="21" ph="1">
        <v>0</v>
      </c>
      <c r="X782" s="19" t="s" ph="1">
        <v>5529</v>
      </c>
    </row>
    <row r="783" spans="1:25" s="19" customFormat="1" ht="22.5" customHeight="1" ph="1" x14ac:dyDescent="0.35">
      <c r="A783" s="107" ph="1"/>
      <c r="B783" s="18" ph="1"/>
      <c r="C783" s="19" t="s" ph="1">
        <v>599</v>
      </c>
      <c r="D783" s="124" ph="1"/>
      <c r="E783" s="124" ph="1"/>
      <c r="G783" s="19" t="s" ph="1">
        <v>5662</v>
      </c>
      <c r="H783" s="19" t="s" ph="1">
        <v>61</v>
      </c>
      <c r="I783" s="19" t="s" ph="1">
        <v>5595</v>
      </c>
      <c r="M783" s="27" t="str" ph="1">
        <f>IFERROR(INDEX([1]!_born[生没年],
MATCH(I783,[1]!_born[作],0)),"")</f>
        <v/>
      </c>
      <c r="N783" s="27" t="str" ph="1">
        <f>IFERROR(INDEX([1]!_born[生没年],
MATCH(K783,[1]!_born[作],0)),"")</f>
        <v/>
      </c>
      <c r="O783" s="19" t="s" ph="1">
        <v>5663</v>
      </c>
      <c r="R783" s="20" t="s" ph="1">
        <v>2806</v>
      </c>
      <c r="T783" s="19" t="s" ph="1">
        <v>5664</v>
      </c>
      <c r="U783" s="20" ph="1">
        <v>41729</v>
      </c>
      <c r="V783" s="21" ph="1">
        <v>0</v>
      </c>
      <c r="W783" s="21" ph="1">
        <v>0</v>
      </c>
      <c r="X783" s="19" t="s" ph="1">
        <v>5529</v>
      </c>
    </row>
    <row r="784" spans="1:25" s="19" customFormat="1" ht="22.5" customHeight="1" ph="1" x14ac:dyDescent="0.35">
      <c r="A784" s="107" t="s" ph="1">
        <v>771</v>
      </c>
      <c r="B784" s="18" t="s" ph="1">
        <v>782</v>
      </c>
      <c r="C784" s="19" t="s" ph="1">
        <v>707</v>
      </c>
      <c r="D784" s="124" ph="1"/>
      <c r="E784" s="124" ph="1"/>
      <c r="G784" s="19" t="s" ph="1">
        <v>5462</v>
      </c>
      <c r="H784" s="19" t="s" ph="1">
        <v>709</v>
      </c>
      <c r="M784" s="27" t="str" ph="1">
        <f>IFERROR(INDEX([1]!_born[生没年],
MATCH(I784,[1]!_born[作],0)),"")</f>
        <v/>
      </c>
      <c r="N784" s="27" t="str" ph="1">
        <f>IFERROR(INDEX([1]!_born[生没年],
MATCH(K784,[1]!_born[作],0)),"")</f>
        <v/>
      </c>
      <c r="O784" s="19" t="s" ph="1">
        <v>5665</v>
      </c>
      <c r="R784" s="20" ph="1"/>
      <c r="S784" s="19" t="s" ph="1">
        <v>5666</v>
      </c>
      <c r="T784" s="19" t="s" ph="1">
        <v>5667</v>
      </c>
      <c r="U784" s="20" ph="1">
        <v>39015</v>
      </c>
      <c r="V784" s="21" ph="1">
        <f>762*1.05</f>
        <v>800.1</v>
      </c>
      <c r="W784" s="21" ph="1">
        <f>762*1.05</f>
        <v>800.1</v>
      </c>
      <c r="X784" s="19" t="s" ph="1">
        <v>5668</v>
      </c>
      <c r="Y784" s="19" t="s" ph="1">
        <v>5669</v>
      </c>
    </row>
    <row r="785" spans="1:25" s="19" customFormat="1" ht="22.5" customHeight="1" ph="1" x14ac:dyDescent="0.35">
      <c r="A785" s="107" ph="1"/>
      <c r="B785" s="18" ph="1"/>
      <c r="C785" s="19" t="s" ph="1">
        <v>707</v>
      </c>
      <c r="D785" s="124" ph="1">
        <v>16</v>
      </c>
      <c r="E785" s="124" ph="1">
        <v>24</v>
      </c>
      <c r="G785" s="19" t="s" ph="1">
        <v>5462</v>
      </c>
      <c r="H785" s="19" t="s" ph="1">
        <v>716</v>
      </c>
      <c r="I785" s="19" t="s" ph="1">
        <v>5670</v>
      </c>
      <c r="M785" s="27" t="str" ph="1">
        <f>IFERROR(INDEX([1]!_born[生没年],
MATCH(I785,[1]!_born[作],0)),"")</f>
        <v/>
      </c>
      <c r="N785" s="27" t="str" ph="1">
        <f>IFERROR(INDEX([1]!_born[生没年],
MATCH(K785,[1]!_born[作],0)),"")</f>
        <v/>
      </c>
      <c r="O785" s="19" t="s" ph="1">
        <v>5671</v>
      </c>
      <c r="R785" s="20" t="s" ph="1">
        <v>783</v>
      </c>
      <c r="S785" s="19" t="s" ph="1">
        <v>5672</v>
      </c>
      <c r="T785" s="19" t="s" ph="1">
        <v>5483</v>
      </c>
      <c r="U785" s="20" ph="1"/>
      <c r="V785" s="21" ph="1">
        <v>580</v>
      </c>
      <c r="W785" s="21" ph="1"/>
      <c r="Y785" s="19" t="s" ph="1">
        <v>5673</v>
      </c>
    </row>
    <row r="786" spans="1:25" s="19" customFormat="1" ht="22.5" customHeight="1" ph="1" x14ac:dyDescent="0.35">
      <c r="A786" s="107" ph="1"/>
      <c r="B786" s="18" ph="1"/>
      <c r="C786" s="19" t="s" ph="1">
        <v>707</v>
      </c>
      <c r="D786" s="124" ph="1"/>
      <c r="E786" s="124" ph="1"/>
      <c r="G786" s="19" t="s" ph="1">
        <v>5462</v>
      </c>
      <c r="H786" s="19" t="s" ph="1">
        <v>716</v>
      </c>
      <c r="I786" s="19" t="s" ph="1">
        <v>5674</v>
      </c>
      <c r="J786" s="19" t="s" ph="1">
        <v>5612</v>
      </c>
      <c r="K786" s="19" t="s" ph="1">
        <v>5675</v>
      </c>
      <c r="L786" s="19" t="s" ph="1">
        <v>5534</v>
      </c>
      <c r="M786" s="27" t="str" ph="1">
        <f>IFERROR(INDEX([1]!_born[生没年],
MATCH(I786,[1]!_born[作],0)),"")</f>
        <v/>
      </c>
      <c r="N786" s="27" t="str" ph="1">
        <f>IFERROR(INDEX([1]!_born[生没年],
MATCH(K786,[1]!_born[作],0)),"")</f>
        <v/>
      </c>
      <c r="O786" s="19" t="s" ph="1">
        <v>5676</v>
      </c>
      <c r="R786" s="20" t="s" ph="1">
        <v>783</v>
      </c>
      <c r="S786" s="19" t="s" ph="1">
        <v>5677</v>
      </c>
      <c r="T786" s="19" t="s" ph="1">
        <v>5483</v>
      </c>
      <c r="U786" s="20" ph="1"/>
      <c r="V786" s="21" ph="1">
        <v>580</v>
      </c>
      <c r="W786" s="21" ph="1"/>
      <c r="Y786" s="19" t="s" ph="1">
        <v>5678</v>
      </c>
    </row>
    <row r="787" spans="1:25" s="19" customFormat="1" ht="22.5" customHeight="1" ph="1" x14ac:dyDescent="0.35">
      <c r="A787" s="107" ph="1"/>
      <c r="B787" s="18" ph="1"/>
      <c r="C787" s="19" t="s" ph="1">
        <v>707</v>
      </c>
      <c r="D787" s="124" ph="1"/>
      <c r="E787" s="124" ph="1"/>
      <c r="G787" s="19" t="s" ph="1">
        <v>5462</v>
      </c>
      <c r="H787" s="19" t="s" ph="1">
        <v>716</v>
      </c>
      <c r="K787" s="19" t="s" ph="1">
        <v>5679</v>
      </c>
      <c r="L787" s="19" t="s" ph="1">
        <v>5534</v>
      </c>
      <c r="M787" s="27" t="str" ph="1">
        <f>IFERROR(INDEX([1]!_born[生没年],
MATCH(I787,[1]!_born[作],0)),"")</f>
        <v/>
      </c>
      <c r="N787" s="27" t="str" ph="1">
        <f>IFERROR(INDEX([1]!_born[生没年],
MATCH(K787,[1]!_born[作],0)),"")</f>
        <v/>
      </c>
      <c r="O787" s="19" t="s" ph="1">
        <v>5680</v>
      </c>
      <c r="R787" s="20" t="s" ph="1">
        <v>784</v>
      </c>
      <c r="S787" s="19" t="s" ph="1">
        <v>5681</v>
      </c>
      <c r="T787" s="19" t="s" ph="1">
        <v>5682</v>
      </c>
      <c r="U787" s="20" ph="1"/>
      <c r="V787" s="21" ph="1">
        <v>400</v>
      </c>
      <c r="W787" s="21" ph="1"/>
      <c r="Y787" s="19" t="s" ph="1">
        <v>5673</v>
      </c>
    </row>
    <row r="788" spans="1:25" s="19" customFormat="1" ht="22.5" customHeight="1" ph="1" x14ac:dyDescent="0.35">
      <c r="A788" s="107" ph="1"/>
      <c r="B788" s="18" ph="1"/>
      <c r="C788" s="19" t="s" ph="1">
        <v>707</v>
      </c>
      <c r="D788" s="124" ph="1"/>
      <c r="E788" s="124" ph="1"/>
      <c r="G788" s="19" t="s" ph="1">
        <v>5462</v>
      </c>
      <c r="H788" s="19" t="s" ph="1">
        <v>716</v>
      </c>
      <c r="K788" s="19" t="s" ph="1">
        <v>5683</v>
      </c>
      <c r="L788" s="19" t="s" ph="1">
        <v>5534</v>
      </c>
      <c r="M788" s="27" t="str" ph="1">
        <f>IFERROR(INDEX([1]!_born[生没年],
MATCH(I788,[1]!_born[作],0)),"")</f>
        <v/>
      </c>
      <c r="N788" s="27" t="str" ph="1">
        <f>IFERROR(INDEX([1]!_born[生没年],
MATCH(K788,[1]!_born[作],0)),"")</f>
        <v/>
      </c>
      <c r="O788" s="19" t="s" ph="1">
        <v>5684</v>
      </c>
      <c r="R788" s="20" t="s" ph="1">
        <v>471</v>
      </c>
      <c r="S788" s="19" t="s" ph="1">
        <v>5681</v>
      </c>
      <c r="T788" s="19" t="s" ph="1">
        <v>5682</v>
      </c>
      <c r="U788" s="20" ph="1"/>
      <c r="V788" s="21" ph="1">
        <v>400</v>
      </c>
      <c r="W788" s="21" ph="1"/>
      <c r="Y788" s="19" t="s" ph="1">
        <v>5673</v>
      </c>
    </row>
    <row r="789" spans="1:25" s="19" customFormat="1" ht="22.5" customHeight="1" ph="1" x14ac:dyDescent="0.35">
      <c r="A789" s="107" ph="1"/>
      <c r="B789" s="18" ph="1"/>
      <c r="C789" s="19" t="s" ph="1">
        <v>707</v>
      </c>
      <c r="D789" s="124" ph="1"/>
      <c r="E789" s="124" ph="1">
        <v>43</v>
      </c>
      <c r="G789" s="19" t="s" ph="1">
        <v>5462</v>
      </c>
      <c r="H789" s="19" t="s" ph="1">
        <v>709</v>
      </c>
      <c r="I789" s="19" t="s" ph="1">
        <v>297</v>
      </c>
      <c r="K789" s="19" t="s" ph="1">
        <v>5685</v>
      </c>
      <c r="L789" s="19" t="s" ph="1">
        <v>4535</v>
      </c>
      <c r="M789" s="27" t="str" ph="1">
        <f>IFERROR(INDEX([1]!_born[生没年],
MATCH(I789,[1]!_born[作],0)),"")</f>
        <v/>
      </c>
      <c r="N789" s="27" t="str" ph="1">
        <f>IFERROR(INDEX([1]!_born[生没年],
MATCH(K789,[1]!_born[作],0)),"")</f>
        <v/>
      </c>
      <c r="O789" s="19" t="s" ph="1">
        <v>5686</v>
      </c>
      <c r="R789" s="20" t="s" ph="1">
        <v>785</v>
      </c>
      <c r="S789" s="19" t="s" ph="1">
        <v>5687</v>
      </c>
      <c r="T789" s="19" t="s" ph="1">
        <v>5688</v>
      </c>
      <c r="U789" s="20" ph="1"/>
      <c r="V789" s="21" ph="1">
        <v>660</v>
      </c>
      <c r="W789" s="21" ph="1"/>
      <c r="Y789" s="19" t="s" ph="1">
        <v>5689</v>
      </c>
    </row>
    <row r="790" spans="1:25" s="19" customFormat="1" ht="22.5" customHeight="1" ph="1" x14ac:dyDescent="0.35">
      <c r="A790" s="107" ph="1"/>
      <c r="B790" s="18" ph="1"/>
      <c r="C790" s="19" t="s" ph="1">
        <v>707</v>
      </c>
      <c r="D790" s="124" ph="1">
        <v>22</v>
      </c>
      <c r="E790" s="124" ph="1">
        <v>30</v>
      </c>
      <c r="G790" s="19" t="s" ph="1">
        <v>5462</v>
      </c>
      <c r="H790" s="19" t="s" ph="1">
        <v>709</v>
      </c>
      <c r="I790" s="19" t="s" ph="1">
        <v>297</v>
      </c>
      <c r="K790" s="19" t="s" ph="1">
        <v>5690</v>
      </c>
      <c r="L790" s="19" t="s" ph="1">
        <v>4535</v>
      </c>
      <c r="M790" s="27" t="str" ph="1">
        <f>IFERROR(INDEX([1]!_born[生没年],
MATCH(I790,[1]!_born[作],0)),"")</f>
        <v/>
      </c>
      <c r="N790" s="27" t="str" ph="1">
        <f>IFERROR(INDEX([1]!_born[生没年],
MATCH(K790,[1]!_born[作],0)),"")</f>
        <v/>
      </c>
      <c r="O790" s="19" t="s" ph="1">
        <v>5691</v>
      </c>
      <c r="R790" s="20" t="s" ph="1">
        <v>786</v>
      </c>
      <c r="S790" s="19" t="s" ph="1">
        <v>5692</v>
      </c>
      <c r="T790" s="19" t="s" ph="1">
        <v>5067</v>
      </c>
      <c r="U790" s="20" ph="1"/>
      <c r="V790" s="21" ph="1">
        <v>260</v>
      </c>
      <c r="W790" s="21" ph="1"/>
      <c r="Y790" s="19" t="s" ph="1">
        <v>5689</v>
      </c>
    </row>
    <row r="791" spans="1:25" ht="22.5" customHeight="1" ph="1" x14ac:dyDescent="0.35">
      <c r="C791" s="13" t="s" ph="1">
        <v>707</v>
      </c>
      <c r="D791" s="123" ph="1">
        <v>3</v>
      </c>
      <c r="E791" s="123" ph="1">
        <v>30</v>
      </c>
      <c r="G791" s="13" t="s" ph="1">
        <v>5417</v>
      </c>
      <c r="H791" s="13" t="s" ph="1">
        <v>709</v>
      </c>
      <c r="I791" s="13" t="s" ph="1">
        <v>298</v>
      </c>
      <c r="K791" s="13" t="s" ph="1">
        <v>5693</v>
      </c>
      <c r="L791" s="13" t="s" ph="1">
        <v>3628</v>
      </c>
      <c r="M791" s="14" t="str" ph="1">
        <f>IFERROR(INDEX([1]!_born[生没年],
MATCH(I791,[1]!_born[作],0)),"")</f>
        <v/>
      </c>
      <c r="N791" s="14" t="str" ph="1">
        <f>IFERROR(INDEX([1]!_born[生没年],
MATCH(K791,[1]!_born[作],0)),"")</f>
        <v/>
      </c>
      <c r="O791" s="13" t="s" ph="1">
        <v>5694</v>
      </c>
      <c r="R791" s="16" t="s" ph="1">
        <v>787</v>
      </c>
      <c r="S791" s="13" t="s" ph="1">
        <v>5695</v>
      </c>
      <c r="T791" s="13" t="s" ph="1">
        <v>4626</v>
      </c>
      <c r="V791" s="17" ph="1">
        <v>260</v>
      </c>
      <c r="Y791" s="13" t="s" ph="1">
        <v>4724</v>
      </c>
    </row>
    <row r="792" spans="1:25" ht="22.5" customHeight="1" ph="1" x14ac:dyDescent="0.35">
      <c r="C792" s="13" t="s" ph="1">
        <v>707</v>
      </c>
      <c r="D792" s="123" ph="1">
        <v>19</v>
      </c>
      <c r="E792" s="123" ph="1">
        <v>30</v>
      </c>
      <c r="G792" s="13" t="s" ph="1">
        <v>5417</v>
      </c>
      <c r="H792" s="13" t="s" ph="1">
        <v>716</v>
      </c>
      <c r="I792" s="13" t="s" ph="1">
        <v>5696</v>
      </c>
      <c r="K792" s="13" t="s" ph="1">
        <v>5697</v>
      </c>
      <c r="L792" s="13" t="s" ph="1">
        <v>3628</v>
      </c>
      <c r="M792" s="14" t="str" ph="1">
        <f>IFERROR(INDEX([1]!_born[生没年],
MATCH(I792,[1]!_born[作],0)),"")</f>
        <v/>
      </c>
      <c r="N792" s="14" t="str" ph="1">
        <f>IFERROR(INDEX([1]!_born[生没年],
MATCH(K792,[1]!_born[作],0)),"")</f>
        <v/>
      </c>
      <c r="O792" s="13" t="s" ph="1">
        <v>5698</v>
      </c>
      <c r="R792" s="16" t="s" ph="1">
        <v>788</v>
      </c>
      <c r="S792" s="13" t="s" ph="1">
        <v>5699</v>
      </c>
      <c r="T792" s="13" t="s" ph="1">
        <v>4626</v>
      </c>
      <c r="V792" s="17" ph="1">
        <v>260</v>
      </c>
      <c r="Y792" s="13" t="s" ph="1">
        <v>4724</v>
      </c>
    </row>
    <row r="793" spans="1:25" ht="22.5" customHeight="1" ph="1" x14ac:dyDescent="0.35">
      <c r="C793" s="13" t="s" ph="1">
        <v>707</v>
      </c>
      <c r="D793" s="123" ph="1">
        <v>12</v>
      </c>
      <c r="E793" s="123" ph="1">
        <v>26</v>
      </c>
      <c r="G793" s="13" t="s" ph="1">
        <v>5700</v>
      </c>
      <c r="H793" s="13" t="s" ph="1">
        <v>716</v>
      </c>
      <c r="I793" s="13" t="s" ph="1">
        <v>5701</v>
      </c>
      <c r="K793" s="13" t="s" ph="1">
        <v>5702</v>
      </c>
      <c r="L793" s="13" t="s" ph="1">
        <v>3664</v>
      </c>
      <c r="M793" s="14" t="str" ph="1">
        <f>IFERROR(INDEX([1]!_born[生没年],
MATCH(I793,[1]!_born[作],0)),"")</f>
        <v/>
      </c>
      <c r="N793" s="14" t="str" ph="1">
        <f>IFERROR(INDEX([1]!_born[生没年],
MATCH(K793,[1]!_born[作],0)),"")</f>
        <v/>
      </c>
      <c r="O793" s="13" t="s" ph="1">
        <v>5703</v>
      </c>
      <c r="R793" s="16" t="s" ph="1">
        <v>789</v>
      </c>
      <c r="S793" s="13" t="s" ph="1">
        <v>5704</v>
      </c>
      <c r="T793" s="13" t="s" ph="1">
        <v>5407</v>
      </c>
      <c r="V793" s="17" ph="1">
        <v>700</v>
      </c>
      <c r="Y793" s="13" t="s" ph="1">
        <v>4724</v>
      </c>
    </row>
    <row r="794" spans="1:25" ht="22.5" customHeight="1" ph="1" x14ac:dyDescent="0.35">
      <c r="A794" s="106" t="s" ph="1">
        <v>790</v>
      </c>
      <c r="C794" s="13" t="s" ph="1">
        <v>707</v>
      </c>
      <c r="G794" s="13" t="s" ph="1">
        <v>5417</v>
      </c>
      <c r="H794" s="13" t="s" ph="1">
        <v>716</v>
      </c>
      <c r="I794" s="13" t="s" ph="1">
        <v>5705</v>
      </c>
      <c r="M794" s="14" t="str" ph="1">
        <f>IFERROR(INDEX([1]!_born[生没年],
MATCH(I794,[1]!_born[作],0)),"")</f>
        <v/>
      </c>
      <c r="N794" s="14" t="str" ph="1">
        <f>IFERROR(INDEX([1]!_born[生没年],
MATCH(K794,[1]!_born[作],0)),"")</f>
        <v/>
      </c>
      <c r="O794" s="13" t="s" ph="1">
        <v>5706</v>
      </c>
      <c r="R794" s="16" t="s" ph="1">
        <v>791</v>
      </c>
      <c r="S794" s="13" t="s" ph="1">
        <v>5707</v>
      </c>
      <c r="T794" s="13" t="s" ph="1">
        <v>5307</v>
      </c>
      <c r="V794" s="17" ph="1">
        <v>480</v>
      </c>
      <c r="Y794" s="13" t="s" ph="1">
        <v>4724</v>
      </c>
    </row>
    <row r="795" spans="1:25" s="19" customFormat="1" ht="22.5" customHeight="1" ph="1" x14ac:dyDescent="0.35">
      <c r="A795" s="107" ph="1"/>
      <c r="B795" s="18" ph="1"/>
      <c r="C795" s="19" t="s" ph="1">
        <v>707</v>
      </c>
      <c r="D795" s="124" ph="1">
        <v>23</v>
      </c>
      <c r="E795" s="124" ph="1">
        <v>50</v>
      </c>
      <c r="G795" s="19" t="s" ph="1">
        <v>5462</v>
      </c>
      <c r="H795" s="19" t="s" ph="1">
        <v>709</v>
      </c>
      <c r="I795" s="19" t="s" ph="1">
        <v>5708</v>
      </c>
      <c r="K795" s="19" t="s" ph="1">
        <v>5709</v>
      </c>
      <c r="L795" s="19" t="s" ph="1">
        <v>5587</v>
      </c>
      <c r="M795" s="27" t="str" ph="1">
        <f>IFERROR(INDEX([1]!_born[生没年],
MATCH(I795,[1]!_born[作],0)),"")</f>
        <v/>
      </c>
      <c r="N795" s="27" t="str" ph="1">
        <f>IFERROR(INDEX([1]!_born[生没年],
MATCH(K795,[1]!_born[作],0)),"")</f>
        <v/>
      </c>
      <c r="O795" s="19" t="s" ph="1">
        <v>5710</v>
      </c>
      <c r="R795" s="20" t="s" ph="1">
        <v>792</v>
      </c>
      <c r="S795" s="19" t="s" ph="1">
        <v>5711</v>
      </c>
      <c r="T795" s="19" t="s" ph="1">
        <v>5397</v>
      </c>
      <c r="U795" s="20" ph="1"/>
      <c r="V795" s="21" ph="1">
        <v>260</v>
      </c>
      <c r="W795" s="21" ph="1"/>
      <c r="Y795" s="19" t="s" ph="1">
        <v>5673</v>
      </c>
    </row>
    <row r="796" spans="1:25" ht="22.5" customHeight="1" ph="1" x14ac:dyDescent="0.35">
      <c r="C796" s="13" t="s" ph="1">
        <v>707</v>
      </c>
      <c r="G796" s="13" t="s" ph="1">
        <v>5417</v>
      </c>
      <c r="H796" s="13" t="s" ph="1">
        <v>716</v>
      </c>
      <c r="I796" s="13" t="s" ph="1">
        <v>5712</v>
      </c>
      <c r="K796" s="13" t="s" ph="1">
        <v>5713</v>
      </c>
      <c r="L796" s="13" t="s" ph="1">
        <v>3915</v>
      </c>
      <c r="M796" s="14" t="str" ph="1">
        <f>IFERROR(INDEX([1]!_born[生没年],
MATCH(I796,[1]!_born[作],0)),"")</f>
        <v/>
      </c>
      <c r="N796" s="14" t="str" ph="1">
        <f>IFERROR(INDEX([1]!_born[生没年],
MATCH(K796,[1]!_born[作],0)),"")</f>
        <v/>
      </c>
      <c r="O796" s="13" t="s" ph="1">
        <v>5714</v>
      </c>
      <c r="R796" s="16" t="s" ph="1">
        <v>471</v>
      </c>
      <c r="S796" s="13" t="s" ph="1">
        <v>5715</v>
      </c>
      <c r="T796" s="13" t="s" ph="1">
        <v>5716</v>
      </c>
      <c r="V796" s="17" ph="1">
        <v>580</v>
      </c>
      <c r="Y796" s="13" t="s" ph="1">
        <v>4724</v>
      </c>
    </row>
    <row r="797" spans="1:25" ht="22.5" customHeight="1" ph="1" x14ac:dyDescent="0.35">
      <c r="A797" s="106" t="s" ph="1">
        <v>793</v>
      </c>
      <c r="C797" s="13" t="s" ph="1">
        <v>707</v>
      </c>
      <c r="D797" s="123" ph="1">
        <v>3</v>
      </c>
      <c r="E797" s="123" ph="1">
        <v>10</v>
      </c>
      <c r="G797" s="13" t="s" ph="1">
        <v>5417</v>
      </c>
      <c r="H797" s="13" t="s" ph="1">
        <v>709</v>
      </c>
      <c r="I797" s="13" t="s" ph="1">
        <v>5717</v>
      </c>
      <c r="K797" s="13" t="s" ph="1">
        <v>5718</v>
      </c>
      <c r="L797" s="13" t="s" ph="1">
        <v>5719</v>
      </c>
      <c r="M797" s="14" t="str" ph="1">
        <f>IFERROR(INDEX([1]!_born[生没年],
MATCH(I797,[1]!_born[作],0)),"")</f>
        <v/>
      </c>
      <c r="N797" s="14" t="str" ph="1">
        <f>IFERROR(INDEX([1]!_born[生没年],
MATCH(K797,[1]!_born[作],0)),"")</f>
        <v/>
      </c>
      <c r="O797" s="13" t="s" ph="1">
        <v>5720</v>
      </c>
      <c r="R797" s="16" t="s" ph="1">
        <v>785</v>
      </c>
      <c r="S797" s="13" t="s" ph="1">
        <v>5721</v>
      </c>
      <c r="T797" s="13" t="s" ph="1">
        <v>5307</v>
      </c>
      <c r="V797" s="17" ph="1">
        <v>400</v>
      </c>
      <c r="Y797" s="13" t="s" ph="1">
        <v>4724</v>
      </c>
    </row>
    <row r="798" spans="1:25" ht="22.5" customHeight="1" ph="1" x14ac:dyDescent="0.35">
      <c r="A798" s="106" t="s" ph="1">
        <v>794</v>
      </c>
      <c r="C798" s="13" t="s" ph="1">
        <v>707</v>
      </c>
      <c r="G798" s="13" t="s" ph="1">
        <v>5417</v>
      </c>
      <c r="H798" s="13" t="s" ph="1">
        <v>716</v>
      </c>
      <c r="I798" s="13" t="s" ph="1">
        <v>5722</v>
      </c>
      <c r="K798" s="13" t="s" ph="1">
        <v>5723</v>
      </c>
      <c r="L798" s="13" t="s" ph="1">
        <v>3915</v>
      </c>
      <c r="M798" s="14" t="str" ph="1">
        <f>IFERROR(INDEX([1]!_born[生没年],
MATCH(I798,[1]!_born[作],0)),"")</f>
        <v/>
      </c>
      <c r="N798" s="14" t="str" ph="1">
        <f>IFERROR(INDEX([1]!_born[生没年],
MATCH(K798,[1]!_born[作],0)),"")</f>
        <v/>
      </c>
      <c r="O798" s="13" t="s" ph="1">
        <v>5724</v>
      </c>
      <c r="R798" s="16" t="s" ph="1">
        <v>795</v>
      </c>
      <c r="S798" s="13" t="s" ph="1">
        <v>5725</v>
      </c>
      <c r="T798" s="13" t="s" ph="1">
        <v>5307</v>
      </c>
      <c r="V798" s="17" ph="1">
        <v>680</v>
      </c>
      <c r="W798" s="17" ph="1">
        <v>100</v>
      </c>
      <c r="X798" s="13" t="s" ph="1">
        <v>5726</v>
      </c>
      <c r="Y798" s="13" t="s" ph="1">
        <v>5727</v>
      </c>
    </row>
    <row r="799" spans="1:25" ht="22.5" customHeight="1" ph="1" x14ac:dyDescent="0.35">
      <c r="A799" s="106" t="s" ph="1">
        <v>771</v>
      </c>
      <c r="B799" s="5" t="s" ph="1">
        <v>782</v>
      </c>
      <c r="C799" s="13" t="s" ph="1">
        <v>707</v>
      </c>
      <c r="G799" s="13" t="s" ph="1">
        <v>5417</v>
      </c>
      <c r="H799" s="13" t="s" ph="1">
        <v>709</v>
      </c>
      <c r="I799" s="13" t="s" ph="1">
        <v>5728</v>
      </c>
      <c r="M799" s="14" t="str" ph="1">
        <f>IFERROR(INDEX([1]!_born[生没年],
MATCH(I799,[1]!_born[作],0)),"")</f>
        <v/>
      </c>
      <c r="N799" s="14" t="str" ph="1">
        <f>IFERROR(INDEX([1]!_born[生没年],
MATCH(K799,[1]!_born[作],0)),"")</f>
        <v/>
      </c>
      <c r="O799" s="13" t="s" ph="1">
        <v>5729</v>
      </c>
      <c r="R799" s="16" t="s" ph="1">
        <v>796</v>
      </c>
      <c r="S799" s="13" t="s" ph="1">
        <v>797</v>
      </c>
      <c r="T799" s="13" t="s" ph="1">
        <v>5730</v>
      </c>
    </row>
    <row r="800" spans="1:25" ht="22.5" customHeight="1" ph="1" x14ac:dyDescent="0.35">
      <c r="C800" s="13" t="s" ph="1">
        <v>707</v>
      </c>
      <c r="G800" s="13" t="s" ph="1">
        <v>5417</v>
      </c>
      <c r="H800" s="13" t="s" ph="1">
        <v>709</v>
      </c>
      <c r="I800" s="13" t="s" ph="1">
        <v>5731</v>
      </c>
      <c r="M800" s="14" t="str" ph="1">
        <f>IFERROR(INDEX([1]!_born[生没年],
MATCH(I800,[1]!_born[作],0)),"")</f>
        <v/>
      </c>
      <c r="N800" s="14" t="str" ph="1">
        <f>IFERROR(INDEX([1]!_born[生没年],
MATCH(K800,[1]!_born[作],0)),"")</f>
        <v/>
      </c>
      <c r="O800" s="13" t="s" ph="1">
        <v>5732</v>
      </c>
      <c r="R800" s="16" t="s" ph="1">
        <v>798</v>
      </c>
      <c r="S800" s="13" t="s" ph="1">
        <v>799</v>
      </c>
      <c r="T800" s="13" t="s" ph="1">
        <v>5730</v>
      </c>
      <c r="U800" s="16" ph="1">
        <v>38228</v>
      </c>
    </row>
    <row r="801" spans="1:25" s="19" customFormat="1" ht="22.5" customHeight="1" ph="1" x14ac:dyDescent="0.35">
      <c r="A801" s="107" ph="1"/>
      <c r="B801" s="18" ph="1"/>
      <c r="C801" s="19" t="s" ph="1">
        <v>707</v>
      </c>
      <c r="D801" s="124" ph="1"/>
      <c r="E801" s="124" ph="1"/>
      <c r="G801" s="19" t="s" ph="1">
        <v>5462</v>
      </c>
      <c r="H801" s="19" t="s" ph="1">
        <v>716</v>
      </c>
      <c r="I801" s="19" t="s" ph="1">
        <v>5733</v>
      </c>
      <c r="J801" s="19" t="s" ph="1">
        <v>3721</v>
      </c>
      <c r="M801" s="27" t="str" ph="1">
        <f>IFERROR(INDEX([1]!_born[生没年],
MATCH(I801,[1]!_born[作],0)),"")</f>
        <v/>
      </c>
      <c r="N801" s="27" t="str" ph="1">
        <f>IFERROR(INDEX([1]!_born[生没年],
MATCH(K801,[1]!_born[作],0)),"")</f>
        <v/>
      </c>
      <c r="O801" s="19" t="s" ph="1">
        <v>5734</v>
      </c>
      <c r="R801" s="20" t="s" ph="1">
        <v>791</v>
      </c>
      <c r="S801" s="19" t="s" ph="1">
        <v>5735</v>
      </c>
      <c r="T801" s="19" t="s" ph="1">
        <v>5736</v>
      </c>
      <c r="U801" s="20" ph="1"/>
      <c r="V801" s="21" ph="1"/>
      <c r="W801" s="21" ph="1"/>
      <c r="Y801" s="19" t="s" ph="1">
        <v>5673</v>
      </c>
    </row>
    <row r="802" spans="1:25" s="19" customFormat="1" ht="22.5" customHeight="1" ph="1" x14ac:dyDescent="0.35">
      <c r="A802" s="107" ph="1"/>
      <c r="B802" s="18" ph="1"/>
      <c r="C802" s="19" t="s" ph="1">
        <v>707</v>
      </c>
      <c r="D802" s="124" ph="1"/>
      <c r="E802" s="124" ph="1"/>
      <c r="G802" s="19" t="s" ph="1">
        <v>5462</v>
      </c>
      <c r="H802" s="19" t="s" ph="1">
        <v>716</v>
      </c>
      <c r="I802" s="19" t="s" ph="1">
        <v>5733</v>
      </c>
      <c r="J802" s="19" t="s" ph="1">
        <v>3721</v>
      </c>
      <c r="M802" s="27" t="str" ph="1">
        <f>IFERROR(INDEX([1]!_born[生没年],
MATCH(I802,[1]!_born[作],0)),"")</f>
        <v/>
      </c>
      <c r="N802" s="27" t="str" ph="1">
        <f>IFERROR(INDEX([1]!_born[生没年],
MATCH(K802,[1]!_born[作],0)),"")</f>
        <v/>
      </c>
      <c r="O802" s="19" t="s" ph="1">
        <v>5737</v>
      </c>
      <c r="R802" s="20" ph="1"/>
      <c r="U802" s="20" ph="1"/>
      <c r="V802" s="21" ph="1"/>
      <c r="W802" s="21" ph="1"/>
      <c r="Y802" s="19" t="s" ph="1">
        <v>5673</v>
      </c>
    </row>
    <row r="803" spans="1:25" ht="22.5" customHeight="1" ph="1" x14ac:dyDescent="0.35">
      <c r="C803" s="13" t="s" ph="1">
        <v>707</v>
      </c>
      <c r="G803" s="13" t="s" ph="1">
        <v>5417</v>
      </c>
      <c r="H803" s="13" t="s" ph="1">
        <v>716</v>
      </c>
      <c r="I803" s="13" t="s" ph="1">
        <v>5738</v>
      </c>
      <c r="M803" s="14" t="str" ph="1">
        <f>IFERROR(INDEX([1]!_born[生没年],
MATCH(I803,[1]!_born[作],0)),"")</f>
        <v/>
      </c>
      <c r="N803" s="14" t="str" ph="1">
        <f>IFERROR(INDEX([1]!_born[生没年],
MATCH(K803,[1]!_born[作],0)),"")</f>
        <v/>
      </c>
      <c r="O803" s="13" t="s" ph="1">
        <v>5739</v>
      </c>
      <c r="R803" s="16" t="s" ph="1">
        <v>800</v>
      </c>
      <c r="S803" s="13" t="s" ph="1">
        <v>5740</v>
      </c>
      <c r="T803" s="13" t="s" ph="1">
        <v>5738</v>
      </c>
      <c r="V803" s="17"/>
      <c r="X803" s="5" t="s" ph="1">
        <v>5741</v>
      </c>
      <c r="Y803" s="5" ph="1"/>
    </row>
    <row r="804" spans="1:25" ht="22.5" customHeight="1" ph="1" x14ac:dyDescent="0.35">
      <c r="C804" s="13" t="s" ph="1">
        <v>707</v>
      </c>
      <c r="G804" s="13" t="s" ph="1">
        <v>5742</v>
      </c>
      <c r="H804" s="13" t="s" ph="1">
        <v>716</v>
      </c>
      <c r="I804" s="13" t="s" ph="1">
        <v>5743</v>
      </c>
      <c r="M804" s="14" t="str" ph="1">
        <f>IFERROR(INDEX([1]!_born[生没年],
MATCH(I804,[1]!_born[作],0)),"")</f>
        <v/>
      </c>
      <c r="N804" s="14" t="str" ph="1">
        <f>IFERROR(INDEX([1]!_born[生没年],
MATCH(K804,[1]!_born[作],0)),"")</f>
        <v/>
      </c>
      <c r="O804" s="13" t="s" ph="1">
        <v>5744</v>
      </c>
      <c r="R804" s="16" t="s" ph="1">
        <v>801</v>
      </c>
      <c r="S804" s="13" t="s" ph="1">
        <v>5745</v>
      </c>
      <c r="T804" s="13" t="s" ph="1">
        <v>5407</v>
      </c>
      <c r="V804" s="17">
        <v>350</v>
      </c>
      <c r="X804" s="5" t="s" ph="1">
        <v>5746</v>
      </c>
      <c r="Y804" s="13" t="s" ph="1">
        <v>4724</v>
      </c>
    </row>
    <row r="805" spans="1:25" ht="22.5" customHeight="1" ph="1" x14ac:dyDescent="0.35">
      <c r="C805" s="13" t="s" ph="1">
        <v>707</v>
      </c>
      <c r="G805" s="13" t="s" ph="1">
        <v>5742</v>
      </c>
      <c r="H805" s="13" t="s" ph="1">
        <v>716</v>
      </c>
      <c r="I805" s="13" t="s" ph="1">
        <v>5747</v>
      </c>
      <c r="J805" s="13" t="s" ph="1">
        <v>5748</v>
      </c>
      <c r="K805" s="13" t="s" ph="1">
        <v>5749</v>
      </c>
      <c r="L805" s="13" t="s" ph="1">
        <v>5750</v>
      </c>
      <c r="M805" s="14" t="str" ph="1">
        <f>IFERROR(INDEX([1]!_born[生没年],
MATCH(I805,[1]!_born[作],0)),"")</f>
        <v/>
      </c>
      <c r="N805" s="14" t="str" ph="1">
        <f>IFERROR(INDEX([1]!_born[生没年],
MATCH(K805,[1]!_born[作],0)),"")</f>
        <v/>
      </c>
      <c r="O805" s="13" t="s" ph="1">
        <v>5751</v>
      </c>
      <c r="R805" s="16" t="s" ph="1">
        <v>785</v>
      </c>
      <c r="S805" s="5" t="s" ph="1">
        <v>5752</v>
      </c>
      <c r="T805" s="13" t="s" ph="1">
        <v>4902</v>
      </c>
      <c r="V805" s="17">
        <v>750</v>
      </c>
      <c r="Y805" s="13" t="s" ph="1">
        <v>4724</v>
      </c>
    </row>
    <row r="806" spans="1:25" ht="22.5" customHeight="1" ph="1" x14ac:dyDescent="0.35">
      <c r="C806" s="13" t="s" ph="1">
        <v>707</v>
      </c>
      <c r="G806" s="13" t="s" ph="1">
        <v>5218</v>
      </c>
      <c r="H806" s="13" t="s" ph="1">
        <v>716</v>
      </c>
      <c r="I806" s="13" t="s" ph="1">
        <v>5753</v>
      </c>
      <c r="J806" s="13" t="s" ph="1">
        <v>5754</v>
      </c>
      <c r="K806" s="13" t="s" ph="1">
        <v>5749</v>
      </c>
      <c r="L806" s="13" t="s" ph="1">
        <v>5750</v>
      </c>
      <c r="M806" s="14" t="str" ph="1">
        <f>IFERROR(INDEX([1]!_born[生没年],
MATCH(I806,[1]!_born[作],0)),"")</f>
        <v/>
      </c>
      <c r="N806" s="14" t="str" ph="1">
        <f>IFERROR(INDEX([1]!_born[生没年],
MATCH(K806,[1]!_born[作],0)),"")</f>
        <v/>
      </c>
      <c r="O806" s="13" t="s" ph="1">
        <v>5755</v>
      </c>
      <c r="R806" s="16" t="s" ph="1">
        <v>791</v>
      </c>
      <c r="T806" s="13" t="s" ph="1">
        <v>5756</v>
      </c>
      <c r="V806" s="17">
        <v>750</v>
      </c>
      <c r="X806" s="5" ph="1"/>
      <c r="Y806" s="13" t="s" ph="1">
        <v>5757</v>
      </c>
    </row>
    <row r="807" spans="1:25" ht="22.5" customHeight="1" ph="1" x14ac:dyDescent="0.35">
      <c r="C807" s="13" t="s" ph="1">
        <v>707</v>
      </c>
      <c r="D807" s="123" ph="1">
        <v>14</v>
      </c>
      <c r="E807" s="123" t="s" ph="1">
        <v>3145</v>
      </c>
      <c r="G807" s="13" t="s" ph="1">
        <v>5417</v>
      </c>
      <c r="H807" s="13" t="s" ph="1">
        <v>709</v>
      </c>
      <c r="I807" s="13" t="s" ph="1">
        <v>5758</v>
      </c>
      <c r="K807" s="13" t="s" ph="1">
        <v>522</v>
      </c>
      <c r="L807" s="13" t="s" ph="1">
        <v>5759</v>
      </c>
      <c r="M807" s="14" t="str" ph="1">
        <f>IFERROR(INDEX([1]!_born[生没年],
MATCH(I807,[1]!_born[作],0)),"")</f>
        <v/>
      </c>
      <c r="N807" s="14" t="str" ph="1">
        <f>IFERROR(INDEX([1]!_born[生没年],
MATCH(K807,[1]!_born[作],0)),"")</f>
        <v/>
      </c>
      <c r="O807" s="13" t="s" ph="1">
        <v>5760</v>
      </c>
      <c r="S807" s="13" t="s" ph="1">
        <v>5761</v>
      </c>
      <c r="T807" s="13" t="s" ph="1">
        <v>5762</v>
      </c>
      <c r="U807" s="16" ph="1">
        <v>38242</v>
      </c>
      <c r="V807" s="17" ph="1">
        <v>340</v>
      </c>
      <c r="W807" s="17" ph="1">
        <f>100*1.05</f>
        <v>105</v>
      </c>
      <c r="X807" s="13" t="s" ph="1">
        <v>5763</v>
      </c>
    </row>
    <row r="808" spans="1:25" ht="22.5" customHeight="1" ph="1" x14ac:dyDescent="0.35">
      <c r="C808" s="13" t="s" ph="1">
        <v>707</v>
      </c>
      <c r="D808" s="123" ph="1">
        <v>39</v>
      </c>
      <c r="E808" s="123" t="s" ph="1">
        <v>3145</v>
      </c>
      <c r="G808" s="13" t="s" ph="1">
        <v>5417</v>
      </c>
      <c r="H808" s="13" t="s" ph="1">
        <v>709</v>
      </c>
      <c r="I808" s="13" t="s" ph="1">
        <v>5758</v>
      </c>
      <c r="M808" s="14" t="str" ph="1">
        <f>IFERROR(INDEX([1]!_born[生没年],
MATCH(I808,[1]!_born[作],0)),"")</f>
        <v/>
      </c>
      <c r="N808" s="14" t="str" ph="1">
        <f>IFERROR(INDEX([1]!_born[生没年],
MATCH(K808,[1]!_born[作],0)),"")</f>
        <v/>
      </c>
      <c r="O808" s="13" t="s" ph="1">
        <v>5764</v>
      </c>
      <c r="S808" s="13" t="s" ph="1">
        <v>5765</v>
      </c>
      <c r="T808" s="13" t="s" ph="1">
        <v>5762</v>
      </c>
      <c r="U808" s="16" ph="1">
        <v>38242</v>
      </c>
      <c r="V808" s="17" ph="1">
        <v>250</v>
      </c>
      <c r="W808" s="17" ph="1">
        <f>100*1.05</f>
        <v>105</v>
      </c>
      <c r="X808" s="13" t="s" ph="1">
        <v>5763</v>
      </c>
    </row>
    <row r="809" spans="1:25" ht="22.5" customHeight="1" ph="1" x14ac:dyDescent="0.35">
      <c r="C809" s="13" t="s" ph="1">
        <v>707</v>
      </c>
      <c r="D809" s="123" ph="1">
        <v>13</v>
      </c>
      <c r="E809" s="123" t="s" ph="1">
        <v>3145</v>
      </c>
      <c r="G809" s="13" t="s" ph="1">
        <v>5417</v>
      </c>
      <c r="H809" s="13" t="s" ph="1">
        <v>716</v>
      </c>
      <c r="I809" s="13" t="s" ph="1">
        <v>5766</v>
      </c>
      <c r="M809" s="14" t="str" ph="1">
        <f>IFERROR(INDEX([1]!_born[生没年],
MATCH(I809,[1]!_born[作],0)),"")</f>
        <v/>
      </c>
      <c r="N809" s="14" t="str" ph="1">
        <f>IFERROR(INDEX([1]!_born[生没年],
MATCH(K809,[1]!_born[作],0)),"")</f>
        <v/>
      </c>
      <c r="O809" s="13" t="s" ph="1">
        <v>5767</v>
      </c>
      <c r="R809" s="16" t="s" ph="1">
        <v>774</v>
      </c>
      <c r="S809" s="13" t="s" ph="1">
        <v>5768</v>
      </c>
      <c r="T809" s="13" t="s" ph="1">
        <v>5769</v>
      </c>
      <c r="U809" s="16" ph="1">
        <v>36651</v>
      </c>
      <c r="W809" s="17" ph="1">
        <v>100</v>
      </c>
    </row>
    <row r="810" spans="1:25" ht="22.5" customHeight="1" ph="1" x14ac:dyDescent="0.35">
      <c r="C810" s="13" t="s" ph="1">
        <v>707</v>
      </c>
      <c r="D810" s="123" ph="1">
        <v>66</v>
      </c>
      <c r="E810" s="123" t="s" ph="1">
        <v>3145</v>
      </c>
      <c r="G810" s="13" t="s" ph="1">
        <v>5417</v>
      </c>
      <c r="H810" s="13" t="s" ph="1">
        <v>716</v>
      </c>
      <c r="I810" s="13" t="s" ph="1">
        <v>5766</v>
      </c>
      <c r="M810" s="14" t="str" ph="1">
        <f>IFERROR(INDEX([1]!_born[生没年],
MATCH(I810,[1]!_born[作],0)),"")</f>
        <v/>
      </c>
      <c r="N810" s="14" t="str" ph="1">
        <f>IFERROR(INDEX([1]!_born[生没年],
MATCH(K810,[1]!_born[作],0)),"")</f>
        <v/>
      </c>
      <c r="O810" s="13" t="s" ph="1">
        <v>5770</v>
      </c>
      <c r="R810" s="16" t="s" ph="1">
        <v>802</v>
      </c>
      <c r="S810" s="13" t="s" ph="1">
        <v>5771</v>
      </c>
      <c r="T810" s="13" t="s" ph="1">
        <v>5769</v>
      </c>
      <c r="U810" s="16" ph="1">
        <v>36651</v>
      </c>
      <c r="W810" s="17" ph="1">
        <v>100</v>
      </c>
    </row>
    <row r="811" spans="1:25" ht="22.5" customHeight="1" ph="1" x14ac:dyDescent="0.35">
      <c r="C811" s="13" t="s" ph="1">
        <v>707</v>
      </c>
      <c r="D811" s="123" ph="1">
        <v>72</v>
      </c>
      <c r="E811" s="123" t="s" ph="1">
        <v>3145</v>
      </c>
      <c r="G811" s="13" t="s" ph="1">
        <v>5417</v>
      </c>
      <c r="H811" s="13" t="s" ph="1">
        <v>716</v>
      </c>
      <c r="I811" s="13" t="s" ph="1">
        <v>5766</v>
      </c>
      <c r="M811" s="14" t="str" ph="1">
        <f>IFERROR(INDEX([1]!_born[生没年],
MATCH(I811,[1]!_born[作],0)),"")</f>
        <v/>
      </c>
      <c r="N811" s="14" t="str" ph="1">
        <f>IFERROR(INDEX([1]!_born[生没年],
MATCH(K811,[1]!_born[作],0)),"")</f>
        <v/>
      </c>
      <c r="O811" s="13" t="s" ph="1">
        <v>5772</v>
      </c>
      <c r="R811" s="16" t="s" ph="1">
        <v>802</v>
      </c>
      <c r="S811" s="13" t="s" ph="1">
        <v>5773</v>
      </c>
      <c r="T811" s="13" t="s" ph="1">
        <v>5769</v>
      </c>
      <c r="U811" s="16" ph="1">
        <v>36651</v>
      </c>
      <c r="W811" s="17" ph="1">
        <v>100</v>
      </c>
    </row>
    <row r="812" spans="1:25" ht="22.5" customHeight="1" ph="1" x14ac:dyDescent="0.35">
      <c r="C812" s="13" t="s" ph="1">
        <v>707</v>
      </c>
      <c r="D812" s="123" ph="1">
        <v>74</v>
      </c>
      <c r="E812" s="123" t="s" ph="1">
        <v>3145</v>
      </c>
      <c r="G812" s="13" t="s" ph="1">
        <v>5417</v>
      </c>
      <c r="H812" s="13" t="s" ph="1">
        <v>716</v>
      </c>
      <c r="I812" s="13" t="s" ph="1">
        <v>5766</v>
      </c>
      <c r="M812" s="14" t="str" ph="1">
        <f>IFERROR(INDEX([1]!_born[生没年],
MATCH(I812,[1]!_born[作],0)),"")</f>
        <v/>
      </c>
      <c r="N812" s="14" t="str" ph="1">
        <f>IFERROR(INDEX([1]!_born[生没年],
MATCH(K812,[1]!_born[作],0)),"")</f>
        <v/>
      </c>
      <c r="O812" s="13" t="s" ph="1">
        <v>5774</v>
      </c>
      <c r="R812" s="16" t="s" ph="1">
        <v>802</v>
      </c>
      <c r="S812" s="13" t="s" ph="1">
        <v>5775</v>
      </c>
      <c r="T812" s="13" t="s" ph="1">
        <v>5769</v>
      </c>
      <c r="U812" s="16" ph="1">
        <v>36651</v>
      </c>
      <c r="W812" s="17" ph="1">
        <v>100</v>
      </c>
    </row>
    <row r="813" spans="1:25" ht="22.5" customHeight="1" ph="1" x14ac:dyDescent="0.35">
      <c r="C813" s="13" t="s" ph="1">
        <v>803</v>
      </c>
      <c r="G813" s="13" t="s" ph="1">
        <v>5218</v>
      </c>
      <c r="H813" s="13" t="s" ph="1">
        <v>709</v>
      </c>
      <c r="I813" s="13" t="s" ph="1">
        <v>463</v>
      </c>
      <c r="M813" s="14" t="str" ph="1">
        <f>IFERROR(INDEX([1]!_born[生没年],
MATCH(I813,[1]!_born[作],0)),"")</f>
        <v/>
      </c>
      <c r="N813" s="14" t="str" ph="1">
        <f>IFERROR(INDEX([1]!_born[生没年],
MATCH(K813,[1]!_born[作],0)),"")</f>
        <v/>
      </c>
      <c r="O813" s="13" t="s" ph="1">
        <v>5776</v>
      </c>
      <c r="T813" s="13" t="s" ph="1">
        <v>5777</v>
      </c>
      <c r="U813" s="16" ph="1">
        <v>36653</v>
      </c>
      <c r="V813" s="17" ph="1">
        <f>4800*1.05</f>
        <v>5040</v>
      </c>
      <c r="W813" s="17" ph="1">
        <f>4800*1.05</f>
        <v>5040</v>
      </c>
    </row>
    <row r="814" spans="1:25" ht="22.5" customHeight="1" ph="1" x14ac:dyDescent="0.35">
      <c r="C814" s="13" t="s" ph="1">
        <v>707</v>
      </c>
      <c r="G814" s="13" t="s" ph="1">
        <v>5218</v>
      </c>
      <c r="H814" s="13" t="s" ph="1">
        <v>716</v>
      </c>
      <c r="I814" s="13" t="s" ph="1">
        <v>5778</v>
      </c>
      <c r="M814" s="14" t="str" ph="1">
        <f>IFERROR(INDEX([1]!_born[生没年],
MATCH(I814,[1]!_born[作],0)),"")</f>
        <v/>
      </c>
      <c r="N814" s="14" t="str" ph="1">
        <f>IFERROR(INDEX([1]!_born[生没年],
MATCH(K814,[1]!_born[作],0)),"")</f>
        <v/>
      </c>
      <c r="O814" s="13" t="s" ph="1">
        <v>5779</v>
      </c>
      <c r="R814" s="16" t="s" ph="1">
        <v>804</v>
      </c>
      <c r="T814" s="13" t="s" ph="1">
        <v>5780</v>
      </c>
      <c r="U814" s="16" ph="1">
        <v>38100</v>
      </c>
      <c r="V814" s="17" ph="1">
        <v>390</v>
      </c>
      <c r="W814" s="17" ph="1">
        <v>0</v>
      </c>
      <c r="X814" s="13" t="s" ph="1">
        <v>5781</v>
      </c>
    </row>
    <row r="815" spans="1:25" ht="22.5" customHeight="1" ph="1" x14ac:dyDescent="0.35">
      <c r="C815" s="13" t="s" ph="1">
        <v>707</v>
      </c>
      <c r="G815" s="13" t="s" ph="1">
        <v>5218</v>
      </c>
      <c r="H815" s="13" t="s" ph="1">
        <v>805</v>
      </c>
      <c r="M815" s="14" t="str" ph="1">
        <f>IFERROR(INDEX([1]!_born[生没年],
MATCH(I815,[1]!_born[作],0)),"")</f>
        <v/>
      </c>
      <c r="N815" s="14" t="str" ph="1">
        <f>IFERROR(INDEX([1]!_born[生没年],
MATCH(K815,[1]!_born[作],0)),"")</f>
        <v/>
      </c>
      <c r="O815" s="13" t="s" ph="1">
        <v>5782</v>
      </c>
      <c r="T815" s="13" t="s" ph="1">
        <v>5783</v>
      </c>
      <c r="U815" s="16" ph="1">
        <v>39726</v>
      </c>
      <c r="W815" s="17" ph="1">
        <v>0</v>
      </c>
      <c r="X815" s="13" t="s" ph="1">
        <v>5784</v>
      </c>
    </row>
    <row r="816" spans="1:25" ht="22.5" customHeight="1" ph="1" x14ac:dyDescent="0.35">
      <c r="C816" s="13" t="s" ph="1">
        <v>707</v>
      </c>
      <c r="G816" s="13" t="s" ph="1">
        <v>5218</v>
      </c>
      <c r="H816" s="13" t="s" ph="1">
        <v>805</v>
      </c>
      <c r="M816" s="14" t="str" ph="1">
        <f>IFERROR(INDEX([1]!_born[生没年],
MATCH(I816,[1]!_born[作],0)),"")</f>
        <v/>
      </c>
      <c r="N816" s="14" t="str" ph="1">
        <f>IFERROR(INDEX([1]!_born[生没年],
MATCH(K816,[1]!_born[作],0)),"")</f>
        <v/>
      </c>
      <c r="O816" s="13" t="s" ph="1">
        <v>5785</v>
      </c>
      <c r="T816" s="13" t="s" ph="1">
        <v>5783</v>
      </c>
      <c r="U816" s="16" ph="1">
        <v>39726</v>
      </c>
      <c r="V816" s="17" t="s" ph="1">
        <v>5786</v>
      </c>
      <c r="W816" s="17" ph="1">
        <v>0</v>
      </c>
      <c r="X816" s="13" t="s" ph="1">
        <v>5784</v>
      </c>
    </row>
    <row r="817" spans="1:25" ht="22.5" customHeight="1" ph="1" x14ac:dyDescent="0.35">
      <c r="C817" s="13" t="s" ph="1">
        <v>707</v>
      </c>
      <c r="G817" s="13" t="s" ph="1">
        <v>5218</v>
      </c>
      <c r="H817" s="13" t="s" ph="1">
        <v>805</v>
      </c>
      <c r="M817" s="14" t="str" ph="1">
        <f>IFERROR(INDEX([1]!_born[生没年],
MATCH(I817,[1]!_born[作],0)),"")</f>
        <v/>
      </c>
      <c r="N817" s="14" t="str" ph="1">
        <f>IFERROR(INDEX([1]!_born[生没年],
MATCH(K817,[1]!_born[作],0)),"")</f>
        <v/>
      </c>
      <c r="O817" s="13" t="s" ph="1">
        <v>5787</v>
      </c>
      <c r="T817" s="13" t="s" ph="1">
        <v>5783</v>
      </c>
      <c r="U817" s="16" ph="1">
        <v>39726</v>
      </c>
      <c r="V817" s="17" t="s" ph="1">
        <v>5788</v>
      </c>
      <c r="W817" s="17" ph="1">
        <v>0</v>
      </c>
      <c r="X817" s="13" t="s" ph="1">
        <v>5784</v>
      </c>
    </row>
    <row r="818" spans="1:25" ht="22.5" customHeight="1" ph="1" x14ac:dyDescent="0.35">
      <c r="A818" s="106" t="s" ph="1">
        <v>806</v>
      </c>
      <c r="C818" s="13" t="s" ph="1">
        <v>707</v>
      </c>
      <c r="G818" s="13" t="s" ph="1">
        <v>5218</v>
      </c>
      <c r="H818" s="13" t="s" ph="1">
        <v>716</v>
      </c>
      <c r="M818" s="14" t="str" ph="1">
        <f>IFERROR(INDEX([1]!_born[生没年],
MATCH(I818,[1]!_born[作],0)),"")</f>
        <v/>
      </c>
      <c r="N818" s="14" t="str" ph="1">
        <f>IFERROR(INDEX([1]!_born[生没年],
MATCH(K818,[1]!_born[作],0)),"")</f>
        <v/>
      </c>
      <c r="O818" s="13" t="s" ph="1">
        <v>5789</v>
      </c>
      <c r="R818" s="16" t="s" ph="1">
        <v>807</v>
      </c>
      <c r="T818" s="13" t="s" ph="1">
        <v>5790</v>
      </c>
      <c r="U818" s="16" ph="1">
        <v>39726</v>
      </c>
      <c r="V818" s="17" ph="1">
        <f>400*1.05</f>
        <v>420</v>
      </c>
      <c r="W818" s="17" ph="1">
        <v>0</v>
      </c>
      <c r="X818" s="13" t="s" ph="1">
        <v>5784</v>
      </c>
    </row>
    <row r="819" spans="1:25" ht="22.5" customHeight="1" ph="1" x14ac:dyDescent="0.35">
      <c r="A819" s="106" t="s" ph="1">
        <v>2436</v>
      </c>
      <c r="C819" s="13" t="s" ph="1">
        <v>707</v>
      </c>
      <c r="G819" s="13" t="s" ph="1">
        <v>5218</v>
      </c>
      <c r="H819" s="13" t="s" ph="1">
        <v>704</v>
      </c>
      <c r="M819" s="14" t="str" ph="1">
        <f>IFERROR(INDEX([1]!_born[生没年],
MATCH(I819,[1]!_born[作],0)),"")</f>
        <v/>
      </c>
      <c r="N819" s="14" t="str" ph="1">
        <f>IFERROR(INDEX([1]!_born[生没年],
MATCH(K819,[1]!_born[作],0)),"")</f>
        <v/>
      </c>
      <c r="O819" s="13" t="s" ph="1">
        <v>2438</v>
      </c>
      <c r="R819" s="16" t="s" ph="1">
        <v>2439</v>
      </c>
      <c r="S819" s="13" t="s" ph="1">
        <v>2437</v>
      </c>
      <c r="U819" s="16" ph="1">
        <v>39907</v>
      </c>
      <c r="V819" s="17" t="s" ph="1">
        <v>2440</v>
      </c>
      <c r="W819" s="17" ph="1">
        <v>0</v>
      </c>
      <c r="X819" s="13" t="s" ph="1">
        <v>5791</v>
      </c>
    </row>
    <row r="820" spans="1:25" ht="22.5" customHeight="1" ph="1" x14ac:dyDescent="0.35">
      <c r="A820" s="106" t="s" ph="1">
        <v>2441</v>
      </c>
      <c r="C820" s="13" t="s" ph="1">
        <v>707</v>
      </c>
      <c r="G820" s="13" t="s" ph="1">
        <v>700</v>
      </c>
      <c r="H820" s="13" t="s" ph="1">
        <v>704</v>
      </c>
      <c r="M820" s="14" t="str" ph="1">
        <f>IFERROR(INDEX([1]!_born[生没年],
MATCH(I820,[1]!_born[作],0)),"")</f>
        <v/>
      </c>
      <c r="N820" s="14" t="str" ph="1">
        <f>IFERROR(INDEX([1]!_born[生没年],
MATCH(K820,[1]!_born[作],0)),"")</f>
        <v/>
      </c>
      <c r="O820" s="13" t="s" ph="1">
        <v>2442</v>
      </c>
      <c r="R820" s="16" t="s" ph="1">
        <v>2443</v>
      </c>
      <c r="S820" s="13" t="s" ph="1">
        <v>2444</v>
      </c>
      <c r="U820" s="16" ph="1">
        <v>39907</v>
      </c>
      <c r="V820" s="17" t="s" ph="1">
        <v>2445</v>
      </c>
      <c r="W820" s="17" ph="1">
        <v>0</v>
      </c>
      <c r="X820" s="13" t="s" ph="1">
        <v>5791</v>
      </c>
    </row>
    <row r="821" spans="1:25" s="19" customFormat="1" ht="22.5" customHeight="1" ph="1" x14ac:dyDescent="0.35">
      <c r="A821" s="107" t="s" ph="1">
        <v>808</v>
      </c>
      <c r="B821" s="18" ph="1"/>
      <c r="C821" s="19" t="s" ph="1">
        <v>707</v>
      </c>
      <c r="D821" s="124" ph="1"/>
      <c r="E821" s="124" ph="1"/>
      <c r="G821" s="19" t="s" ph="1">
        <v>5662</v>
      </c>
      <c r="H821" s="19" t="s" ph="1">
        <v>716</v>
      </c>
      <c r="I821" s="19" t="s" ph="1">
        <v>5792</v>
      </c>
      <c r="M821" s="27" t="str" ph="1">
        <f>IFERROR(INDEX([1]!_born[生没年],
MATCH(I821,[1]!_born[作],0)),"")</f>
        <v/>
      </c>
      <c r="N821" s="27" t="str" ph="1">
        <f>IFERROR(INDEX([1]!_born[生没年],
MATCH(K821,[1]!_born[作],0)),"")</f>
        <v/>
      </c>
      <c r="O821" s="19" t="s" ph="1">
        <v>5793</v>
      </c>
      <c r="R821" s="20" t="s" ph="1">
        <v>809</v>
      </c>
      <c r="S821" s="19" t="s" ph="1">
        <v>5794</v>
      </c>
      <c r="T821" s="19" t="s" ph="1">
        <v>5795</v>
      </c>
      <c r="U821" s="20" ph="1"/>
      <c r="V821" s="21" ph="1">
        <v>360</v>
      </c>
      <c r="W821" s="21" ph="1"/>
      <c r="Y821" s="19" t="s" ph="1">
        <v>5689</v>
      </c>
    </row>
    <row r="822" spans="1:25" s="7" customFormat="1" ht="22.5" customHeight="1" ph="1" x14ac:dyDescent="0.35">
      <c r="A822" s="106" ph="1"/>
      <c r="B822" s="5" ph="1"/>
      <c r="C822" s="9" t="s" ph="1">
        <v>5796</v>
      </c>
      <c r="D822" s="122" ph="1"/>
      <c r="E822" s="122" ph="1"/>
      <c r="G822" s="8" t="s" ph="1">
        <v>746</v>
      </c>
      <c r="H822" s="9" ph="1"/>
      <c r="I822" s="12" t="s" ph="1">
        <v>10326</v>
      </c>
      <c r="J822" s="12" ph="1"/>
      <c r="M822" s="7" t="str" ph="1">
        <f>IFERROR(INDEX([1]!_born[生没年],
MATCH(I822,[1]!_born[作],0)),"")</f>
        <v/>
      </c>
      <c r="N822" s="7" t="str" ph="1">
        <f>IFERROR(INDEX([1]!_born[生没年],
MATCH(K822,[1]!_born[作],0)),"")</f>
        <v/>
      </c>
      <c r="R822" s="10" ph="1"/>
      <c r="U822" s="10" ph="1"/>
      <c r="V822" s="11" ph="1"/>
      <c r="W822" s="11" ph="1"/>
    </row>
    <row r="823" spans="1:25" ht="22.5" customHeight="1" ph="1" x14ac:dyDescent="0.35">
      <c r="C823" s="13" t="s" ph="1">
        <v>5797</v>
      </c>
      <c r="G823" s="13" t="s" ph="1">
        <v>810</v>
      </c>
      <c r="H823" s="13" t="s" ph="1">
        <v>5798</v>
      </c>
      <c r="I823" s="13" t="s" ph="1">
        <v>85</v>
      </c>
      <c r="J823" s="13" t="s" ph="1">
        <v>811</v>
      </c>
      <c r="M823" s="14" t="str" ph="1">
        <f>IFERROR(INDEX([1]!_born[生没年],
MATCH(I823,[1]!_born[作],0)),"")</f>
        <v/>
      </c>
      <c r="N823" s="14" t="str" ph="1">
        <f>IFERROR(INDEX([1]!_born[生没年],
MATCH(K823,[1]!_born[作],0)),"")</f>
        <v/>
      </c>
      <c r="O823" s="13" t="s" ph="1">
        <v>5799</v>
      </c>
      <c r="R823" s="16" t="s" ph="1">
        <v>812</v>
      </c>
      <c r="U823" s="16" t="s" ph="1">
        <v>5221</v>
      </c>
      <c r="W823" s="17" ph="1">
        <v>0</v>
      </c>
      <c r="Y823" s="13" t="s" ph="1">
        <v>3640</v>
      </c>
    </row>
    <row r="824" spans="1:25" ht="22.5" customHeight="1" ph="1" x14ac:dyDescent="0.35">
      <c r="C824" s="13" t="s" ph="1">
        <v>5797</v>
      </c>
      <c r="G824" s="13" t="s" ph="1">
        <v>810</v>
      </c>
      <c r="H824" s="13" t="s" ph="1">
        <v>5800</v>
      </c>
      <c r="I824" s="13" t="s" ph="1">
        <v>5801</v>
      </c>
      <c r="M824" s="14" t="str" ph="1">
        <f>IFERROR(INDEX([1]!_born[生没年],
MATCH(I824,[1]!_born[作],0)),"")</f>
        <v/>
      </c>
      <c r="N824" s="14" t="str" ph="1">
        <f>IFERROR(INDEX([1]!_born[生没年],
MATCH(K824,[1]!_born[作],0)),"")</f>
        <v/>
      </c>
      <c r="O824" s="13" t="s" ph="1">
        <v>5802</v>
      </c>
      <c r="R824" s="16" t="s" ph="1">
        <v>813</v>
      </c>
      <c r="U824" s="16" ph="1">
        <v>37512</v>
      </c>
      <c r="W824" s="17" ph="1">
        <v>0</v>
      </c>
      <c r="Y824" s="13" t="s" ph="1">
        <v>5803</v>
      </c>
    </row>
    <row r="825" spans="1:25" ht="22.5" customHeight="1" ph="1" x14ac:dyDescent="0.35">
      <c r="C825" s="13" t="s" ph="1">
        <v>5797</v>
      </c>
      <c r="G825" s="13" t="s" ph="1">
        <v>810</v>
      </c>
      <c r="H825" s="13" t="s" ph="1">
        <v>5800</v>
      </c>
      <c r="I825" s="13" t="s" ph="1">
        <v>814</v>
      </c>
      <c r="K825" s="13" t="s" ph="1">
        <v>815</v>
      </c>
      <c r="L825" s="13" t="s" ph="1">
        <v>816</v>
      </c>
      <c r="M825" s="14" t="str" ph="1">
        <f>IFERROR(INDEX([1]!_born[生没年],
MATCH(I825,[1]!_born[作],0)),"")</f>
        <v/>
      </c>
      <c r="N825" s="14" t="str" ph="1">
        <f>IFERROR(INDEX([1]!_born[生没年],
MATCH(K825,[1]!_born[作],0)),"")</f>
        <v/>
      </c>
      <c r="O825" s="13" t="s" ph="1">
        <v>817</v>
      </c>
      <c r="S825" s="13" t="s" ph="1">
        <v>818</v>
      </c>
      <c r="T825" s="13" t="s" ph="1">
        <v>819</v>
      </c>
      <c r="U825" s="16" ph="1">
        <v>38445</v>
      </c>
      <c r="W825" s="17" ph="1">
        <v>0</v>
      </c>
      <c r="X825" s="13" t="s" ph="1">
        <v>820</v>
      </c>
      <c r="Y825" s="13" t="s" ph="1">
        <v>3640</v>
      </c>
    </row>
    <row r="826" spans="1:25" ht="22.5" customHeight="1" ph="1" x14ac:dyDescent="0.35">
      <c r="C826" s="13" t="s" ph="1">
        <v>5797</v>
      </c>
      <c r="G826" s="13" t="s" ph="1">
        <v>810</v>
      </c>
      <c r="H826" s="13" t="s" ph="1">
        <v>5804</v>
      </c>
      <c r="I826" s="13" t="s" ph="1">
        <v>821</v>
      </c>
      <c r="M826" s="14" t="str" ph="1">
        <f>IFERROR(INDEX([1]!_born[生没年],
MATCH(I826,[1]!_born[作],0)),"")</f>
        <v/>
      </c>
      <c r="N826" s="14" t="str" ph="1">
        <f>IFERROR(INDEX([1]!_born[生没年],
MATCH(K826,[1]!_born[作],0)),"")</f>
        <v/>
      </c>
      <c r="O826" s="13" t="s" ph="1">
        <v>822</v>
      </c>
      <c r="S826" s="13" t="s" ph="1">
        <v>5805</v>
      </c>
      <c r="U826" s="16" ph="1">
        <v>37878</v>
      </c>
      <c r="V826" s="17" ph="1">
        <v>1500</v>
      </c>
      <c r="W826" s="17" ph="1">
        <v>1500</v>
      </c>
    </row>
    <row r="827" spans="1:25" ht="22.5" customHeight="1" ph="1" x14ac:dyDescent="0.35">
      <c r="C827" s="13" t="s" ph="1">
        <v>5797</v>
      </c>
      <c r="G827" s="13" t="s" ph="1">
        <v>810</v>
      </c>
      <c r="H827" s="13" t="s" ph="1">
        <v>5804</v>
      </c>
      <c r="I827" s="13" t="s" ph="1">
        <v>2760</v>
      </c>
      <c r="M827" s="14" t="str" ph="1">
        <f>IFERROR(INDEX([1]!_born[生没年],
MATCH(I827,[1]!_born[作],0)),"")</f>
        <v/>
      </c>
      <c r="N827" s="14" t="str" ph="1">
        <f>IFERROR(INDEX([1]!_born[生没年],
MATCH(K827,[1]!_born[作],0)),"")</f>
        <v/>
      </c>
      <c r="O827" s="13" t="s" ph="1">
        <v>2761</v>
      </c>
      <c r="U827" s="16" ph="1">
        <v>38933</v>
      </c>
      <c r="W827" s="17" ph="1">
        <v>0</v>
      </c>
      <c r="X827" s="13" t="s" ph="1">
        <v>3907</v>
      </c>
      <c r="Y827" s="13" t="s" ph="1">
        <v>3640</v>
      </c>
    </row>
    <row r="828" spans="1:25" ht="22.5" customHeight="1" ph="1" x14ac:dyDescent="0.35">
      <c r="C828" s="13" t="s" ph="1">
        <v>599</v>
      </c>
      <c r="G828" s="13" t="s" ph="1">
        <v>810</v>
      </c>
      <c r="H828" s="13" t="s" ph="1">
        <v>5804</v>
      </c>
      <c r="I828" s="13" t="s" ph="1">
        <v>2863</v>
      </c>
      <c r="M828" s="14" t="str" ph="1">
        <f>IFERROR(INDEX([1]!_born[生没年],
MATCH(I828,[1]!_born[作],0)),"")</f>
        <v/>
      </c>
      <c r="N828" s="14" t="str" ph="1">
        <f>IFERROR(INDEX([1]!_born[生没年],
MATCH(K828,[1]!_born[作],0)),"")</f>
        <v/>
      </c>
      <c r="O828" s="13" t="s" ph="1">
        <v>2864</v>
      </c>
      <c r="U828" s="16" t="s" ph="1">
        <v>2865</v>
      </c>
      <c r="W828" s="17" ph="1">
        <v>0</v>
      </c>
      <c r="X828" s="13" t="s" ph="1">
        <v>5806</v>
      </c>
      <c r="Y828" s="13" t="s" ph="1">
        <v>3640</v>
      </c>
    </row>
    <row r="829" spans="1:25" ht="22.5" customHeight="1" ph="1" x14ac:dyDescent="0.35">
      <c r="C829" s="13" t="s" ph="1">
        <v>5796</v>
      </c>
      <c r="G829" s="13" t="s" ph="1">
        <v>746</v>
      </c>
      <c r="H829" s="13" t="s" ph="1">
        <v>3902</v>
      </c>
      <c r="I829" s="13" t="s" ph="1">
        <v>5807</v>
      </c>
      <c r="M829" s="14" t="str" ph="1">
        <f>IFERROR(INDEX([1]!_born[生没年],
MATCH(I829,[1]!_born[作],0)),"")</f>
        <v/>
      </c>
      <c r="N829" s="14" t="str" ph="1">
        <f>IFERROR(INDEX([1]!_born[生没年],
MATCH(K829,[1]!_born[作],0)),"")</f>
        <v/>
      </c>
      <c r="O829" s="13" t="s" ph="1">
        <v>5808</v>
      </c>
      <c r="R829" s="16" t="s" ph="1">
        <v>823</v>
      </c>
      <c r="T829" s="13" t="s" ph="1">
        <v>5809</v>
      </c>
      <c r="U829" s="16" ph="1">
        <v>36892</v>
      </c>
      <c r="V829" s="17" ph="1">
        <v>1200</v>
      </c>
      <c r="W829" s="17" ph="1">
        <v>0</v>
      </c>
      <c r="Y829" s="13" t="s" ph="1">
        <v>3640</v>
      </c>
    </row>
    <row r="830" spans="1:25" ht="22.5" customHeight="1" ph="1" x14ac:dyDescent="0.35">
      <c r="C830" s="13" t="s" ph="1">
        <v>5796</v>
      </c>
      <c r="G830" s="13" t="s" ph="1">
        <v>746</v>
      </c>
      <c r="H830" s="13" t="s" ph="1">
        <v>3902</v>
      </c>
      <c r="I830" s="13" t="s" ph="1">
        <v>5810</v>
      </c>
      <c r="M830" s="14" t="str" ph="1">
        <f>IFERROR(INDEX([1]!_born[生没年],
MATCH(I830,[1]!_born[作],0)),"")</f>
        <v/>
      </c>
      <c r="N830" s="14" t="str" ph="1">
        <f>IFERROR(INDEX([1]!_born[生没年],
MATCH(K830,[1]!_born[作],0)),"")</f>
        <v/>
      </c>
      <c r="O830" s="13" t="s" ph="1">
        <v>5811</v>
      </c>
      <c r="T830" s="13" t="s" ph="1">
        <v>3929</v>
      </c>
      <c r="U830" s="16" ph="1">
        <v>37556</v>
      </c>
      <c r="V830" s="17" ph="1">
        <v>2200</v>
      </c>
      <c r="W830" s="17" ph="1">
        <v>1500</v>
      </c>
      <c r="X830" s="13" t="s" ph="1">
        <v>5812</v>
      </c>
    </row>
    <row r="831" spans="1:25" ht="22.5" customHeight="1" ph="1" x14ac:dyDescent="0.35">
      <c r="C831" s="13" t="s" ph="1">
        <v>5796</v>
      </c>
      <c r="G831" s="13" t="s" ph="1">
        <v>746</v>
      </c>
      <c r="H831" s="13" t="s" ph="1">
        <v>3902</v>
      </c>
      <c r="I831" s="13" t="s" ph="1">
        <v>5813</v>
      </c>
      <c r="M831" s="14" t="str" ph="1">
        <f>IFERROR(INDEX([1]!_born[生没年],
MATCH(I831,[1]!_born[作],0)),"")</f>
        <v/>
      </c>
      <c r="N831" s="14" t="str" ph="1">
        <f>IFERROR(INDEX([1]!_born[生没年],
MATCH(K831,[1]!_born[作],0)),"")</f>
        <v/>
      </c>
      <c r="O831" s="13" t="s" ph="1">
        <v>5814</v>
      </c>
      <c r="R831" s="16" t="s" ph="1">
        <v>824</v>
      </c>
      <c r="T831" s="13" t="s" ph="1">
        <v>5815</v>
      </c>
      <c r="U831" s="16" ph="1">
        <v>37947</v>
      </c>
      <c r="V831" s="17" ph="1">
        <v>2000</v>
      </c>
      <c r="W831" s="17" ph="1">
        <v>2000</v>
      </c>
    </row>
    <row r="832" spans="1:25" ht="22.5" customHeight="1" ph="1" x14ac:dyDescent="0.35">
      <c r="C832" s="13" t="s" ph="1">
        <v>5796</v>
      </c>
      <c r="G832" s="13" t="s" ph="1">
        <v>746</v>
      </c>
      <c r="H832" s="13" t="s" ph="1">
        <v>3902</v>
      </c>
      <c r="I832" s="13" t="s" ph="1">
        <v>5816</v>
      </c>
      <c r="M832" s="14" t="str" ph="1">
        <f>IFERROR(INDEX([1]!_born[生没年],
MATCH(I832,[1]!_born[作],0)),"")</f>
        <v/>
      </c>
      <c r="N832" s="14" t="str" ph="1">
        <f>IFERROR(INDEX([1]!_born[生没年],
MATCH(K832,[1]!_born[作],0)),"")</f>
        <v/>
      </c>
      <c r="O832" s="13" t="s" ph="1">
        <v>5817</v>
      </c>
      <c r="R832" s="16" ph="1">
        <v>39873</v>
      </c>
      <c r="U832" s="16" ph="1">
        <v>37947</v>
      </c>
      <c r="V832" s="17" ph="1">
        <v>2000</v>
      </c>
      <c r="W832" s="17" ph="1">
        <v>0</v>
      </c>
      <c r="X832" s="13" t="s" ph="1">
        <v>3907</v>
      </c>
      <c r="Y832" s="13" t="s" ph="1">
        <v>5818</v>
      </c>
    </row>
    <row r="833" spans="1:25" ht="22.5" customHeight="1" ph="1" x14ac:dyDescent="0.35">
      <c r="C833" s="13" t="s" ph="1">
        <v>5819</v>
      </c>
      <c r="G833" s="13" t="s" ph="1">
        <v>746</v>
      </c>
      <c r="H833" s="13" t="s" ph="1">
        <v>3902</v>
      </c>
      <c r="I833" s="13" t="s" ph="1">
        <v>3003</v>
      </c>
      <c r="M833" s="14" t="str" ph="1">
        <f>IFERROR(INDEX([1]!_born[生没年],
MATCH(I833,[1]!_born[作],0)),"")</f>
        <v/>
      </c>
      <c r="N833" s="14" t="str" ph="1">
        <f>IFERROR(INDEX([1]!_born[生没年],
MATCH(K833,[1]!_born[作],0)),"")</f>
        <v/>
      </c>
      <c r="O833" s="13" t="s" ph="1">
        <v>3002</v>
      </c>
      <c r="R833" s="16" ph="1">
        <v>43393</v>
      </c>
      <c r="T833" s="13" t="s" ph="1">
        <v>5820</v>
      </c>
      <c r="U833" s="16" t="s" ph="1">
        <v>2990</v>
      </c>
      <c r="V833" s="17" t="s" ph="1">
        <v>1225</v>
      </c>
      <c r="W833" s="17" t="s" ph="1">
        <v>2999</v>
      </c>
      <c r="X833" s="13" t="s" ph="1">
        <v>5821</v>
      </c>
      <c r="Y833" s="13" t="s" ph="1">
        <v>5822</v>
      </c>
    </row>
    <row r="834" spans="1:25" ht="22.5" customHeight="1" ph="1" x14ac:dyDescent="0.35">
      <c r="C834" s="13" t="s" ph="1">
        <v>5819</v>
      </c>
      <c r="G834" s="13" t="s" ph="1">
        <v>746</v>
      </c>
      <c r="H834" s="13" t="s" ph="1">
        <v>3902</v>
      </c>
      <c r="I834" s="13" t="s" ph="1">
        <v>3002</v>
      </c>
      <c r="M834" s="14" t="str" ph="1">
        <f>IFERROR(INDEX([1]!_born[生没年],
MATCH(I834,[1]!_born[作],0)),"")</f>
        <v/>
      </c>
      <c r="N834" s="14" t="str" ph="1">
        <f>IFERROR(INDEX([1]!_born[生没年],
MATCH(K834,[1]!_born[作],0)),"")</f>
        <v/>
      </c>
      <c r="O834" s="13" t="s" ph="1">
        <v>3002</v>
      </c>
      <c r="R834" s="16" ph="1">
        <v>43393</v>
      </c>
      <c r="T834" s="13" t="s" ph="1">
        <v>5820</v>
      </c>
      <c r="U834" s="16" t="s" ph="1">
        <v>2990</v>
      </c>
      <c r="V834" s="17" t="s" ph="1">
        <v>1225</v>
      </c>
      <c r="W834" s="17" t="s" ph="1">
        <v>2999</v>
      </c>
      <c r="X834" s="13" t="s" ph="1">
        <v>5821</v>
      </c>
      <c r="Y834" s="13" t="s" ph="1">
        <v>5822</v>
      </c>
    </row>
    <row r="835" spans="1:25" ht="22.5" customHeight="1" ph="1" x14ac:dyDescent="0.35">
      <c r="C835" s="13" t="s" ph="1">
        <v>5819</v>
      </c>
      <c r="G835" s="13" t="s" ph="1">
        <v>746</v>
      </c>
      <c r="H835" s="13" t="s" ph="1">
        <v>3902</v>
      </c>
      <c r="I835" s="13" t="s" ph="1">
        <v>5823</v>
      </c>
      <c r="M835" s="14" t="str" ph="1">
        <f>IFERROR(INDEX([1]!_born[生没年],
MATCH(I835,[1]!_born[作],0)),"")</f>
        <v/>
      </c>
      <c r="N835" s="14" t="str" ph="1">
        <f>IFERROR(INDEX([1]!_born[生没年],
MATCH(K835,[1]!_born[作],0)),"")</f>
        <v/>
      </c>
      <c r="O835" s="13" t="s" ph="1">
        <v>5823</v>
      </c>
      <c r="R835" s="16" ph="1">
        <v>43444</v>
      </c>
      <c r="T835" s="13" t="s" ph="1">
        <v>5824</v>
      </c>
      <c r="U835" s="16" t="s" ph="1">
        <v>2990</v>
      </c>
      <c r="V835" s="17" t="s" ph="1">
        <v>1225</v>
      </c>
      <c r="W835" s="17" t="s" ph="1">
        <v>2999</v>
      </c>
      <c r="X835" s="13" t="s" ph="1">
        <v>5821</v>
      </c>
      <c r="Y835" s="13" t="s" ph="1">
        <v>5822</v>
      </c>
    </row>
    <row r="836" spans="1:25" ht="22.5" customHeight="1" ph="1" x14ac:dyDescent="0.35">
      <c r="A836" s="106" t="s" ph="1">
        <v>3000</v>
      </c>
      <c r="B836" s="5" t="s" ph="1">
        <v>3001</v>
      </c>
      <c r="C836" s="13" t="s" ph="1">
        <v>25</v>
      </c>
      <c r="G836" s="13" t="s" ph="1">
        <v>746</v>
      </c>
      <c r="H836" s="13" t="s" ph="1">
        <v>3902</v>
      </c>
      <c r="I836" s="13" t="s" ph="1">
        <v>5825</v>
      </c>
      <c r="M836" s="14" t="str" ph="1">
        <f>IFERROR(INDEX([1]!_born[生没年],
MATCH(I836,[1]!_born[作],0)),"")</f>
        <v/>
      </c>
      <c r="N836" s="14" t="str" ph="1">
        <f>IFERROR(INDEX([1]!_born[生没年],
MATCH(K836,[1]!_born[作],0)),"")</f>
        <v/>
      </c>
      <c r="O836" s="13" t="s" ph="1">
        <v>5826</v>
      </c>
      <c r="R836" s="16" ph="1">
        <v>43353</v>
      </c>
      <c r="T836" s="13" t="s" ph="1">
        <v>5827</v>
      </c>
      <c r="U836" s="16" t="s" ph="1">
        <v>2990</v>
      </c>
      <c r="V836" s="17" ph="1">
        <f>1300*1.08</f>
        <v>1404</v>
      </c>
      <c r="W836" s="17" t="s" ph="1">
        <v>2999</v>
      </c>
      <c r="X836" s="13" t="s" ph="1">
        <v>5821</v>
      </c>
      <c r="Y836" s="13" t="s" ph="1">
        <v>5822</v>
      </c>
    </row>
    <row r="837" spans="1:25" ht="22.5" customHeight="1" ph="1" x14ac:dyDescent="0.35">
      <c r="A837" s="106" t="s" ph="1">
        <v>2998</v>
      </c>
      <c r="B837" s="5" t="s" ph="1">
        <v>2997</v>
      </c>
      <c r="C837" s="13" t="s" ph="1">
        <v>5828</v>
      </c>
      <c r="G837" s="13" t="s" ph="1">
        <v>746</v>
      </c>
      <c r="H837" s="13" t="s" ph="1">
        <v>3902</v>
      </c>
      <c r="I837" s="13" t="s" ph="1">
        <v>5829</v>
      </c>
      <c r="J837" s="13" t="s" ph="1">
        <v>5830</v>
      </c>
      <c r="K837" s="13" t="s" ph="1">
        <v>5831</v>
      </c>
      <c r="L837" s="13" t="s" ph="1">
        <v>5832</v>
      </c>
      <c r="M837" s="14" t="str" ph="1">
        <f>IFERROR(INDEX([1]!_born[生没年],
MATCH(I837,[1]!_born[作],0)),"")</f>
        <v/>
      </c>
      <c r="N837" s="14" t="str" ph="1">
        <f>IFERROR(INDEX([1]!_born[生没年],
MATCH(K837,[1]!_born[作],0)),"")</f>
        <v/>
      </c>
      <c r="O837" s="13" t="s" ph="1">
        <v>5833</v>
      </c>
      <c r="R837" s="16" ph="1">
        <v>39639</v>
      </c>
      <c r="T837" s="13" t="s" ph="1">
        <v>5834</v>
      </c>
      <c r="U837" s="16" t="s" ph="1">
        <v>2990</v>
      </c>
      <c r="V837" s="17" ph="1">
        <f>752*1.05</f>
        <v>789.6</v>
      </c>
      <c r="W837" s="17" t="s" ph="1">
        <v>2999</v>
      </c>
      <c r="X837" s="13" t="s" ph="1">
        <v>5821</v>
      </c>
      <c r="Y837" s="13" t="s" ph="1">
        <v>5822</v>
      </c>
    </row>
    <row r="838" spans="1:25" ht="22.5" customHeight="1" ph="1" x14ac:dyDescent="0.35">
      <c r="A838" s="106" t="s" ph="1">
        <v>825</v>
      </c>
      <c r="B838" s="5" t="s" ph="1">
        <v>826</v>
      </c>
      <c r="C838" s="13" t="s" ph="1">
        <v>5796</v>
      </c>
      <c r="G838" s="13" t="s" ph="1">
        <v>810</v>
      </c>
      <c r="H838" s="13" t="s" ph="1">
        <v>5804</v>
      </c>
      <c r="I838" s="13" t="s" ph="1">
        <v>827</v>
      </c>
      <c r="M838" s="14" t="str" ph="1">
        <f>IFERROR(INDEX([1]!_born[生没年],
MATCH(I838,[1]!_born[作],0)),"")</f>
        <v/>
      </c>
      <c r="N838" s="14" t="str" ph="1">
        <f>IFERROR(INDEX([1]!_born[生没年],
MATCH(K838,[1]!_born[作],0)),"")</f>
        <v/>
      </c>
      <c r="O838" s="13" t="s" ph="1">
        <v>5835</v>
      </c>
      <c r="T838" s="13" t="s" ph="1">
        <v>5836</v>
      </c>
      <c r="U838" s="16" ph="1">
        <v>38409</v>
      </c>
      <c r="V838" s="17" ph="1">
        <f>1143*1.05</f>
        <v>1200.1500000000001</v>
      </c>
      <c r="W838" s="17" ph="1">
        <v>0</v>
      </c>
      <c r="X838" s="13" t="s" ph="1">
        <v>5837</v>
      </c>
      <c r="Y838" s="13" t="s" ph="1">
        <v>3640</v>
      </c>
    </row>
    <row r="839" spans="1:25" ht="22.5" customHeight="1" ph="1" x14ac:dyDescent="0.35">
      <c r="C839" s="13" t="s" ph="1">
        <v>391</v>
      </c>
      <c r="G839" s="13" t="s" ph="1">
        <v>1074</v>
      </c>
      <c r="H839" s="13" t="s" ph="1">
        <v>61</v>
      </c>
      <c r="I839" s="13" t="s" ph="1">
        <v>6186</v>
      </c>
      <c r="K839" s="13" t="s" ph="1">
        <v>6187</v>
      </c>
      <c r="L839" s="13" t="s" ph="1">
        <v>6188</v>
      </c>
      <c r="M839" s="14" t="str" ph="1">
        <f>IFERROR(INDEX([1]!_born[生没年],
MATCH(I839,[1]!_born[作],0)),"")</f>
        <v/>
      </c>
      <c r="N839" s="14" t="str" ph="1">
        <f>IFERROR(INDEX([1]!_born[生没年],
MATCH(K839,[1]!_born[作],0)),"")</f>
        <v/>
      </c>
      <c r="O839" s="13" t="s" ph="1">
        <v>6189</v>
      </c>
      <c r="R839" s="16" ph="1">
        <v>44806</v>
      </c>
      <c r="T839" s="13" t="s" ph="1">
        <v>6190</v>
      </c>
      <c r="U839" s="16" ph="1">
        <v>44810</v>
      </c>
      <c r="V839" s="17" ph="1">
        <v>800</v>
      </c>
      <c r="W839" s="17" ph="1">
        <v>800</v>
      </c>
      <c r="X839" s="13" t="s" ph="1">
        <v>6191</v>
      </c>
    </row>
    <row r="840" spans="1:25" ht="22.5" customHeight="1" ph="1" x14ac:dyDescent="0.35">
      <c r="C840" s="13" t="s" ph="1">
        <v>6162</v>
      </c>
      <c r="G840" s="13" t="s" ph="1">
        <v>1074</v>
      </c>
      <c r="H840" s="13" t="s" ph="1">
        <v>61</v>
      </c>
      <c r="I840" s="13" t="s" ph="1">
        <v>6186</v>
      </c>
      <c r="M840" s="14" t="str" ph="1">
        <f>IFERROR(INDEX([1]!_born[生没年],
MATCH(I840,[1]!_born[作],0)),"")</f>
        <v/>
      </c>
      <c r="N840" s="14" t="str" ph="1">
        <f>IFERROR(INDEX([1]!_born[生没年],
MATCH(K840,[1]!_born[作],0)),"")</f>
        <v/>
      </c>
      <c r="O840" s="13" t="s" ph="1">
        <v>10187</v>
      </c>
      <c r="R840" s="16" ph="1">
        <v>43322</v>
      </c>
      <c r="S840" s="13" t="s" ph="1">
        <v>10188</v>
      </c>
      <c r="T840" s="13" t="s" ph="1">
        <v>10189</v>
      </c>
      <c r="U840" s="16" ph="1">
        <v>45569</v>
      </c>
      <c r="V840" s="17" ph="1">
        <v>1000</v>
      </c>
      <c r="W840" s="17" ph="1">
        <v>1000</v>
      </c>
      <c r="X840" s="13" t="s" ph="1">
        <v>10190</v>
      </c>
    </row>
    <row r="841" spans="1:25" ht="22.5" customHeight="1" ph="1" x14ac:dyDescent="0.35">
      <c r="C841" s="13" t="s" ph="1">
        <v>391</v>
      </c>
      <c r="G841" s="13" t="s" ph="1">
        <v>1074</v>
      </c>
      <c r="H841" s="13" t="s" ph="1">
        <v>61</v>
      </c>
      <c r="I841" s="13" t="s" ph="1">
        <v>6192</v>
      </c>
      <c r="M841" s="14" t="str" ph="1">
        <f>IFERROR(INDEX([1]!_born[生没年],
MATCH(I841,[1]!_born[作],0)),"")</f>
        <v/>
      </c>
      <c r="N841" s="14" t="str" ph="1">
        <f>IFERROR(INDEX([1]!_born[生没年],
MATCH(K841,[1]!_born[作],0)),"")</f>
        <v/>
      </c>
      <c r="O841" s="13" t="s" ph="1">
        <v>6193</v>
      </c>
      <c r="R841" s="16" ph="1">
        <v>44758</v>
      </c>
      <c r="T841" s="13" t="s" ph="1">
        <v>6194</v>
      </c>
      <c r="U841" s="16" ph="1">
        <v>44806</v>
      </c>
      <c r="V841" s="17" ph="1">
        <v>0</v>
      </c>
      <c r="W841" s="17" ph="1">
        <v>0</v>
      </c>
      <c r="X841" s="13" t="s" ph="1">
        <v>6179</v>
      </c>
    </row>
    <row r="842" spans="1:25" ht="22.5" customHeight="1" ph="1" x14ac:dyDescent="0.35">
      <c r="C842" s="13" t="s" ph="1">
        <v>5797</v>
      </c>
      <c r="G842" s="13" t="s" ph="1">
        <v>746</v>
      </c>
      <c r="H842" s="13" t="s" ph="1">
        <v>5798</v>
      </c>
      <c r="I842" s="13" t="s" ph="1">
        <v>828</v>
      </c>
      <c r="M842" s="14" t="str" ph="1">
        <f>IFERROR(INDEX([1]!_born[生没年],
MATCH(I842,[1]!_born[作],0)),"")</f>
        <v/>
      </c>
      <c r="N842" s="14" t="str" ph="1">
        <f>IFERROR(INDEX([1]!_born[生没年],
MATCH(K842,[1]!_born[作],0)),"")</f>
        <v/>
      </c>
      <c r="O842" s="13" t="s" ph="1">
        <v>829</v>
      </c>
      <c r="R842" s="16" t="s" ph="1">
        <v>830</v>
      </c>
      <c r="S842" s="16" ph="1"/>
      <c r="U842" s="16" t="s" ph="1">
        <v>831</v>
      </c>
      <c r="W842" s="17" ph="1">
        <v>0</v>
      </c>
      <c r="X842" s="13" t="s" ph="1">
        <v>5838</v>
      </c>
    </row>
    <row r="843" spans="1:25" ht="22.5" customHeight="1" ph="1" x14ac:dyDescent="0.35">
      <c r="C843" s="13" t="s" ph="1">
        <v>5797</v>
      </c>
      <c r="G843" s="13" t="s" ph="1">
        <v>746</v>
      </c>
      <c r="H843" s="13" t="s" ph="1">
        <v>5798</v>
      </c>
      <c r="I843" s="13" t="s" ph="1">
        <v>828</v>
      </c>
      <c r="M843" s="14" t="str" ph="1">
        <f>IFERROR(INDEX([1]!_born[生没年],
MATCH(I843,[1]!_born[作],0)),"")</f>
        <v/>
      </c>
      <c r="N843" s="14" t="str" ph="1">
        <f>IFERROR(INDEX([1]!_born[生没年],
MATCH(K843,[1]!_born[作],0)),"")</f>
        <v/>
      </c>
      <c r="O843" s="13" t="s" ph="1">
        <v>832</v>
      </c>
      <c r="R843" s="16" t="s" ph="1">
        <v>833</v>
      </c>
      <c r="S843" s="16" ph="1"/>
      <c r="U843" s="16" t="s" ph="1">
        <v>834</v>
      </c>
      <c r="W843" s="17" ph="1">
        <v>0</v>
      </c>
      <c r="X843" s="13" t="s" ph="1">
        <v>5838</v>
      </c>
    </row>
    <row r="844" spans="1:25" ht="22.5" customHeight="1" ph="1" x14ac:dyDescent="0.35">
      <c r="C844" s="13" t="s" ph="1">
        <v>5797</v>
      </c>
      <c r="G844" s="13" t="s" ph="1">
        <v>746</v>
      </c>
      <c r="H844" s="13" t="s" ph="1">
        <v>5798</v>
      </c>
      <c r="I844" s="13" t="s" ph="1">
        <v>828</v>
      </c>
      <c r="M844" s="14" t="str" ph="1">
        <f>IFERROR(INDEX([1]!_born[生没年],
MATCH(I844,[1]!_born[作],0)),"")</f>
        <v/>
      </c>
      <c r="N844" s="14" t="str" ph="1">
        <f>IFERROR(INDEX([1]!_born[生没年],
MATCH(K844,[1]!_born[作],0)),"")</f>
        <v/>
      </c>
      <c r="O844" s="13" t="s" ph="1">
        <v>835</v>
      </c>
      <c r="R844" s="16" t="s" ph="1">
        <v>836</v>
      </c>
      <c r="S844" s="16" ph="1"/>
      <c r="U844" s="16" ph="1">
        <v>38948</v>
      </c>
      <c r="W844" s="17" ph="1">
        <v>0</v>
      </c>
      <c r="X844" s="13" t="s" ph="1">
        <v>5838</v>
      </c>
    </row>
    <row r="845" spans="1:25" ht="22.5" customHeight="1" ph="1" x14ac:dyDescent="0.35">
      <c r="C845" s="13" t="s" ph="1">
        <v>5797</v>
      </c>
      <c r="G845" s="13" t="s" ph="1">
        <v>746</v>
      </c>
      <c r="H845" s="13" t="s" ph="1">
        <v>5798</v>
      </c>
      <c r="I845" s="13" t="s" ph="1">
        <v>828</v>
      </c>
      <c r="M845" s="14" t="str" ph="1">
        <f>IFERROR(INDEX([1]!_born[生没年],
MATCH(I845,[1]!_born[作],0)),"")</f>
        <v/>
      </c>
      <c r="N845" s="14" t="str" ph="1">
        <f>IFERROR(INDEX([1]!_born[生没年],
MATCH(K845,[1]!_born[作],0)),"")</f>
        <v/>
      </c>
      <c r="O845" s="13" t="s" ph="1">
        <v>837</v>
      </c>
      <c r="R845" s="16" t="s" ph="1">
        <v>838</v>
      </c>
      <c r="S845" s="16" ph="1"/>
      <c r="U845" s="16" t="s" ph="1">
        <v>839</v>
      </c>
      <c r="W845" s="17" ph="1">
        <v>0</v>
      </c>
      <c r="X845" s="13" t="s" ph="1">
        <v>5838</v>
      </c>
    </row>
    <row r="846" spans="1:25" ht="22.5" customHeight="1" ph="1" x14ac:dyDescent="0.35">
      <c r="C846" s="13" t="s" ph="1">
        <v>5797</v>
      </c>
      <c r="G846" s="13" t="s" ph="1">
        <v>746</v>
      </c>
      <c r="H846" s="13" t="s" ph="1">
        <v>5798</v>
      </c>
      <c r="I846" s="13" t="s" ph="1">
        <v>828</v>
      </c>
      <c r="M846" s="14" t="str" ph="1">
        <f>IFERROR(INDEX([1]!_born[生没年],
MATCH(I846,[1]!_born[作],0)),"")</f>
        <v/>
      </c>
      <c r="N846" s="14" t="str" ph="1">
        <f>IFERROR(INDEX([1]!_born[生没年],
MATCH(K846,[1]!_born[作],0)),"")</f>
        <v/>
      </c>
      <c r="O846" s="13" t="s" ph="1">
        <v>5839</v>
      </c>
      <c r="R846" s="16" t="s" ph="1">
        <v>840</v>
      </c>
      <c r="S846" s="16" ph="1"/>
      <c r="T846" s="13" t="s" ph="1">
        <v>5840</v>
      </c>
      <c r="U846" s="16" t="s" ph="1">
        <v>841</v>
      </c>
      <c r="W846" s="17" ph="1">
        <v>0</v>
      </c>
      <c r="X846" s="13" t="s" ph="1">
        <v>5838</v>
      </c>
    </row>
    <row r="847" spans="1:25" ht="22.5" customHeight="1" ph="1" x14ac:dyDescent="0.35">
      <c r="C847" s="13" t="s" ph="1">
        <v>5797</v>
      </c>
      <c r="G847" s="13" t="s" ph="1">
        <v>746</v>
      </c>
      <c r="H847" s="13" t="s" ph="1">
        <v>5798</v>
      </c>
      <c r="I847" s="13" t="s" ph="1">
        <v>828</v>
      </c>
      <c r="M847" s="14" t="str" ph="1">
        <f>IFERROR(INDEX([1]!_born[生没年],
MATCH(I847,[1]!_born[作],0)),"")</f>
        <v/>
      </c>
      <c r="N847" s="14" t="str" ph="1">
        <f>IFERROR(INDEX([1]!_born[生没年],
MATCH(K847,[1]!_born[作],0)),"")</f>
        <v/>
      </c>
      <c r="O847" s="13" t="s" ph="1">
        <v>842</v>
      </c>
      <c r="R847" s="16" t="s" ph="1">
        <v>843</v>
      </c>
      <c r="S847" s="16" ph="1"/>
      <c r="T847" s="13" t="s" ph="1">
        <v>844</v>
      </c>
      <c r="U847" s="16" t="s" ph="1">
        <v>845</v>
      </c>
      <c r="W847" s="17" ph="1">
        <v>0</v>
      </c>
      <c r="X847" s="13" t="s" ph="1">
        <v>5838</v>
      </c>
    </row>
    <row r="848" spans="1:25" ht="22.5" customHeight="1" ph="1" x14ac:dyDescent="0.35">
      <c r="C848" s="13" t="s" ph="1">
        <v>5797</v>
      </c>
      <c r="G848" s="13" t="s" ph="1">
        <v>746</v>
      </c>
      <c r="H848" s="13" t="s" ph="1">
        <v>5798</v>
      </c>
      <c r="I848" s="13" t="s" ph="1">
        <v>828</v>
      </c>
      <c r="M848" s="14" t="str" ph="1">
        <f>IFERROR(INDEX([1]!_born[生没年],
MATCH(I848,[1]!_born[作],0)),"")</f>
        <v/>
      </c>
      <c r="N848" s="14" t="str" ph="1">
        <f>IFERROR(INDEX([1]!_born[生没年],
MATCH(K848,[1]!_born[作],0)),"")</f>
        <v/>
      </c>
      <c r="O848" s="13" t="s" ph="1">
        <v>5841</v>
      </c>
      <c r="R848" s="16" t="s" ph="1">
        <v>846</v>
      </c>
      <c r="S848" s="16" ph="1"/>
      <c r="U848" s="16" t="s" ph="1">
        <v>841</v>
      </c>
      <c r="W848" s="17" ph="1">
        <v>0</v>
      </c>
      <c r="X848" s="13" t="s" ph="1">
        <v>5838</v>
      </c>
    </row>
    <row r="849" spans="1:25" ht="22.5" customHeight="1" ph="1" x14ac:dyDescent="0.35">
      <c r="C849" s="13" t="s" ph="1">
        <v>5797</v>
      </c>
      <c r="G849" s="13" t="s" ph="1">
        <v>746</v>
      </c>
      <c r="H849" s="13" t="s" ph="1">
        <v>5798</v>
      </c>
      <c r="I849" s="13" t="s" ph="1">
        <v>828</v>
      </c>
      <c r="M849" s="14" t="str" ph="1">
        <f>IFERROR(INDEX([1]!_born[生没年],
MATCH(I849,[1]!_born[作],0)),"")</f>
        <v/>
      </c>
      <c r="N849" s="14" t="str" ph="1">
        <f>IFERROR(INDEX([1]!_born[生没年],
MATCH(K849,[1]!_born[作],0)),"")</f>
        <v/>
      </c>
      <c r="O849" s="13" t="s" ph="1">
        <v>847</v>
      </c>
      <c r="R849" s="16" t="s" ph="1">
        <v>848</v>
      </c>
      <c r="S849" s="16" ph="1"/>
      <c r="U849" s="16" t="s" ph="1">
        <v>849</v>
      </c>
      <c r="W849" s="17" ph="1">
        <v>0</v>
      </c>
      <c r="X849" s="13" t="s" ph="1">
        <v>5838</v>
      </c>
    </row>
    <row r="850" spans="1:25" ht="22.5" customHeight="1" ph="1" x14ac:dyDescent="0.35">
      <c r="C850" s="13" t="s" ph="1">
        <v>599</v>
      </c>
      <c r="G850" s="13" t="s" ph="1">
        <v>746</v>
      </c>
      <c r="H850" s="13" t="s" ph="1">
        <v>5798</v>
      </c>
      <c r="I850" s="13" t="s" ph="1">
        <v>850</v>
      </c>
      <c r="M850" s="14" t="str" ph="1">
        <f>IFERROR(INDEX([1]!_born[生没年],
MATCH(I850,[1]!_born[作],0)),"")</f>
        <v/>
      </c>
      <c r="N850" s="14" t="str" ph="1">
        <f>IFERROR(INDEX([1]!_born[生没年],
MATCH(K850,[1]!_born[作],0)),"")</f>
        <v/>
      </c>
      <c r="O850" s="13" t="s" ph="1">
        <v>851</v>
      </c>
      <c r="R850" s="16" t="s" ph="1">
        <v>852</v>
      </c>
      <c r="S850" s="16" ph="1"/>
      <c r="T850" s="13" t="s" ph="1">
        <v>853</v>
      </c>
      <c r="U850" s="16" t="s" ph="1">
        <v>849</v>
      </c>
      <c r="W850" s="17" ph="1">
        <v>0</v>
      </c>
      <c r="X850" s="13" t="s" ph="1">
        <v>4423</v>
      </c>
    </row>
    <row r="851" spans="1:25" ht="22.5" customHeight="1" ph="1" x14ac:dyDescent="0.35">
      <c r="C851" s="13" t="s" ph="1">
        <v>599</v>
      </c>
      <c r="G851" s="13" t="s" ph="1">
        <v>746</v>
      </c>
      <c r="H851" s="13" t="s" ph="1">
        <v>5798</v>
      </c>
      <c r="I851" s="13" t="s" ph="1">
        <v>5842</v>
      </c>
      <c r="M851" s="14" t="str" ph="1">
        <f>IFERROR(INDEX([1]!_born[生没年],
MATCH(I851,[1]!_born[作],0)),"")</f>
        <v/>
      </c>
      <c r="N851" s="14" t="str" ph="1">
        <f>IFERROR(INDEX([1]!_born[生没年],
MATCH(K851,[1]!_born[作],0)),"")</f>
        <v/>
      </c>
      <c r="O851" s="13" t="s" ph="1">
        <v>5842</v>
      </c>
      <c r="R851" s="16" t="s" ph="1">
        <v>854</v>
      </c>
      <c r="S851" s="16" ph="1"/>
      <c r="U851" s="16" t="s" ph="1">
        <v>849</v>
      </c>
      <c r="W851" s="17" ph="1">
        <v>0</v>
      </c>
      <c r="X851" s="13" t="s" ph="1">
        <v>4423</v>
      </c>
    </row>
    <row r="852" spans="1:25" ht="22.5" customHeight="1" ph="1" x14ac:dyDescent="0.35">
      <c r="C852" s="13" t="s" ph="1">
        <v>599</v>
      </c>
      <c r="G852" s="13" t="s" ph="1">
        <v>746</v>
      </c>
      <c r="H852" s="13" t="s" ph="1">
        <v>5798</v>
      </c>
      <c r="I852" s="13" t="s" ph="1">
        <v>855</v>
      </c>
      <c r="M852" s="14" t="str" ph="1">
        <f>IFERROR(INDEX([1]!_born[生没年],
MATCH(I852,[1]!_born[作],0)),"")</f>
        <v/>
      </c>
      <c r="N852" s="14" t="str" ph="1">
        <f>IFERROR(INDEX([1]!_born[生没年],
MATCH(K852,[1]!_born[作],0)),"")</f>
        <v/>
      </c>
      <c r="O852" s="13" t="s" ph="1">
        <v>856</v>
      </c>
      <c r="R852" s="16" ph="1">
        <v>39569</v>
      </c>
      <c r="S852" s="16" t="s" ph="1">
        <v>857</v>
      </c>
      <c r="T852" s="24" t="s" ph="1">
        <v>858</v>
      </c>
      <c r="U852" s="16" t="s" ph="1">
        <v>849</v>
      </c>
      <c r="W852" s="17" ph="1">
        <v>0</v>
      </c>
      <c r="X852" s="13" t="s" ph="1">
        <v>4423</v>
      </c>
    </row>
    <row r="853" spans="1:25" ht="22.5" customHeight="1" ph="1" x14ac:dyDescent="0.35">
      <c r="C853" s="13" t="s" ph="1">
        <v>5797</v>
      </c>
      <c r="G853" s="13" t="s" ph="1">
        <v>746</v>
      </c>
      <c r="H853" s="13" t="s" ph="1">
        <v>5798</v>
      </c>
      <c r="I853" s="13" t="s" ph="1">
        <v>828</v>
      </c>
      <c r="M853" s="14" t="str" ph="1">
        <f>IFERROR(INDEX([1]!_born[生没年],
MATCH(I853,[1]!_born[作],0)),"")</f>
        <v/>
      </c>
      <c r="N853" s="14" t="str" ph="1">
        <f>IFERROR(INDEX([1]!_born[生没年],
MATCH(K853,[1]!_born[作],0)),"")</f>
        <v/>
      </c>
      <c r="O853" s="13" t="s" ph="1">
        <v>5843</v>
      </c>
      <c r="R853" s="16" t="s" ph="1">
        <v>859</v>
      </c>
      <c r="S853" s="16" ph="1"/>
      <c r="T853" s="13" t="s" ph="1">
        <v>860</v>
      </c>
      <c r="U853" s="16" t="s" ph="1">
        <v>861</v>
      </c>
      <c r="W853" s="17" ph="1">
        <v>0</v>
      </c>
      <c r="X853" s="13" t="s" ph="1">
        <v>5838</v>
      </c>
    </row>
    <row r="854" spans="1:25" ht="22.5" customHeight="1" ph="1" x14ac:dyDescent="0.35">
      <c r="C854" s="13" t="s" ph="1">
        <v>5797</v>
      </c>
      <c r="G854" s="13" t="s" ph="1">
        <v>746</v>
      </c>
      <c r="H854" s="13" t="s" ph="1">
        <v>5798</v>
      </c>
      <c r="I854" s="13" t="s" ph="1">
        <v>5844</v>
      </c>
      <c r="K854" s="13" t="s" ph="1">
        <v>5845</v>
      </c>
      <c r="L854" s="13" t="s" ph="1">
        <v>862</v>
      </c>
      <c r="M854" s="14" t="str" ph="1">
        <f>IFERROR(INDEX([1]!_born[生没年],
MATCH(I854,[1]!_born[作],0)),"")</f>
        <v/>
      </c>
      <c r="N854" s="14" t="str" ph="1">
        <f>IFERROR(INDEX([1]!_born[生没年],
MATCH(K854,[1]!_born[作],0)),"")</f>
        <v/>
      </c>
      <c r="O854" s="13" t="s" ph="1">
        <v>5846</v>
      </c>
      <c r="R854" s="16" t="s" ph="1">
        <v>863</v>
      </c>
      <c r="S854" s="16" t="s" ph="1">
        <v>5847</v>
      </c>
      <c r="T854" s="13" t="s" ph="1">
        <v>5848</v>
      </c>
      <c r="U854" s="16" t="s" ph="1">
        <v>864</v>
      </c>
      <c r="W854" s="17" ph="1">
        <v>0</v>
      </c>
      <c r="X854" s="13" t="s" ph="1">
        <v>5838</v>
      </c>
    </row>
    <row r="855" spans="1:25" ht="22.5" customHeight="1" ph="1" x14ac:dyDescent="0.35">
      <c r="C855" s="13" t="s" ph="1">
        <v>5797</v>
      </c>
      <c r="G855" s="13" t="s" ph="1">
        <v>746</v>
      </c>
      <c r="H855" s="13" t="s" ph="1">
        <v>5798</v>
      </c>
      <c r="I855" s="13" t="s" ph="1">
        <v>5849</v>
      </c>
      <c r="M855" s="14" t="str" ph="1">
        <f>IFERROR(INDEX([1]!_born[生没年],
MATCH(I855,[1]!_born[作],0)),"")</f>
        <v/>
      </c>
      <c r="N855" s="14" t="str" ph="1">
        <f>IFERROR(INDEX([1]!_born[生没年],
MATCH(K855,[1]!_born[作],0)),"")</f>
        <v/>
      </c>
      <c r="O855" s="13" t="s" ph="1">
        <v>865</v>
      </c>
      <c r="R855" s="16" t="s" ph="1">
        <v>866</v>
      </c>
      <c r="S855" s="16" ph="1"/>
      <c r="T855" s="13" t="s" ph="1">
        <v>867</v>
      </c>
      <c r="U855" s="16" t="s" ph="1">
        <v>866</v>
      </c>
      <c r="W855" s="17" ph="1">
        <v>0</v>
      </c>
      <c r="X855" s="13" t="s" ph="1">
        <v>5838</v>
      </c>
    </row>
    <row r="856" spans="1:25" ht="22.5" customHeight="1" ph="1" x14ac:dyDescent="0.35">
      <c r="C856" s="13" t="s" ph="1">
        <v>5797</v>
      </c>
      <c r="G856" s="13" t="s" ph="1">
        <v>746</v>
      </c>
      <c r="H856" s="13" t="s" ph="1">
        <v>5798</v>
      </c>
      <c r="I856" s="13" t="s" ph="1">
        <v>5849</v>
      </c>
      <c r="M856" s="14" t="str" ph="1">
        <f>IFERROR(INDEX([1]!_born[生没年],
MATCH(I856,[1]!_born[作],0)),"")</f>
        <v/>
      </c>
      <c r="N856" s="14" t="str" ph="1">
        <f>IFERROR(INDEX([1]!_born[生没年],
MATCH(K856,[1]!_born[作],0)),"")</f>
        <v/>
      </c>
      <c r="O856" s="13" t="s" ph="1">
        <v>868</v>
      </c>
      <c r="R856" s="16" t="s" ph="1">
        <v>869</v>
      </c>
      <c r="S856" s="16" ph="1"/>
      <c r="T856" s="13" t="s" ph="1">
        <v>867</v>
      </c>
      <c r="U856" s="16" t="s" ph="1">
        <v>869</v>
      </c>
      <c r="W856" s="17" ph="1">
        <v>0</v>
      </c>
      <c r="X856" s="13" t="s" ph="1">
        <v>5838</v>
      </c>
    </row>
    <row r="857" spans="1:25" ht="22.5" customHeight="1" ph="1" x14ac:dyDescent="0.35">
      <c r="C857" s="13" t="s" ph="1">
        <v>5797</v>
      </c>
      <c r="G857" s="13" t="s" ph="1">
        <v>746</v>
      </c>
      <c r="H857" s="13" t="s" ph="1">
        <v>5798</v>
      </c>
      <c r="I857" s="13" t="s" ph="1">
        <v>5850</v>
      </c>
      <c r="M857" s="14" t="str" ph="1">
        <f>IFERROR(INDEX([1]!_born[生没年],
MATCH(I857,[1]!_born[作],0)),"")</f>
        <v/>
      </c>
      <c r="N857" s="14" t="str" ph="1">
        <f>IFERROR(INDEX([1]!_born[生没年],
MATCH(K857,[1]!_born[作],0)),"")</f>
        <v/>
      </c>
      <c r="O857" s="13" t="s" ph="1">
        <v>5851</v>
      </c>
      <c r="U857" s="16" t="s" ph="1">
        <v>870</v>
      </c>
      <c r="W857" s="17" ph="1">
        <v>0</v>
      </c>
      <c r="X857" s="13" t="s" ph="1">
        <v>5838</v>
      </c>
    </row>
    <row r="858" spans="1:25" ht="22.5" customHeight="1" ph="1" x14ac:dyDescent="0.35">
      <c r="A858" s="106" t="s" ph="1">
        <v>871</v>
      </c>
      <c r="C858" s="13" t="s" ph="1">
        <v>5796</v>
      </c>
      <c r="G858" s="13" t="s" ph="1">
        <v>3939</v>
      </c>
      <c r="H858" s="13" t="s" ph="1">
        <v>709</v>
      </c>
      <c r="M858" s="14" t="str" ph="1">
        <f>IFERROR(INDEX([1]!_born[生没年],
MATCH(I858,[1]!_born[作],0)),"")</f>
        <v/>
      </c>
      <c r="N858" s="14" t="str" ph="1">
        <f>IFERROR(INDEX([1]!_born[生没年],
MATCH(K858,[1]!_born[作],0)),"")</f>
        <v/>
      </c>
      <c r="O858" s="13" t="s" ph="1">
        <v>5852</v>
      </c>
      <c r="R858" s="16" t="s" ph="1">
        <v>872</v>
      </c>
      <c r="U858" s="16" t="s" ph="1">
        <v>873</v>
      </c>
      <c r="V858" s="17" t="s" ph="1">
        <v>874</v>
      </c>
      <c r="X858" s="13" t="s" ph="1">
        <v>5853</v>
      </c>
    </row>
    <row r="859" spans="1:25" ht="22.5" customHeight="1" ph="1" x14ac:dyDescent="0.35">
      <c r="C859" s="13" t="s" ph="1">
        <v>5796</v>
      </c>
      <c r="G859" s="13" t="s" ph="1">
        <v>3939</v>
      </c>
      <c r="H859" s="13" t="s" ph="1">
        <v>709</v>
      </c>
      <c r="M859" s="14" t="str" ph="1">
        <f>IFERROR(INDEX([1]!_born[生没年],
MATCH(I859,[1]!_born[作],0)),"")</f>
        <v/>
      </c>
      <c r="N859" s="14" t="str" ph="1">
        <f>IFERROR(INDEX([1]!_born[生没年],
MATCH(K859,[1]!_born[作],0)),"")</f>
        <v/>
      </c>
      <c r="O859" s="13" t="s" ph="1">
        <v>875</v>
      </c>
      <c r="T859" s="24" t="s" ph="1">
        <v>876</v>
      </c>
      <c r="U859" s="16" t="s" ph="1">
        <v>873</v>
      </c>
      <c r="X859" s="13" t="s" ph="1">
        <v>5853</v>
      </c>
    </row>
    <row r="860" spans="1:25" ht="22.5" customHeight="1" ph="1" x14ac:dyDescent="0.35">
      <c r="C860" s="13" t="s" ph="1">
        <v>5797</v>
      </c>
      <c r="G860" s="13" t="s" ph="1">
        <v>746</v>
      </c>
      <c r="H860" s="13" t="s" ph="1">
        <v>5798</v>
      </c>
      <c r="M860" s="14" t="str" ph="1">
        <f>IFERROR(INDEX([1]!_born[生没年],
MATCH(I860,[1]!_born[作],0)),"")</f>
        <v/>
      </c>
      <c r="N860" s="14" t="str" ph="1">
        <f>IFERROR(INDEX([1]!_born[生没年],
MATCH(K860,[1]!_born[作],0)),"")</f>
        <v/>
      </c>
      <c r="O860" s="13" t="s" ph="1">
        <v>877</v>
      </c>
      <c r="U860" s="16" t="s" ph="1">
        <v>873</v>
      </c>
      <c r="W860" s="17" ph="1">
        <v>0</v>
      </c>
      <c r="X860" s="13" t="s" ph="1">
        <v>5853</v>
      </c>
    </row>
    <row r="861" spans="1:25" ht="22.5" customHeight="1" ph="1" x14ac:dyDescent="0.35">
      <c r="C861" s="13" t="s" ph="1">
        <v>5854</v>
      </c>
      <c r="G861" s="13" t="s" ph="1">
        <v>746</v>
      </c>
      <c r="H861" s="13" t="s" ph="1">
        <v>5798</v>
      </c>
      <c r="M861" s="14" t="str" ph="1">
        <f>IFERROR(INDEX([1]!_born[生没年],
MATCH(I861,[1]!_born[作],0)),"")</f>
        <v/>
      </c>
      <c r="N861" s="14" t="str" ph="1">
        <f>IFERROR(INDEX([1]!_born[生没年],
MATCH(K861,[1]!_born[作],0)),"")</f>
        <v/>
      </c>
      <c r="U861" s="16" t="s" ph="1">
        <v>873</v>
      </c>
      <c r="W861" s="17" ph="1">
        <v>0</v>
      </c>
      <c r="X861" s="13" t="s" ph="1">
        <v>5853</v>
      </c>
      <c r="Y861" s="13" t="s" ph="1">
        <v>5855</v>
      </c>
    </row>
    <row r="862" spans="1:25" ht="22.5" customHeight="1" ph="1" x14ac:dyDescent="0.35">
      <c r="C862" s="13" t="s" ph="1">
        <v>5797</v>
      </c>
      <c r="G862" s="13" t="s" ph="1">
        <v>746</v>
      </c>
      <c r="H862" s="13" t="s" ph="1">
        <v>5798</v>
      </c>
      <c r="I862" s="13" t="s" ph="1">
        <v>878</v>
      </c>
      <c r="M862" s="14" t="str" ph="1">
        <f>IFERROR(INDEX([1]!_born[生没年],
MATCH(I862,[1]!_born[作],0)),"")</f>
        <v/>
      </c>
      <c r="N862" s="14" t="str" ph="1">
        <f>IFERROR(INDEX([1]!_born[生没年],
MATCH(K862,[1]!_born[作],0)),"")</f>
        <v/>
      </c>
      <c r="O862" s="13" t="s" ph="1">
        <v>879</v>
      </c>
      <c r="U862" s="16" t="s" ph="1">
        <v>873</v>
      </c>
      <c r="W862" s="17" ph="1">
        <v>0</v>
      </c>
      <c r="X862" s="13" t="s" ph="1">
        <v>5853</v>
      </c>
    </row>
    <row r="863" spans="1:25" ht="22.5" customHeight="1" ph="1" x14ac:dyDescent="0.35">
      <c r="C863" s="13" t="s" ph="1">
        <v>5797</v>
      </c>
      <c r="G863" s="13" t="s" ph="1">
        <v>746</v>
      </c>
      <c r="H863" s="13" t="s" ph="1">
        <v>5798</v>
      </c>
      <c r="I863" s="13" t="s" ph="1">
        <v>878</v>
      </c>
      <c r="M863" s="14" t="str" ph="1">
        <f>IFERROR(INDEX([1]!_born[生没年],
MATCH(I863,[1]!_born[作],0)),"")</f>
        <v/>
      </c>
      <c r="N863" s="14" t="str" ph="1">
        <f>IFERROR(INDEX([1]!_born[生没年],
MATCH(K863,[1]!_born[作],0)),"")</f>
        <v/>
      </c>
      <c r="O863" s="13" t="s" ph="1">
        <v>880</v>
      </c>
      <c r="T863" s="24" t="s" ph="1">
        <v>881</v>
      </c>
      <c r="U863" s="16" t="s" ph="1">
        <v>873</v>
      </c>
      <c r="W863" s="17" ph="1">
        <v>0</v>
      </c>
      <c r="X863" s="13" t="s" ph="1">
        <v>5853</v>
      </c>
    </row>
    <row r="864" spans="1:25" ht="22.5" customHeight="1" ph="1" x14ac:dyDescent="0.35">
      <c r="C864" s="13" t="s" ph="1">
        <v>5796</v>
      </c>
      <c r="G864" s="13" t="s" ph="1">
        <v>746</v>
      </c>
      <c r="H864" s="13" t="s" ph="1">
        <v>5798</v>
      </c>
      <c r="I864" s="13" t="s" ph="1">
        <v>828</v>
      </c>
      <c r="M864" s="14" t="str" ph="1">
        <f>IFERROR(INDEX([1]!_born[生没年],
MATCH(I864,[1]!_born[作],0)),"")</f>
        <v/>
      </c>
      <c r="N864" s="14" t="str" ph="1">
        <f>IFERROR(INDEX([1]!_born[生没年],
MATCH(K864,[1]!_born[作],0)),"")</f>
        <v/>
      </c>
      <c r="O864" s="13" t="s" ph="1">
        <v>5856</v>
      </c>
      <c r="R864" s="16" ph="1">
        <v>38488</v>
      </c>
      <c r="S864" s="16" ph="1"/>
      <c r="T864" s="13" t="s" ph="1">
        <v>5857</v>
      </c>
      <c r="U864" s="16" ph="1">
        <v>38488</v>
      </c>
      <c r="W864" s="17" ph="1">
        <v>0</v>
      </c>
      <c r="X864" s="13" t="s" ph="1">
        <v>5858</v>
      </c>
      <c r="Y864" s="13" t="s" ph="1">
        <v>5322</v>
      </c>
    </row>
    <row r="865" spans="3:25" ht="22.5" customHeight="1" ph="1" x14ac:dyDescent="0.35">
      <c r="C865" s="13" t="s" ph="1">
        <v>5796</v>
      </c>
      <c r="G865" s="13" t="s" ph="1">
        <v>746</v>
      </c>
      <c r="H865" s="13" t="s" ph="1">
        <v>5798</v>
      </c>
      <c r="I865" s="13" t="s" ph="1">
        <v>828</v>
      </c>
      <c r="M865" s="14" t="str" ph="1">
        <f>IFERROR(INDEX([1]!_born[生没年],
MATCH(I865,[1]!_born[作],0)),"")</f>
        <v/>
      </c>
      <c r="N865" s="14" t="str" ph="1">
        <f>IFERROR(INDEX([1]!_born[生没年],
MATCH(K865,[1]!_born[作],0)),"")</f>
        <v/>
      </c>
      <c r="O865" s="13" t="s" ph="1">
        <v>5859</v>
      </c>
      <c r="R865" s="16" t="s" ph="1">
        <v>882</v>
      </c>
      <c r="S865" s="16" ph="1"/>
      <c r="T865" s="13" t="s" ph="1">
        <v>5857</v>
      </c>
      <c r="U865" s="16" ph="1">
        <v>38944</v>
      </c>
      <c r="W865" s="17" ph="1">
        <v>0</v>
      </c>
      <c r="X865" s="13" t="s" ph="1">
        <v>5858</v>
      </c>
      <c r="Y865" s="13" t="s" ph="1">
        <v>5322</v>
      </c>
    </row>
    <row r="866" spans="3:25" ht="22.5" customHeight="1" ph="1" x14ac:dyDescent="0.35">
      <c r="C866" s="13" t="s" ph="1">
        <v>5796</v>
      </c>
      <c r="G866" s="13" t="s" ph="1">
        <v>746</v>
      </c>
      <c r="H866" s="13" t="s" ph="1">
        <v>5798</v>
      </c>
      <c r="I866" s="13" t="s" ph="1">
        <v>828</v>
      </c>
      <c r="K866" s="13" t="s" ph="1">
        <v>5860</v>
      </c>
      <c r="L866" s="13" t="s" ph="1">
        <v>883</v>
      </c>
      <c r="M866" s="14" t="str" ph="1">
        <f>IFERROR(INDEX([1]!_born[生没年],
MATCH(I866,[1]!_born[作],0)),"")</f>
        <v/>
      </c>
      <c r="N866" s="14" t="str" ph="1">
        <f>IFERROR(INDEX([1]!_born[生没年],
MATCH(K866,[1]!_born[作],0)),"")</f>
        <v/>
      </c>
      <c r="O866" s="13" t="s" ph="1">
        <v>5861</v>
      </c>
      <c r="R866" s="16" ph="1">
        <v>37250</v>
      </c>
      <c r="S866" s="16" ph="1"/>
      <c r="T866" s="13" t="s" ph="1">
        <v>5857</v>
      </c>
      <c r="U866" s="16" ph="1">
        <v>38488</v>
      </c>
      <c r="W866" s="17" ph="1">
        <v>0</v>
      </c>
      <c r="X866" s="13" t="s" ph="1">
        <v>5858</v>
      </c>
      <c r="Y866" s="13" t="s" ph="1">
        <v>5322</v>
      </c>
    </row>
    <row r="867" spans="3:25" ht="22.5" customHeight="1" ph="1" x14ac:dyDescent="0.35">
      <c r="C867" s="13" t="s" ph="1">
        <v>5797</v>
      </c>
      <c r="G867" s="13" t="s" ph="1">
        <v>746</v>
      </c>
      <c r="H867" s="13" t="s" ph="1">
        <v>5798</v>
      </c>
      <c r="I867" s="13" t="s" ph="1">
        <v>828</v>
      </c>
      <c r="M867" s="14" t="str" ph="1">
        <f>IFERROR(INDEX([1]!_born[生没年],
MATCH(I867,[1]!_born[作],0)),"")</f>
        <v/>
      </c>
      <c r="N867" s="14" t="str" ph="1">
        <f>IFERROR(INDEX([1]!_born[生没年],
MATCH(K867,[1]!_born[作],0)),"")</f>
        <v/>
      </c>
      <c r="O867" s="13" t="s" ph="1">
        <v>10066</v>
      </c>
      <c r="R867" s="16" ph="1">
        <v>45278</v>
      </c>
      <c r="T867" s="13" t="s" ph="1">
        <v>10063</v>
      </c>
      <c r="U867" s="16" ph="1">
        <v>45278</v>
      </c>
      <c r="V867" s="17" t="s" ph="1">
        <v>1225</v>
      </c>
      <c r="W867" s="17" ph="1">
        <v>0</v>
      </c>
    </row>
    <row r="868" spans="3:25" ht="22.5" customHeight="1" ph="1" x14ac:dyDescent="0.35">
      <c r="C868" s="13" t="s" ph="1">
        <v>5797</v>
      </c>
      <c r="G868" s="13" t="s" ph="1">
        <v>746</v>
      </c>
      <c r="H868" s="13" t="s" ph="1">
        <v>5798</v>
      </c>
      <c r="I868" s="13" t="s" ph="1">
        <v>828</v>
      </c>
      <c r="M868" s="14" t="str" ph="1">
        <f>IFERROR(INDEX([1]!_born[生没年],
MATCH(I868,[1]!_born[作],0)),"")</f>
        <v/>
      </c>
      <c r="N868" s="14" t="str" ph="1">
        <f>IFERROR(INDEX([1]!_born[生没年],
MATCH(K868,[1]!_born[作],0)),"")</f>
        <v/>
      </c>
      <c r="O868" s="13" t="s" ph="1">
        <v>10065</v>
      </c>
      <c r="R868" s="16" ph="1">
        <v>44914</v>
      </c>
      <c r="T868" s="13" t="s" ph="1">
        <v>10063</v>
      </c>
      <c r="U868" s="16" ph="1">
        <v>44914</v>
      </c>
      <c r="V868" s="17" t="s" ph="1">
        <v>1225</v>
      </c>
      <c r="W868" s="17" ph="1">
        <v>0</v>
      </c>
    </row>
    <row r="869" spans="3:25" ht="22.5" customHeight="1" ph="1" x14ac:dyDescent="0.35">
      <c r="C869" s="13" t="s" ph="1">
        <v>5797</v>
      </c>
      <c r="G869" s="13" t="s" ph="1">
        <v>746</v>
      </c>
      <c r="H869" s="13" t="s" ph="1">
        <v>5798</v>
      </c>
      <c r="I869" s="13" t="s" ph="1">
        <v>828</v>
      </c>
      <c r="M869" s="14" t="str" ph="1">
        <f>IFERROR(INDEX([1]!_born[生没年],
MATCH(I869,[1]!_born[作],0)),"")</f>
        <v/>
      </c>
      <c r="N869" s="14" t="str" ph="1">
        <f>IFERROR(INDEX([1]!_born[生没年],
MATCH(K869,[1]!_born[作],0)),"")</f>
        <v/>
      </c>
      <c r="O869" s="13" t="s" ph="1">
        <v>10064</v>
      </c>
      <c r="R869" s="16" ph="1">
        <v>44550</v>
      </c>
      <c r="T869" s="13" t="s" ph="1">
        <v>10063</v>
      </c>
      <c r="U869" s="16" ph="1">
        <v>44550</v>
      </c>
      <c r="V869" s="17" t="s" ph="1">
        <v>1225</v>
      </c>
      <c r="W869" s="17" ph="1">
        <v>0</v>
      </c>
    </row>
    <row r="870" spans="3:25" ht="22.5" customHeight="1" ph="1" x14ac:dyDescent="0.35">
      <c r="C870" s="13" t="s" ph="1">
        <v>5797</v>
      </c>
      <c r="G870" s="13" t="s" ph="1">
        <v>746</v>
      </c>
      <c r="H870" s="13" t="s" ph="1">
        <v>5798</v>
      </c>
      <c r="I870" s="13" t="s" ph="1">
        <v>828</v>
      </c>
      <c r="M870" s="14" t="str" ph="1">
        <f>IFERROR(INDEX([1]!_born[生没年],
MATCH(I870,[1]!_born[作],0)),"")</f>
        <v/>
      </c>
      <c r="N870" s="14" t="str" ph="1">
        <f>IFERROR(INDEX([1]!_born[生没年],
MATCH(K870,[1]!_born[作],0)),"")</f>
        <v/>
      </c>
      <c r="O870" s="13" t="s" ph="1">
        <v>10062</v>
      </c>
      <c r="R870" s="16" ph="1">
        <v>44186</v>
      </c>
      <c r="T870" s="13" t="s" ph="1">
        <v>10063</v>
      </c>
      <c r="U870" s="16" ph="1">
        <v>44186</v>
      </c>
      <c r="V870" s="17" t="s" ph="1">
        <v>1225</v>
      </c>
      <c r="W870" s="17" ph="1">
        <v>0</v>
      </c>
    </row>
    <row r="871" spans="3:25" ht="22.5" customHeight="1" ph="1" x14ac:dyDescent="0.35">
      <c r="C871" s="13" t="s" ph="1">
        <v>5797</v>
      </c>
      <c r="G871" s="13" t="s" ph="1">
        <v>746</v>
      </c>
      <c r="H871" s="13" t="s" ph="1">
        <v>5798</v>
      </c>
      <c r="I871" s="13" t="s" ph="1">
        <v>828</v>
      </c>
      <c r="M871" s="14" t="str" ph="1">
        <f>IFERROR(INDEX([1]!_born[生没年],
MATCH(I871,[1]!_born[作],0)),"")</f>
        <v/>
      </c>
      <c r="N871" s="14" t="str" ph="1">
        <f>IFERROR(INDEX([1]!_born[生没年],
MATCH(K871,[1]!_born[作],0)),"")</f>
        <v/>
      </c>
      <c r="O871" s="13" t="s" ph="1">
        <v>10191</v>
      </c>
      <c r="R871" s="16" ph="1">
        <v>45544</v>
      </c>
      <c r="T871" s="13" t="s" ph="1">
        <v>3210</v>
      </c>
      <c r="U871" s="16" ph="1">
        <v>45544</v>
      </c>
      <c r="V871" s="17" ph="1">
        <v>2000</v>
      </c>
      <c r="W871" s="17" ph="1">
        <v>0</v>
      </c>
    </row>
    <row r="872" spans="3:25" ht="22.5" customHeight="1" ph="1" x14ac:dyDescent="0.35">
      <c r="C872" s="13" t="s" ph="1">
        <v>5797</v>
      </c>
      <c r="G872" s="13" t="s" ph="1">
        <v>746</v>
      </c>
      <c r="H872" s="13" t="s" ph="1">
        <v>5798</v>
      </c>
      <c r="I872" s="13" t="s" ph="1">
        <v>828</v>
      </c>
      <c r="M872" s="14" t="str" ph="1">
        <f>IFERROR(INDEX([1]!_born[生没年],
MATCH(I872,[1]!_born[作],0)),"")</f>
        <v/>
      </c>
      <c r="N872" s="14" t="str" ph="1">
        <f>IFERROR(INDEX([1]!_born[生没年],
MATCH(K872,[1]!_born[作],0)),"")</f>
        <v/>
      </c>
      <c r="O872" s="13" t="s" ph="1">
        <v>10061</v>
      </c>
      <c r="R872" s="16" ph="1">
        <v>45544</v>
      </c>
      <c r="T872" s="13" t="s" ph="1">
        <v>3210</v>
      </c>
      <c r="U872" s="16" ph="1">
        <v>45544</v>
      </c>
      <c r="V872" s="17" ph="1">
        <v>1000</v>
      </c>
      <c r="W872" s="17" ph="1">
        <v>0</v>
      </c>
    </row>
    <row r="873" spans="3:25" ht="22.5" customHeight="1" ph="1" x14ac:dyDescent="0.35">
      <c r="C873" s="13" t="s" ph="1">
        <v>5797</v>
      </c>
      <c r="G873" s="13" t="s" ph="1">
        <v>746</v>
      </c>
      <c r="H873" s="13" t="s" ph="1">
        <v>5798</v>
      </c>
      <c r="I873" s="13" t="s" ph="1">
        <v>828</v>
      </c>
      <c r="M873" s="14" t="str" ph="1">
        <f>IFERROR(INDEX([1]!_born[生没年],
MATCH(I873,[1]!_born[作],0)),"")</f>
        <v/>
      </c>
      <c r="N873" s="14" t="str" ph="1">
        <f>IFERROR(INDEX([1]!_born[生没年],
MATCH(K873,[1]!_born[作],0)),"")</f>
        <v/>
      </c>
      <c r="O873" s="13" t="s" ph="1">
        <v>3212</v>
      </c>
      <c r="R873" s="16" ph="1">
        <v>45178</v>
      </c>
      <c r="T873" s="13" t="s" ph="1">
        <v>3210</v>
      </c>
      <c r="U873" s="16" ph="1">
        <v>45178</v>
      </c>
      <c r="V873" s="17" ph="1">
        <v>1000</v>
      </c>
      <c r="W873" s="17" ph="1">
        <v>0</v>
      </c>
    </row>
    <row r="874" spans="3:25" ht="22.5" customHeight="1" ph="1" x14ac:dyDescent="0.35">
      <c r="C874" s="13" t="s" ph="1">
        <v>5797</v>
      </c>
      <c r="G874" s="13" t="s" ph="1">
        <v>746</v>
      </c>
      <c r="H874" s="13" t="s" ph="1">
        <v>5798</v>
      </c>
      <c r="I874" s="13" t="s" ph="1">
        <v>828</v>
      </c>
      <c r="M874" s="14" t="str" ph="1">
        <f>IFERROR(INDEX([1]!_born[生没年],
MATCH(I874,[1]!_born[作],0)),"")</f>
        <v/>
      </c>
      <c r="N874" s="14" t="str" ph="1">
        <f>IFERROR(INDEX([1]!_born[生没年],
MATCH(K874,[1]!_born[作],0)),"")</f>
        <v/>
      </c>
      <c r="O874" s="13" t="s" ph="1">
        <v>3225</v>
      </c>
      <c r="R874" s="16" ph="1">
        <v>44813</v>
      </c>
      <c r="T874" s="13" t="s" ph="1">
        <v>3210</v>
      </c>
      <c r="U874" s="16" ph="1">
        <v>44813</v>
      </c>
      <c r="V874" s="17" ph="1">
        <v>1000</v>
      </c>
      <c r="W874" s="17" ph="1">
        <v>0</v>
      </c>
    </row>
    <row r="875" spans="3:25" ht="22.5" customHeight="1" ph="1" x14ac:dyDescent="0.35">
      <c r="C875" s="13" t="s" ph="1">
        <v>5797</v>
      </c>
      <c r="G875" s="13" t="s" ph="1">
        <v>746</v>
      </c>
      <c r="H875" s="13" t="s" ph="1">
        <v>5798</v>
      </c>
      <c r="I875" s="13" t="s" ph="1">
        <v>828</v>
      </c>
      <c r="M875" s="14" t="str" ph="1">
        <f>IFERROR(INDEX([1]!_born[生没年],
MATCH(I875,[1]!_born[作],0)),"")</f>
        <v/>
      </c>
      <c r="N875" s="14" t="str" ph="1">
        <f>IFERROR(INDEX([1]!_born[生没年],
MATCH(K875,[1]!_born[作],0)),"")</f>
        <v/>
      </c>
      <c r="O875" s="13" t="s" ph="1">
        <v>3211</v>
      </c>
      <c r="R875" s="16" ph="1">
        <v>44466</v>
      </c>
      <c r="T875" s="13" t="s" ph="1">
        <v>3210</v>
      </c>
      <c r="U875" s="16" ph="1">
        <v>44466</v>
      </c>
      <c r="V875" s="17" ph="1">
        <v>1000</v>
      </c>
      <c r="W875" s="17" ph="1">
        <v>0</v>
      </c>
    </row>
    <row r="876" spans="3:25" ht="22.5" customHeight="1" ph="1" x14ac:dyDescent="0.35">
      <c r="C876" s="13" t="s" ph="1">
        <v>5797</v>
      </c>
      <c r="G876" s="13" t="s" ph="1">
        <v>746</v>
      </c>
      <c r="H876" s="13" t="s" ph="1">
        <v>5798</v>
      </c>
      <c r="I876" s="13" t="s" ph="1">
        <v>828</v>
      </c>
      <c r="M876" s="14" t="str" ph="1">
        <f>IFERROR(INDEX([1]!_born[生没年],
MATCH(I876,[1]!_born[作],0)),"")</f>
        <v/>
      </c>
      <c r="N876" s="14" t="str" ph="1">
        <f>IFERROR(INDEX([1]!_born[生没年],
MATCH(K876,[1]!_born[作],0)),"")</f>
        <v/>
      </c>
      <c r="O876" s="13" t="s" ph="1">
        <v>3209</v>
      </c>
      <c r="R876" s="16" ph="1">
        <v>43735</v>
      </c>
      <c r="T876" s="13" t="s" ph="1">
        <v>3210</v>
      </c>
      <c r="U876" s="16" ph="1">
        <v>43735</v>
      </c>
      <c r="V876" s="17" ph="1">
        <v>1000</v>
      </c>
      <c r="W876" s="17" ph="1">
        <v>0</v>
      </c>
    </row>
    <row r="877" spans="3:25" ht="22.5" customHeight="1" ph="1" x14ac:dyDescent="0.35">
      <c r="C877" s="13" t="s" ph="1">
        <v>5797</v>
      </c>
      <c r="G877" s="13" t="s" ph="1">
        <v>746</v>
      </c>
      <c r="H877" s="13" t="s" ph="1">
        <v>5798</v>
      </c>
      <c r="I877" s="13" t="s" ph="1">
        <v>884</v>
      </c>
      <c r="M877" s="14" t="str" ph="1">
        <f>IFERROR(INDEX([1]!_born[生没年],
MATCH(I877,[1]!_born[作],0)),"")</f>
        <v/>
      </c>
      <c r="N877" s="14" t="str" ph="1">
        <f>IFERROR(INDEX([1]!_born[生没年],
MATCH(K877,[1]!_born[作],0)),"")</f>
        <v/>
      </c>
      <c r="O877" s="13" t="s" ph="1">
        <v>885</v>
      </c>
      <c r="R877" s="16" t="s" ph="1">
        <v>886</v>
      </c>
      <c r="S877" s="16" ph="1"/>
      <c r="U877" s="16" t="s" ph="1">
        <v>887</v>
      </c>
      <c r="W877" s="17" ph="1">
        <v>0</v>
      </c>
      <c r="Y877" s="13" t="s" ph="1">
        <v>5322</v>
      </c>
    </row>
    <row r="878" spans="3:25" ht="22.5" customHeight="1" ph="1" x14ac:dyDescent="0.35">
      <c r="C878" s="13" t="s" ph="1">
        <v>5797</v>
      </c>
      <c r="G878" s="13" t="s" ph="1">
        <v>746</v>
      </c>
      <c r="H878" s="13" t="s" ph="1">
        <v>5798</v>
      </c>
      <c r="I878" s="13" t="s" ph="1">
        <v>888</v>
      </c>
      <c r="M878" s="14" t="str" ph="1">
        <f>IFERROR(INDEX([1]!_born[生没年],
MATCH(I878,[1]!_born[作],0)),"")</f>
        <v/>
      </c>
      <c r="N878" s="14" t="str" ph="1">
        <f>IFERROR(INDEX([1]!_born[生没年],
MATCH(K878,[1]!_born[作],0)),"")</f>
        <v/>
      </c>
      <c r="O878" s="13" t="s" ph="1">
        <v>889</v>
      </c>
      <c r="R878" s="16" t="s" ph="1">
        <v>890</v>
      </c>
      <c r="S878" s="16" ph="1"/>
      <c r="U878" s="16" t="s" ph="1">
        <v>869</v>
      </c>
      <c r="W878" s="17" ph="1">
        <v>0</v>
      </c>
      <c r="Y878" s="13" t="s" ph="1">
        <v>5322</v>
      </c>
    </row>
    <row r="879" spans="3:25" ht="22.5" customHeight="1" ph="1" x14ac:dyDescent="0.35">
      <c r="C879" s="13" t="s" ph="1">
        <v>5797</v>
      </c>
      <c r="G879" s="13" t="s" ph="1">
        <v>746</v>
      </c>
      <c r="H879" s="13" t="s" ph="1">
        <v>5798</v>
      </c>
      <c r="I879" s="13" t="s" ph="1">
        <v>5862</v>
      </c>
      <c r="M879" s="14" t="str" ph="1">
        <f>IFERROR(INDEX([1]!_born[生没年],
MATCH(I879,[1]!_born[作],0)),"")</f>
        <v/>
      </c>
      <c r="N879" s="14" t="str" ph="1">
        <f>IFERROR(INDEX([1]!_born[生没年],
MATCH(K879,[1]!_born[作],0)),"")</f>
        <v/>
      </c>
      <c r="O879" s="13" t="s" ph="1">
        <v>5863</v>
      </c>
      <c r="R879" s="16" t="s" ph="1">
        <v>3220</v>
      </c>
      <c r="T879" s="13" t="s" ph="1">
        <v>5864</v>
      </c>
      <c r="U879" s="16" ph="1">
        <v>42541</v>
      </c>
      <c r="W879" s="17" ph="1">
        <v>0</v>
      </c>
    </row>
    <row r="880" spans="3:25" ht="22.5" customHeight="1" ph="1" x14ac:dyDescent="0.35">
      <c r="C880" s="13" t="s" ph="1">
        <v>5797</v>
      </c>
      <c r="G880" s="13" t="s" ph="1">
        <v>746</v>
      </c>
      <c r="H880" s="13" t="s" ph="1">
        <v>5798</v>
      </c>
      <c r="I880" s="13" t="s" ph="1">
        <v>5865</v>
      </c>
      <c r="M880" s="14" t="str" ph="1">
        <f>IFERROR(INDEX([1]!_born[生没年],
MATCH(I880,[1]!_born[作],0)),"")</f>
        <v/>
      </c>
      <c r="N880" s="14" t="str" ph="1">
        <f>IFERROR(INDEX([1]!_born[生没年],
MATCH(K880,[1]!_born[作],0)),"")</f>
        <v/>
      </c>
      <c r="O880" s="13" t="s" ph="1">
        <v>5866</v>
      </c>
      <c r="R880" s="16" t="s" ph="1">
        <v>3218</v>
      </c>
      <c r="T880" s="13" t="s" ph="1">
        <v>5864</v>
      </c>
      <c r="U880" s="16" ph="1">
        <v>42177</v>
      </c>
      <c r="W880" s="17" ph="1">
        <v>0</v>
      </c>
    </row>
    <row r="881" spans="3:25" ht="22.5" customHeight="1" ph="1" x14ac:dyDescent="0.35">
      <c r="C881" s="13" t="s" ph="1">
        <v>5797</v>
      </c>
      <c r="G881" s="13" t="s" ph="1">
        <v>746</v>
      </c>
      <c r="H881" s="13" t="s" ph="1">
        <v>5798</v>
      </c>
      <c r="I881" s="13" t="s" ph="1">
        <v>5867</v>
      </c>
      <c r="M881" s="14" t="str" ph="1">
        <f>IFERROR(INDEX([1]!_born[生没年],
MATCH(I881,[1]!_born[作],0)),"")</f>
        <v/>
      </c>
      <c r="N881" s="14" t="str" ph="1">
        <f>IFERROR(INDEX([1]!_born[生没年],
MATCH(K881,[1]!_born[作],0)),"")</f>
        <v/>
      </c>
      <c r="O881" s="13" t="s" ph="1">
        <v>5868</v>
      </c>
      <c r="R881" s="16" t="s" ph="1">
        <v>3219</v>
      </c>
      <c r="T881" s="13" t="s" ph="1">
        <v>5864</v>
      </c>
      <c r="U881" s="16" t="s" ph="1">
        <v>2804</v>
      </c>
      <c r="W881" s="17" ph="1">
        <v>0</v>
      </c>
      <c r="Y881" s="13" t="s" ph="1">
        <v>5869</v>
      </c>
    </row>
    <row r="882" spans="3:25" ht="22.5" customHeight="1" ph="1" x14ac:dyDescent="0.35">
      <c r="C882" s="13" t="s" ph="1">
        <v>5797</v>
      </c>
      <c r="G882" s="13" t="s" ph="1">
        <v>746</v>
      </c>
      <c r="H882" s="13" t="s" ph="1">
        <v>5798</v>
      </c>
      <c r="I882" s="13" t="s" ph="1">
        <v>5870</v>
      </c>
      <c r="M882" s="14" t="str" ph="1">
        <f>IFERROR(INDEX([1]!_born[生没年],
MATCH(I882,[1]!_born[作],0)),"")</f>
        <v/>
      </c>
      <c r="N882" s="14" t="str" ph="1">
        <f>IFERROR(INDEX([1]!_born[生没年],
MATCH(K882,[1]!_born[作],0)),"")</f>
        <v/>
      </c>
      <c r="O882" s="13" t="s" ph="1">
        <v>5871</v>
      </c>
      <c r="R882" s="16" t="s" ph="1">
        <v>3217</v>
      </c>
      <c r="T882" s="13" t="s" ph="1">
        <v>5864</v>
      </c>
      <c r="U882" s="16" ph="1">
        <v>41449</v>
      </c>
      <c r="W882" s="17" ph="1">
        <v>0</v>
      </c>
    </row>
    <row r="883" spans="3:25" ht="22.5" customHeight="1" ph="1" x14ac:dyDescent="0.35">
      <c r="C883" s="13" t="s" ph="1">
        <v>5797</v>
      </c>
      <c r="G883" s="13" t="s" ph="1">
        <v>746</v>
      </c>
      <c r="H883" s="13" t="s" ph="1">
        <v>5798</v>
      </c>
      <c r="I883" s="13" t="s" ph="1">
        <v>5872</v>
      </c>
      <c r="M883" s="14" t="str" ph="1">
        <f>IFERROR(INDEX([1]!_born[生没年],
MATCH(I883,[1]!_born[作],0)),"")</f>
        <v/>
      </c>
      <c r="N883" s="14" t="str" ph="1">
        <f>IFERROR(INDEX([1]!_born[生没年],
MATCH(K883,[1]!_born[作],0)),"")</f>
        <v/>
      </c>
      <c r="O883" s="13" t="s" ph="1">
        <v>5873</v>
      </c>
      <c r="R883" s="16" t="s" ph="1">
        <v>2741</v>
      </c>
      <c r="T883" s="13" t="s" ph="1">
        <v>5864</v>
      </c>
      <c r="U883" s="16" t="s" ph="1">
        <v>2740</v>
      </c>
      <c r="W883" s="17" ph="1">
        <v>0</v>
      </c>
      <c r="Y883" s="13" t="s" ph="1">
        <v>5874</v>
      </c>
    </row>
    <row r="884" spans="3:25" ht="22.5" customHeight="1" ph="1" x14ac:dyDescent="0.35">
      <c r="C884" s="13" t="s" ph="1">
        <v>5797</v>
      </c>
      <c r="G884" s="13" t="s" ph="1">
        <v>746</v>
      </c>
      <c r="H884" s="13" t="s" ph="1">
        <v>5798</v>
      </c>
      <c r="I884" s="13" t="s" ph="1">
        <v>5875</v>
      </c>
      <c r="M884" s="14" t="str" ph="1">
        <f>IFERROR(INDEX([1]!_born[生没年],
MATCH(I884,[1]!_born[作],0)),"")</f>
        <v/>
      </c>
      <c r="N884" s="14" t="str" ph="1">
        <f>IFERROR(INDEX([1]!_born[生没年],
MATCH(K884,[1]!_born[作],0)),"")</f>
        <v/>
      </c>
      <c r="O884" s="13" t="s" ph="1">
        <v>5876</v>
      </c>
      <c r="R884" s="16" t="s" ph="1">
        <v>3216</v>
      </c>
      <c r="T884" s="13" t="s" ph="1">
        <v>5864</v>
      </c>
      <c r="U884" s="16" ph="1">
        <v>40726</v>
      </c>
      <c r="W884" s="17" ph="1">
        <v>0</v>
      </c>
    </row>
    <row r="885" spans="3:25" ht="22.5" customHeight="1" ph="1" x14ac:dyDescent="0.35">
      <c r="C885" s="13" t="s" ph="1">
        <v>5797</v>
      </c>
      <c r="G885" s="13" t="s" ph="1">
        <v>746</v>
      </c>
      <c r="H885" s="13" t="s" ph="1">
        <v>5798</v>
      </c>
      <c r="I885" s="13" t="s" ph="1">
        <v>5877</v>
      </c>
      <c r="M885" s="14" t="str" ph="1">
        <f>IFERROR(INDEX([1]!_born[生没年],
MATCH(I885,[1]!_born[作],0)),"")</f>
        <v/>
      </c>
      <c r="N885" s="14" t="str" ph="1">
        <f>IFERROR(INDEX([1]!_born[生没年],
MATCH(K885,[1]!_born[作],0)),"")</f>
        <v/>
      </c>
      <c r="O885" s="13" t="s" ph="1">
        <v>5878</v>
      </c>
      <c r="R885" s="16" t="s" ph="1">
        <v>3215</v>
      </c>
      <c r="T885" s="13" t="s" ph="1">
        <v>5864</v>
      </c>
      <c r="U885" s="16" ph="1">
        <v>40392</v>
      </c>
      <c r="W885" s="17" ph="1">
        <v>0</v>
      </c>
    </row>
    <row r="886" spans="3:25" ht="22.5" customHeight="1" ph="1" x14ac:dyDescent="0.35">
      <c r="C886" s="13" t="s" ph="1">
        <v>5797</v>
      </c>
      <c r="G886" s="13" t="s" ph="1">
        <v>746</v>
      </c>
      <c r="H886" s="13" t="s" ph="1">
        <v>5798</v>
      </c>
      <c r="I886" s="13" t="s" ph="1">
        <v>5879</v>
      </c>
      <c r="M886" s="14" t="str" ph="1">
        <f>IFERROR(INDEX([1]!_born[生没年],
MATCH(I886,[1]!_born[作],0)),"")</f>
        <v/>
      </c>
      <c r="N886" s="14" t="str" ph="1">
        <f>IFERROR(INDEX([1]!_born[生没年],
MATCH(K886,[1]!_born[作],0)),"")</f>
        <v/>
      </c>
      <c r="O886" s="13" t="s" ph="1">
        <v>5880</v>
      </c>
      <c r="R886" s="16" t="s" ph="1">
        <v>3214</v>
      </c>
      <c r="T886" s="13" t="s" ph="1">
        <v>5864</v>
      </c>
      <c r="U886" s="16" ph="1">
        <v>39993</v>
      </c>
      <c r="W886" s="17" ph="1">
        <v>0</v>
      </c>
    </row>
    <row r="887" spans="3:25" ht="22.5" customHeight="1" ph="1" x14ac:dyDescent="0.35">
      <c r="C887" s="13" t="s" ph="1">
        <v>5797</v>
      </c>
      <c r="G887" s="13" t="s" ph="1">
        <v>746</v>
      </c>
      <c r="H887" s="13" t="s" ph="1">
        <v>5798</v>
      </c>
      <c r="I887" s="13" t="s" ph="1">
        <v>5881</v>
      </c>
      <c r="M887" s="14" t="str" ph="1">
        <f>IFERROR(INDEX([1]!_born[生没年],
MATCH(I887,[1]!_born[作],0)),"")</f>
        <v/>
      </c>
      <c r="N887" s="14" t="str" ph="1">
        <f>IFERROR(INDEX([1]!_born[生没年],
MATCH(K887,[1]!_born[作],0)),"")</f>
        <v/>
      </c>
      <c r="O887" s="13" t="s" ph="1">
        <v>5882</v>
      </c>
      <c r="R887" s="16" t="s" ph="1">
        <v>891</v>
      </c>
      <c r="T887" s="13" t="s" ph="1">
        <v>5864</v>
      </c>
      <c r="U887" s="16" t="s" ph="1">
        <v>892</v>
      </c>
      <c r="W887" s="17" ph="1">
        <v>0</v>
      </c>
    </row>
    <row r="888" spans="3:25" ht="22.5" customHeight="1" ph="1" x14ac:dyDescent="0.35">
      <c r="C888" s="13" t="s" ph="1">
        <v>5797</v>
      </c>
      <c r="G888" s="13" t="s" ph="1">
        <v>746</v>
      </c>
      <c r="H888" s="13" t="s" ph="1">
        <v>5798</v>
      </c>
      <c r="I888" s="13" t="s" ph="1">
        <v>5883</v>
      </c>
      <c r="M888" s="14" t="str" ph="1">
        <f>IFERROR(INDEX([1]!_born[生没年],
MATCH(I888,[1]!_born[作],0)),"")</f>
        <v/>
      </c>
      <c r="N888" s="14" t="str" ph="1">
        <f>IFERROR(INDEX([1]!_born[生没年],
MATCH(K888,[1]!_born[作],0)),"")</f>
        <v/>
      </c>
      <c r="O888" s="13" t="s" ph="1">
        <v>5884</v>
      </c>
      <c r="R888" s="16" t="s" ph="1">
        <v>2735</v>
      </c>
      <c r="T888" s="13" t="s" ph="1">
        <v>5864</v>
      </c>
      <c r="U888" s="16" t="s" ph="1">
        <v>2739</v>
      </c>
      <c r="W888" s="17" ph="1">
        <v>0</v>
      </c>
    </row>
    <row r="889" spans="3:25" ht="22.5" customHeight="1" ph="1" x14ac:dyDescent="0.35">
      <c r="C889" s="13" t="s" ph="1">
        <v>5797</v>
      </c>
      <c r="G889" s="13" t="s" ph="1">
        <v>746</v>
      </c>
      <c r="H889" s="13" t="s" ph="1">
        <v>5798</v>
      </c>
      <c r="I889" s="13" t="s" ph="1">
        <v>5885</v>
      </c>
      <c r="M889" s="14" t="str" ph="1">
        <f>IFERROR(INDEX([1]!_born[生没年],
MATCH(I889,[1]!_born[作],0)),"")</f>
        <v/>
      </c>
      <c r="N889" s="14" t="str" ph="1">
        <f>IFERROR(INDEX([1]!_born[生没年],
MATCH(K889,[1]!_born[作],0)),"")</f>
        <v/>
      </c>
      <c r="O889" s="13" t="s" ph="1">
        <v>5886</v>
      </c>
      <c r="R889" s="16" t="s" ph="1">
        <v>3213</v>
      </c>
      <c r="T889" s="13" t="s" ph="1">
        <v>5864</v>
      </c>
      <c r="U889" s="16" ph="1">
        <v>38847</v>
      </c>
      <c r="W889" s="17" ph="1">
        <v>0</v>
      </c>
    </row>
    <row r="890" spans="3:25" ht="22.5" customHeight="1" ph="1" x14ac:dyDescent="0.35">
      <c r="C890" s="13" t="s" ph="1">
        <v>5797</v>
      </c>
      <c r="G890" s="13" t="s" ph="1">
        <v>746</v>
      </c>
      <c r="H890" s="13" t="s" ph="1">
        <v>5798</v>
      </c>
      <c r="I890" s="13" t="s" ph="1">
        <v>5887</v>
      </c>
      <c r="M890" s="14" t="str" ph="1">
        <f>IFERROR(INDEX([1]!_born[生没年],
MATCH(I890,[1]!_born[作],0)),"")</f>
        <v/>
      </c>
      <c r="N890" s="14" t="str" ph="1">
        <f>IFERROR(INDEX([1]!_born[生没年],
MATCH(K890,[1]!_born[作],0)),"")</f>
        <v/>
      </c>
      <c r="O890" s="13" t="s" ph="1">
        <v>5888</v>
      </c>
      <c r="R890" s="16" t="s" ph="1">
        <v>2736</v>
      </c>
      <c r="T890" s="13" t="s" ph="1">
        <v>5864</v>
      </c>
      <c r="U890" s="16" t="s" ph="1">
        <v>893</v>
      </c>
      <c r="W890" s="17" ph="1">
        <v>0</v>
      </c>
    </row>
    <row r="891" spans="3:25" ht="22.5" customHeight="1" ph="1" x14ac:dyDescent="0.35">
      <c r="C891" s="13" t="s" ph="1">
        <v>5797</v>
      </c>
      <c r="G891" s="13" t="s" ph="1">
        <v>746</v>
      </c>
      <c r="H891" s="13" t="s" ph="1">
        <v>5798</v>
      </c>
      <c r="I891" s="13" t="s" ph="1">
        <v>5889</v>
      </c>
      <c r="M891" s="14" t="str" ph="1">
        <f>IFERROR(INDEX([1]!_born[生没年],
MATCH(I891,[1]!_born[作],0)),"")</f>
        <v/>
      </c>
      <c r="N891" s="14" t="str" ph="1">
        <f>IFERROR(INDEX([1]!_born[生没年],
MATCH(K891,[1]!_born[作],0)),"")</f>
        <v/>
      </c>
      <c r="O891" s="13" t="s" ph="1">
        <v>5888</v>
      </c>
      <c r="R891" s="16" t="s" ph="1">
        <v>2737</v>
      </c>
      <c r="T891" s="13" t="s" ph="1">
        <v>5864</v>
      </c>
      <c r="U891" s="16" t="s" ph="1">
        <v>894</v>
      </c>
      <c r="V891" s="17" ph="1">
        <v>300</v>
      </c>
      <c r="W891" s="17" ph="1">
        <v>0</v>
      </c>
    </row>
    <row r="892" spans="3:25" ht="22.5" customHeight="1" ph="1" x14ac:dyDescent="0.35">
      <c r="C892" s="13" t="s" ph="1">
        <v>5797</v>
      </c>
      <c r="G892" s="13" t="s" ph="1">
        <v>746</v>
      </c>
      <c r="H892" s="13" t="s" ph="1">
        <v>5798</v>
      </c>
      <c r="I892" s="13" t="s" ph="1">
        <v>5890</v>
      </c>
      <c r="M892" s="14" t="str" ph="1">
        <f>IFERROR(INDEX([1]!_born[生没年],
MATCH(I892,[1]!_born[作],0)),"")</f>
        <v/>
      </c>
      <c r="N892" s="14" t="str" ph="1">
        <f>IFERROR(INDEX([1]!_born[生没年],
MATCH(K892,[1]!_born[作],0)),"")</f>
        <v/>
      </c>
      <c r="O892" s="13" t="s" ph="1">
        <v>5888</v>
      </c>
      <c r="R892" s="16" t="s" ph="1">
        <v>2738</v>
      </c>
      <c r="T892" s="13" t="s" ph="1">
        <v>5864</v>
      </c>
      <c r="U892" s="16" t="s" ph="1">
        <v>895</v>
      </c>
      <c r="V892" s="17" ph="1">
        <v>500</v>
      </c>
      <c r="W892" s="17" ph="1">
        <v>0</v>
      </c>
    </row>
    <row r="893" spans="3:25" ht="22.5" customHeight="1" ph="1" x14ac:dyDescent="0.35">
      <c r="C893" s="13" t="s" ph="1">
        <v>5797</v>
      </c>
      <c r="G893" s="13" t="s" ph="1">
        <v>746</v>
      </c>
      <c r="H893" s="13" t="s" ph="1">
        <v>5798</v>
      </c>
      <c r="I893" s="13" t="s" ph="1">
        <v>828</v>
      </c>
      <c r="M893" s="14" t="str" ph="1">
        <f>IFERROR(INDEX([1]!_born[生没年],
MATCH(I893,[1]!_born[作],0)),"")</f>
        <v/>
      </c>
      <c r="N893" s="14" t="str" ph="1">
        <f>IFERROR(INDEX([1]!_born[生没年],
MATCH(K893,[1]!_born[作],0)),"")</f>
        <v/>
      </c>
      <c r="O893" s="13" t="s" ph="1">
        <v>896</v>
      </c>
      <c r="R893" s="16" ph="1">
        <v>38626</v>
      </c>
      <c r="S893" s="16" ph="1"/>
      <c r="T893" s="13" t="s" ph="1">
        <v>897</v>
      </c>
      <c r="U893" s="16" t="s" ph="1">
        <v>869</v>
      </c>
      <c r="W893" s="17" ph="1">
        <v>0</v>
      </c>
      <c r="Y893" s="13" t="s" ph="1">
        <v>5322</v>
      </c>
    </row>
    <row r="894" spans="3:25" ht="22.5" customHeight="1" ph="1" x14ac:dyDescent="0.35">
      <c r="C894" s="13" t="s" ph="1">
        <v>5797</v>
      </c>
      <c r="G894" s="13" t="s" ph="1">
        <v>746</v>
      </c>
      <c r="H894" s="13" t="s" ph="1">
        <v>5798</v>
      </c>
      <c r="I894" s="13" t="s" ph="1">
        <v>898</v>
      </c>
      <c r="M894" s="14" t="str" ph="1">
        <f>IFERROR(INDEX([1]!_born[生没年],
MATCH(I894,[1]!_born[作],0)),"")</f>
        <v/>
      </c>
      <c r="N894" s="14" t="str" ph="1">
        <f>IFERROR(INDEX([1]!_born[生没年],
MATCH(K894,[1]!_born[作],0)),"")</f>
        <v/>
      </c>
      <c r="O894" s="13" t="s" ph="1">
        <v>898</v>
      </c>
      <c r="R894" s="16" ph="1">
        <v>37061</v>
      </c>
      <c r="S894" s="16" ph="1"/>
      <c r="T894" s="13" t="s" ph="1">
        <v>899</v>
      </c>
      <c r="U894" s="16" t="s" ph="1">
        <v>869</v>
      </c>
      <c r="W894" s="17" ph="1">
        <v>0</v>
      </c>
      <c r="Y894" s="13" t="s" ph="1">
        <v>5322</v>
      </c>
    </row>
    <row r="895" spans="3:25" ht="22.5" customHeight="1" ph="1" x14ac:dyDescent="0.35">
      <c r="C895" s="13" t="s" ph="1">
        <v>5797</v>
      </c>
      <c r="G895" s="13" t="s" ph="1">
        <v>746</v>
      </c>
      <c r="H895" s="13" t="s" ph="1">
        <v>5798</v>
      </c>
      <c r="I895" s="13" t="s" ph="1">
        <v>900</v>
      </c>
      <c r="M895" s="14" t="str" ph="1">
        <f>IFERROR(INDEX([1]!_born[生没年],
MATCH(I895,[1]!_born[作],0)),"")</f>
        <v/>
      </c>
      <c r="N895" s="14" t="str" ph="1">
        <f>IFERROR(INDEX([1]!_born[生没年],
MATCH(K895,[1]!_born[作],0)),"")</f>
        <v/>
      </c>
      <c r="O895" s="13" t="s" ph="1">
        <v>900</v>
      </c>
      <c r="R895" s="16" ph="1">
        <v>38616</v>
      </c>
      <c r="S895" s="16" ph="1"/>
      <c r="T895" s="13" t="s" ph="1">
        <v>901</v>
      </c>
      <c r="U895" s="16" t="s" ph="1">
        <v>869</v>
      </c>
      <c r="W895" s="17" ph="1">
        <v>0</v>
      </c>
      <c r="Y895" s="13" t="s" ph="1">
        <v>5322</v>
      </c>
    </row>
    <row r="896" spans="3:25" ht="22.5" customHeight="1" ph="1" x14ac:dyDescent="0.35">
      <c r="C896" s="13" t="s" ph="1">
        <v>5797</v>
      </c>
      <c r="G896" s="13" t="s" ph="1">
        <v>746</v>
      </c>
      <c r="H896" s="13" t="s" ph="1">
        <v>5798</v>
      </c>
      <c r="I896" s="13" t="s" ph="1">
        <v>5891</v>
      </c>
      <c r="M896" s="14" t="str" ph="1">
        <f>IFERROR(INDEX([1]!_born[生没年],
MATCH(I896,[1]!_born[作],0)),"")</f>
        <v/>
      </c>
      <c r="N896" s="14" t="str" ph="1">
        <f>IFERROR(INDEX([1]!_born[生没年],
MATCH(K896,[1]!_born[作],0)),"")</f>
        <v/>
      </c>
      <c r="O896" s="13" t="s" ph="1">
        <v>902</v>
      </c>
      <c r="R896" s="16" ph="1">
        <v>37757</v>
      </c>
      <c r="S896" s="16" ph="1"/>
      <c r="T896" s="13" t="s" ph="1">
        <v>5892</v>
      </c>
      <c r="U896" s="16" t="s" ph="1">
        <v>869</v>
      </c>
      <c r="W896" s="17" ph="1">
        <v>0</v>
      </c>
      <c r="Y896" s="13" t="s" ph="1">
        <v>5322</v>
      </c>
    </row>
    <row r="897" spans="1:25" ht="22.5" customHeight="1" ph="1" x14ac:dyDescent="0.35">
      <c r="C897" s="13" t="s" ph="1">
        <v>5797</v>
      </c>
      <c r="G897" s="13" t="s" ph="1">
        <v>746</v>
      </c>
      <c r="H897" s="13" t="s" ph="1">
        <v>5798</v>
      </c>
      <c r="I897" s="13" t="s" ph="1">
        <v>5891</v>
      </c>
      <c r="M897" s="14" t="str" ph="1">
        <f>IFERROR(INDEX([1]!_born[生没年],
MATCH(I897,[1]!_born[作],0)),"")</f>
        <v/>
      </c>
      <c r="N897" s="14" t="str" ph="1">
        <f>IFERROR(INDEX([1]!_born[生没年],
MATCH(K897,[1]!_born[作],0)),"")</f>
        <v/>
      </c>
      <c r="O897" s="13" t="s" ph="1">
        <v>902</v>
      </c>
      <c r="R897" s="16" t="s" ph="1">
        <v>903</v>
      </c>
      <c r="S897" s="16" ph="1"/>
      <c r="T897" s="13" t="s" ph="1">
        <v>904</v>
      </c>
      <c r="U897" s="16" t="s" ph="1">
        <v>869</v>
      </c>
      <c r="W897" s="17" ph="1">
        <v>0</v>
      </c>
      <c r="Y897" s="13" t="s" ph="1">
        <v>5322</v>
      </c>
    </row>
    <row r="898" spans="1:25" ht="22.5" customHeight="1" ph="1" x14ac:dyDescent="0.35">
      <c r="C898" s="13" t="s" ph="1">
        <v>5796</v>
      </c>
      <c r="G898" s="13" t="s" ph="1">
        <v>746</v>
      </c>
      <c r="H898" s="13" t="s" ph="1">
        <v>3902</v>
      </c>
      <c r="I898" s="13" t="s" ph="1">
        <v>5893</v>
      </c>
      <c r="M898" s="14" t="str" ph="1">
        <f>IFERROR(INDEX([1]!_born[生没年],
MATCH(I898,[1]!_born[作],0)),"")</f>
        <v/>
      </c>
      <c r="N898" s="14" t="str" ph="1">
        <f>IFERROR(INDEX([1]!_born[生没年],
MATCH(K898,[1]!_born[作],0)),"")</f>
        <v/>
      </c>
      <c r="O898" s="13" t="s" ph="1">
        <v>5894</v>
      </c>
      <c r="U898" s="16" t="s" ph="1">
        <v>869</v>
      </c>
      <c r="W898" s="17" ph="1">
        <v>0</v>
      </c>
      <c r="Y898" s="13" t="s" ph="1">
        <v>5322</v>
      </c>
    </row>
    <row r="899" spans="1:25" ht="22.5" customHeight="1" ph="1" x14ac:dyDescent="0.35">
      <c r="C899" s="13" t="s" ph="1">
        <v>5797</v>
      </c>
      <c r="G899" s="13" t="s" ph="1">
        <v>746</v>
      </c>
      <c r="H899" s="13" t="s" ph="1">
        <v>5798</v>
      </c>
      <c r="I899" s="13" t="s" ph="1">
        <v>5895</v>
      </c>
      <c r="M899" s="14" t="str" ph="1">
        <f>IFERROR(INDEX([1]!_born[生没年],
MATCH(I899,[1]!_born[作],0)),"")</f>
        <v/>
      </c>
      <c r="N899" s="14" t="str" ph="1">
        <f>IFERROR(INDEX([1]!_born[生没年],
MATCH(K899,[1]!_born[作],0)),"")</f>
        <v/>
      </c>
      <c r="O899" s="13" t="s" ph="1">
        <v>905</v>
      </c>
      <c r="R899" s="16" t="s" ph="1">
        <v>906</v>
      </c>
      <c r="U899" s="16" t="s" ph="1">
        <v>906</v>
      </c>
      <c r="W899" s="17" ph="1">
        <v>0</v>
      </c>
      <c r="X899" s="13" t="s" ph="1">
        <v>5838</v>
      </c>
    </row>
    <row r="900" spans="1:25" ht="22.5" customHeight="1" ph="1" x14ac:dyDescent="0.35">
      <c r="C900" s="13" t="s" ph="1">
        <v>5797</v>
      </c>
      <c r="G900" s="13" t="s" ph="1">
        <v>746</v>
      </c>
      <c r="H900" s="13" t="s" ph="1">
        <v>5798</v>
      </c>
      <c r="I900" s="13" t="s" ph="1">
        <v>828</v>
      </c>
      <c r="M900" s="14" t="str" ph="1">
        <f>IFERROR(INDEX([1]!_born[生没年],
MATCH(I900,[1]!_born[作],0)),"")</f>
        <v/>
      </c>
      <c r="N900" s="14" t="str" ph="1">
        <f>IFERROR(INDEX([1]!_born[生没年],
MATCH(K900,[1]!_born[作],0)),"")</f>
        <v/>
      </c>
      <c r="O900" s="13" t="s" ph="1">
        <v>5896</v>
      </c>
      <c r="R900" s="16" t="s" ph="1">
        <v>907</v>
      </c>
      <c r="S900" s="13" t="s" ph="1">
        <v>5897</v>
      </c>
      <c r="W900" s="17" ph="1">
        <v>0</v>
      </c>
    </row>
    <row r="901" spans="1:25" ht="22.5" customHeight="1" ph="1" x14ac:dyDescent="0.35">
      <c r="C901" s="13" t="s" ph="1">
        <v>5796</v>
      </c>
      <c r="G901" s="13" t="s" ph="1">
        <v>746</v>
      </c>
      <c r="H901" s="13" t="s" ph="1">
        <v>709</v>
      </c>
      <c r="I901" s="13" t="s" ph="1">
        <v>908</v>
      </c>
      <c r="M901" s="14" t="str" ph="1">
        <f>IFERROR(INDEX([1]!_born[生没年],
MATCH(I901,[1]!_born[作],0)),"")</f>
        <v/>
      </c>
      <c r="N901" s="14" t="str" ph="1">
        <f>IFERROR(INDEX([1]!_born[生没年],
MATCH(K901,[1]!_born[作],0)),"")</f>
        <v/>
      </c>
      <c r="O901" s="13" t="s" ph="1">
        <v>908</v>
      </c>
      <c r="R901" s="16" t="s" ph="1">
        <v>909</v>
      </c>
      <c r="U901" s="16" t="s" ph="1">
        <v>910</v>
      </c>
      <c r="X901" s="13" t="s" ph="1">
        <v>3792</v>
      </c>
    </row>
    <row r="902" spans="1:25" ht="22.5" customHeight="1" ph="1" x14ac:dyDescent="0.35">
      <c r="C902" s="13" t="s" ph="1">
        <v>5796</v>
      </c>
      <c r="G902" s="13" t="s" ph="1">
        <v>746</v>
      </c>
      <c r="H902" s="13" t="s" ph="1">
        <v>3902</v>
      </c>
      <c r="I902" s="13" t="s" ph="1">
        <v>5898</v>
      </c>
      <c r="M902" s="14" t="str" ph="1">
        <f>IFERROR(INDEX([1]!_born[生没年],
MATCH(I902,[1]!_born[作],0)),"")</f>
        <v/>
      </c>
      <c r="N902" s="14" t="str" ph="1">
        <f>IFERROR(INDEX([1]!_born[生没年],
MATCH(K902,[1]!_born[作],0)),"")</f>
        <v/>
      </c>
      <c r="O902" s="13" t="s" ph="1">
        <v>911</v>
      </c>
      <c r="S902" s="13" t="s" ph="1">
        <v>5899</v>
      </c>
      <c r="T902" s="13" t="s" ph="1">
        <v>5900</v>
      </c>
      <c r="U902" s="16" ph="1">
        <v>38319</v>
      </c>
      <c r="X902" s="13" t="s" ph="1">
        <v>3792</v>
      </c>
    </row>
    <row r="903" spans="1:25" s="7" customFormat="1" ht="22.5" customHeight="1" ph="1" x14ac:dyDescent="0.35">
      <c r="A903" s="106" ph="1"/>
      <c r="B903" s="5" ph="1"/>
      <c r="C903" s="9" t="s" ph="1">
        <v>5796</v>
      </c>
      <c r="D903" s="122" ph="1"/>
      <c r="E903" s="122" ph="1"/>
      <c r="G903" s="8" t="s" ph="1">
        <v>746</v>
      </c>
      <c r="H903" s="9" ph="1"/>
      <c r="I903" s="12" t="s" ph="1">
        <v>5901</v>
      </c>
      <c r="J903" s="12" ph="1"/>
      <c r="M903" s="7" t="str" ph="1">
        <f>IFERROR(INDEX([1]!_born[生没年],
MATCH(I903,[1]!_born[作],0)),"")</f>
        <v/>
      </c>
      <c r="N903" s="7" t="str" ph="1">
        <f>IFERROR(INDEX([1]!_born[生没年],
MATCH(K903,[1]!_born[作],0)),"")</f>
        <v/>
      </c>
      <c r="R903" s="10" ph="1"/>
      <c r="U903" s="10" ph="1"/>
      <c r="V903" s="11" ph="1"/>
      <c r="W903" s="11" ph="1"/>
    </row>
    <row r="904" spans="1:25" ht="22.5" customHeight="1" ph="1" x14ac:dyDescent="0.35">
      <c r="A904" s="106" t="s" ph="1">
        <v>912</v>
      </c>
      <c r="C904" s="13" t="s" ph="1">
        <v>5796</v>
      </c>
      <c r="G904" s="13" t="s" ph="1">
        <v>746</v>
      </c>
      <c r="H904" s="13" t="s" ph="1">
        <v>31</v>
      </c>
      <c r="I904" s="13" t="s" ph="1">
        <v>913</v>
      </c>
      <c r="M904" s="14" t="str" ph="1">
        <f>IFERROR(INDEX([1]!_born[生没年],
MATCH(I904,[1]!_born[作],0)),"")</f>
        <v/>
      </c>
      <c r="N904" s="14" t="str" ph="1">
        <f>IFERROR(INDEX([1]!_born[生没年],
MATCH(K904,[1]!_born[作],0)),"")</f>
        <v/>
      </c>
      <c r="O904" s="13" t="s" ph="1">
        <v>914</v>
      </c>
      <c r="R904" s="16" t="s" ph="1">
        <v>915</v>
      </c>
      <c r="T904" s="13" t="s" ph="1">
        <v>916</v>
      </c>
      <c r="U904" s="16" ph="1">
        <v>38404</v>
      </c>
      <c r="V904" s="17" ph="1">
        <f>2109*1.05</f>
        <v>2214.4500000000003</v>
      </c>
      <c r="W904" s="17" ph="1">
        <f>2109*1.05</f>
        <v>2214.4500000000003</v>
      </c>
      <c r="X904" s="13" t="s" ph="1">
        <v>3802</v>
      </c>
    </row>
    <row r="905" spans="1:25" ht="22.5" customHeight="1" ph="1" x14ac:dyDescent="0.35">
      <c r="A905" s="106" t="s" ph="1">
        <v>917</v>
      </c>
      <c r="C905" s="13" t="s" ph="1">
        <v>5411</v>
      </c>
      <c r="G905" s="13" t="s" ph="1">
        <v>746</v>
      </c>
      <c r="H905" s="13" t="s" ph="1">
        <v>31</v>
      </c>
      <c r="I905" s="13" t="s" ph="1">
        <v>913</v>
      </c>
      <c r="M905" s="14" t="str" ph="1">
        <f>IFERROR(INDEX([1]!_born[生没年],
MATCH(I905,[1]!_born[作],0)),"")</f>
        <v/>
      </c>
      <c r="N905" s="14" t="str" ph="1">
        <f>IFERROR(INDEX([1]!_born[生没年],
MATCH(K905,[1]!_born[作],0)),"")</f>
        <v/>
      </c>
      <c r="O905" s="13" t="s" ph="1">
        <v>918</v>
      </c>
      <c r="R905" s="16" t="s" ph="1">
        <v>919</v>
      </c>
      <c r="S905" s="13" t="s" ph="1">
        <v>920</v>
      </c>
      <c r="T905" s="13" t="s" ph="1">
        <v>921</v>
      </c>
      <c r="U905" s="16" ph="1">
        <v>39032</v>
      </c>
      <c r="W905" s="17" ph="1">
        <v>1500</v>
      </c>
      <c r="X905" s="13" t="s" ph="1">
        <v>3792</v>
      </c>
    </row>
    <row r="906" spans="1:25" ht="22.5" customHeight="1" ph="1" x14ac:dyDescent="0.35">
      <c r="A906" s="106" t="s" ph="1">
        <v>922</v>
      </c>
      <c r="C906" s="13" t="s" ph="1">
        <v>5411</v>
      </c>
      <c r="G906" s="13" t="s" ph="1">
        <v>746</v>
      </c>
      <c r="H906" s="13" t="s" ph="1">
        <v>31</v>
      </c>
      <c r="I906" s="13" t="s" ph="1">
        <v>913</v>
      </c>
      <c r="M906" s="14" t="str" ph="1">
        <f>IFERROR(INDEX([1]!_born[生没年],
MATCH(I906,[1]!_born[作],0)),"")</f>
        <v/>
      </c>
      <c r="N906" s="14" t="str" ph="1">
        <f>IFERROR(INDEX([1]!_born[生没年],
MATCH(K906,[1]!_born[作],0)),"")</f>
        <v/>
      </c>
      <c r="O906" s="13" t="s" ph="1">
        <v>923</v>
      </c>
      <c r="R906" s="16" t="s" ph="1">
        <v>924</v>
      </c>
      <c r="S906" s="13" t="s" ph="1">
        <v>920</v>
      </c>
      <c r="T906" s="13" t="s" ph="1">
        <v>921</v>
      </c>
      <c r="U906" s="16" ph="1">
        <v>39032</v>
      </c>
      <c r="W906" s="17" ph="1">
        <v>1500</v>
      </c>
      <c r="X906" s="13" t="s" ph="1">
        <v>3792</v>
      </c>
    </row>
    <row r="907" spans="1:25" ht="22.5" customHeight="1" ph="1" x14ac:dyDescent="0.35">
      <c r="A907" s="106" t="s" ph="1">
        <v>925</v>
      </c>
      <c r="C907" s="13" t="s" ph="1">
        <v>5411</v>
      </c>
      <c r="G907" s="13" t="s" ph="1">
        <v>746</v>
      </c>
      <c r="H907" s="13" t="s" ph="1">
        <v>31</v>
      </c>
      <c r="I907" s="13" t="s" ph="1">
        <v>913</v>
      </c>
      <c r="M907" s="14" t="str" ph="1">
        <f>IFERROR(INDEX([1]!_born[生没年],
MATCH(I907,[1]!_born[作],0)),"")</f>
        <v/>
      </c>
      <c r="N907" s="14" t="str" ph="1">
        <f>IFERROR(INDEX([1]!_born[生没年],
MATCH(K907,[1]!_born[作],0)),"")</f>
        <v/>
      </c>
      <c r="O907" s="13" t="s" ph="1">
        <v>926</v>
      </c>
      <c r="R907" s="16" t="s" ph="1">
        <v>927</v>
      </c>
      <c r="S907" s="13" t="s" ph="1">
        <v>920</v>
      </c>
      <c r="T907" s="13" t="s" ph="1">
        <v>921</v>
      </c>
      <c r="U907" s="16" ph="1">
        <v>39032</v>
      </c>
      <c r="W907" s="17" ph="1">
        <v>1500</v>
      </c>
      <c r="X907" s="13" t="s" ph="1">
        <v>3792</v>
      </c>
    </row>
    <row r="908" spans="1:25" ht="22.5" customHeight="1" ph="1" x14ac:dyDescent="0.35">
      <c r="A908" s="106" t="s" ph="1">
        <v>928</v>
      </c>
      <c r="C908" s="13" t="s" ph="1">
        <v>5411</v>
      </c>
      <c r="G908" s="13" t="s" ph="1">
        <v>746</v>
      </c>
      <c r="H908" s="13" t="s" ph="1">
        <v>31</v>
      </c>
      <c r="I908" s="13" t="s" ph="1">
        <v>913</v>
      </c>
      <c r="M908" s="14" t="str" ph="1">
        <f>IFERROR(INDEX([1]!_born[生没年],
MATCH(I908,[1]!_born[作],0)),"")</f>
        <v/>
      </c>
      <c r="N908" s="14" t="str" ph="1">
        <f>IFERROR(INDEX([1]!_born[生没年],
MATCH(K908,[1]!_born[作],0)),"")</f>
        <v/>
      </c>
      <c r="O908" s="13" t="s" ph="1">
        <v>929</v>
      </c>
      <c r="R908" s="16" t="s" ph="1">
        <v>930</v>
      </c>
      <c r="S908" s="13" t="s" ph="1">
        <v>931</v>
      </c>
      <c r="T908" s="13" t="s" ph="1">
        <v>921</v>
      </c>
      <c r="U908" s="16" ph="1">
        <v>39032</v>
      </c>
      <c r="W908" s="17" ph="1">
        <v>1500</v>
      </c>
      <c r="X908" s="13" t="s" ph="1">
        <v>3792</v>
      </c>
    </row>
    <row r="909" spans="1:25" ht="22.5" customHeight="1" ph="1" x14ac:dyDescent="0.35">
      <c r="C909" s="13" t="s" ph="1">
        <v>5796</v>
      </c>
      <c r="G909" s="13" t="s" ph="1">
        <v>746</v>
      </c>
      <c r="H909" s="13" t="s" ph="1">
        <v>31</v>
      </c>
      <c r="I909" s="13" t="s" ph="1">
        <v>932</v>
      </c>
      <c r="M909" s="14" t="str" ph="1">
        <f>IFERROR(INDEX([1]!_born[生没年],
MATCH(I909,[1]!_born[作],0)),"")</f>
        <v/>
      </c>
      <c r="N909" s="14" t="str" ph="1">
        <f>IFERROR(INDEX([1]!_born[生没年],
MATCH(K909,[1]!_born[作],0)),"")</f>
        <v/>
      </c>
      <c r="O909" s="13" t="s" ph="1">
        <v>933</v>
      </c>
      <c r="T909" s="13" t="s" ph="1">
        <v>934</v>
      </c>
      <c r="U909" s="16" ph="1">
        <v>37445</v>
      </c>
      <c r="X909" s="13" t="s" ph="1">
        <v>5902</v>
      </c>
    </row>
    <row r="910" spans="1:25" ht="22.5" customHeight="1" ph="1" x14ac:dyDescent="0.35">
      <c r="C910" s="13" t="s" ph="1">
        <v>5796</v>
      </c>
      <c r="G910" s="13" t="s" ph="1">
        <v>746</v>
      </c>
      <c r="H910" s="13" t="s" ph="1">
        <v>31</v>
      </c>
      <c r="I910" s="13" t="s" ph="1">
        <v>935</v>
      </c>
      <c r="M910" s="14" t="str" ph="1">
        <f>IFERROR(INDEX([1]!_born[生没年],
MATCH(I910,[1]!_born[作],0)),"")</f>
        <v/>
      </c>
      <c r="N910" s="14" t="str" ph="1">
        <f>IFERROR(INDEX([1]!_born[生没年],
MATCH(K910,[1]!_born[作],0)),"")</f>
        <v/>
      </c>
      <c r="O910" s="13" t="s" ph="1">
        <v>936</v>
      </c>
      <c r="R910" s="16" t="s" ph="1">
        <v>711</v>
      </c>
      <c r="T910" s="13" t="s" ph="1">
        <v>937</v>
      </c>
      <c r="U910" s="16" ph="1">
        <v>37445</v>
      </c>
      <c r="V910" s="17" t="s" ph="1">
        <v>938</v>
      </c>
      <c r="W910" s="17" t="s" ph="1">
        <v>939</v>
      </c>
      <c r="X910" s="13" t="s" ph="1">
        <v>5902</v>
      </c>
    </row>
    <row r="911" spans="1:25" ht="22.5" customHeight="1" ph="1" x14ac:dyDescent="0.35">
      <c r="C911" s="13" t="s" ph="1">
        <v>5796</v>
      </c>
      <c r="G911" s="13" t="s" ph="1">
        <v>746</v>
      </c>
      <c r="H911" s="13" t="s" ph="1">
        <v>31</v>
      </c>
      <c r="I911" s="13" t="s" ph="1">
        <v>583</v>
      </c>
      <c r="M911" s="14" t="str" ph="1">
        <f>IFERROR(INDEX([1]!_born[生没年],
MATCH(I911,[1]!_born[作],0)),"")</f>
        <v/>
      </c>
      <c r="N911" s="14" t="str" ph="1">
        <f>IFERROR(INDEX([1]!_born[生没年],
MATCH(K911,[1]!_born[作],0)),"")</f>
        <v/>
      </c>
      <c r="O911" s="13" t="s" ph="1">
        <v>940</v>
      </c>
      <c r="R911" s="16" t="s" ph="1">
        <v>941</v>
      </c>
      <c r="T911" s="13" t="s" ph="1">
        <v>121</v>
      </c>
    </row>
    <row r="912" spans="1:25" ht="22.5" customHeight="1" ph="1" x14ac:dyDescent="0.35">
      <c r="A912" s="106" t="s" ph="1">
        <v>942</v>
      </c>
      <c r="C912" s="13" t="s" ph="1">
        <v>5411</v>
      </c>
      <c r="G912" s="13" t="s" ph="1">
        <v>746</v>
      </c>
      <c r="H912" s="13" t="s" ph="1">
        <v>31</v>
      </c>
      <c r="I912" s="13" t="s" ph="1">
        <v>97</v>
      </c>
      <c r="M912" s="14" t="str" ph="1">
        <f>IFERROR(INDEX([1]!_born[生没年],
MATCH(I912,[1]!_born[作],0)),"")</f>
        <v/>
      </c>
      <c r="N912" s="14" t="str" ph="1">
        <f>IFERROR(INDEX([1]!_born[生没年],
MATCH(K912,[1]!_born[作],0)),"")</f>
        <v/>
      </c>
      <c r="O912" s="13" t="s" ph="1">
        <v>943</v>
      </c>
      <c r="S912" s="13" t="s" ph="1">
        <v>944</v>
      </c>
      <c r="T912" s="13" t="s" ph="1">
        <v>945</v>
      </c>
      <c r="U912" s="16" t="s" ph="1">
        <v>946</v>
      </c>
      <c r="V912" s="17" ph="1">
        <f>1079*1.05</f>
        <v>1132.95</v>
      </c>
      <c r="W912" s="17" ph="1">
        <f>1079*1.05</f>
        <v>1132.95</v>
      </c>
      <c r="X912" s="13" t="s" ph="1">
        <v>3802</v>
      </c>
    </row>
    <row r="913" spans="1:24" ht="22.5" customHeight="1" ph="1" x14ac:dyDescent="0.25">
      <c r="C913" s="13" t="s" ph="1">
        <v>599</v>
      </c>
      <c r="G913" s="13" t="s" ph="1">
        <v>746</v>
      </c>
      <c r="H913" s="13" t="s" ph="1">
        <v>709</v>
      </c>
      <c r="I913" s="13" t="s" ph="1">
        <v>947</v>
      </c>
      <c r="M913" s="14" t="str" ph="1">
        <f>IFERROR(INDEX([1]!_born[生没年],
MATCH(I913,[1]!_born[作],0)),"")</f>
        <v/>
      </c>
      <c r="N913" s="14" t="str" ph="1">
        <f>IFERROR(INDEX([1]!_born[生没年],
MATCH(K913,[1]!_born[作],0)),"")</f>
        <v/>
      </c>
      <c r="O913" s="13" t="s" ph="1">
        <v>947</v>
      </c>
      <c r="T913" s="13" t="s" ph="1">
        <v>947</v>
      </c>
      <c r="U913" s="16" ph="1">
        <v>37448</v>
      </c>
      <c r="X913" s="13" t="s" ph="1">
        <v>947</v>
      </c>
    </row>
    <row r="914" spans="1:24" ht="22.5" customHeight="1" ph="1" x14ac:dyDescent="0.35">
      <c r="C914" s="13" t="s" ph="1">
        <v>5796</v>
      </c>
      <c r="G914" s="13" t="s" ph="1">
        <v>746</v>
      </c>
      <c r="H914" s="13" t="s" ph="1">
        <v>709</v>
      </c>
      <c r="I914" s="13" t="s" ph="1">
        <v>948</v>
      </c>
      <c r="M914" s="14" t="str" ph="1">
        <f>IFERROR(INDEX([1]!_born[生没年],
MATCH(I914,[1]!_born[作],0)),"")</f>
        <v/>
      </c>
      <c r="N914" s="14" t="str" ph="1">
        <f>IFERROR(INDEX([1]!_born[生没年],
MATCH(K914,[1]!_born[作],0)),"")</f>
        <v/>
      </c>
      <c r="O914" s="13" t="s" ph="1">
        <v>949</v>
      </c>
      <c r="R914" s="16" t="s" ph="1">
        <v>919</v>
      </c>
      <c r="T914" s="13" t="s" ph="1">
        <v>950</v>
      </c>
      <c r="U914" s="16" ph="1">
        <v>37448</v>
      </c>
      <c r="V914" s="17" t="s" ph="1">
        <v>5903</v>
      </c>
      <c r="X914" s="13" t="s" ph="1">
        <v>947</v>
      </c>
    </row>
    <row r="915" spans="1:24" ht="22.5" customHeight="1" ph="1" x14ac:dyDescent="0.35">
      <c r="C915" s="13" t="s" ph="1">
        <v>5796</v>
      </c>
      <c r="G915" s="13" t="s" ph="1">
        <v>746</v>
      </c>
      <c r="H915" s="13" t="s" ph="1">
        <v>709</v>
      </c>
      <c r="I915" s="13" t="s" ph="1">
        <v>948</v>
      </c>
      <c r="M915" s="14" t="str" ph="1">
        <f>IFERROR(INDEX([1]!_born[生没年],
MATCH(I915,[1]!_born[作],0)),"")</f>
        <v/>
      </c>
      <c r="N915" s="14" t="str" ph="1">
        <f>IFERROR(INDEX([1]!_born[生没年],
MATCH(K915,[1]!_born[作],0)),"")</f>
        <v/>
      </c>
      <c r="O915" s="13" t="s" ph="1">
        <v>951</v>
      </c>
      <c r="R915" s="16" t="s" ph="1">
        <v>927</v>
      </c>
      <c r="T915" s="13" t="s" ph="1">
        <v>950</v>
      </c>
      <c r="U915" s="16" ph="1">
        <v>37448</v>
      </c>
      <c r="V915" s="17" t="s" ph="1">
        <v>5903</v>
      </c>
      <c r="X915" s="13" t="s" ph="1">
        <v>947</v>
      </c>
    </row>
    <row r="916" spans="1:24" ht="22.5" customHeight="1" ph="1" x14ac:dyDescent="0.35">
      <c r="C916" s="13" t="s" ph="1">
        <v>5796</v>
      </c>
      <c r="G916" s="13" t="s" ph="1">
        <v>746</v>
      </c>
      <c r="H916" s="13" t="s" ph="1">
        <v>709</v>
      </c>
      <c r="I916" s="13" t="s" ph="1">
        <v>948</v>
      </c>
      <c r="M916" s="14" t="str" ph="1">
        <f>IFERROR(INDEX([1]!_born[生没年],
MATCH(I916,[1]!_born[作],0)),"")</f>
        <v/>
      </c>
      <c r="N916" s="14" t="str" ph="1">
        <f>IFERROR(INDEX([1]!_born[生没年],
MATCH(K916,[1]!_born[作],0)),"")</f>
        <v/>
      </c>
      <c r="O916" s="13" t="s" ph="1">
        <v>952</v>
      </c>
      <c r="R916" s="16" t="s" ph="1">
        <v>930</v>
      </c>
      <c r="T916" s="13" t="s" ph="1">
        <v>950</v>
      </c>
      <c r="U916" s="16" ph="1">
        <v>37448</v>
      </c>
      <c r="V916" s="17" t="s" ph="1">
        <v>5903</v>
      </c>
      <c r="X916" s="13" t="s" ph="1">
        <v>947</v>
      </c>
    </row>
    <row r="917" spans="1:24" ht="22.5" customHeight="1" ph="1" x14ac:dyDescent="0.35">
      <c r="C917" s="13" t="s" ph="1">
        <v>5796</v>
      </c>
      <c r="G917" s="13" t="s" ph="1">
        <v>746</v>
      </c>
      <c r="H917" s="13" t="s" ph="1">
        <v>709</v>
      </c>
      <c r="I917" s="13" t="s" ph="1">
        <v>948</v>
      </c>
      <c r="M917" s="14" t="str" ph="1">
        <f>IFERROR(INDEX([1]!_born[生没年],
MATCH(I917,[1]!_born[作],0)),"")</f>
        <v/>
      </c>
      <c r="N917" s="14" t="str" ph="1">
        <f>IFERROR(INDEX([1]!_born[生没年],
MATCH(K917,[1]!_born[作],0)),"")</f>
        <v/>
      </c>
      <c r="O917" s="13" t="s" ph="1">
        <v>953</v>
      </c>
      <c r="R917" s="16" t="s" ph="1">
        <v>954</v>
      </c>
      <c r="T917" s="13" t="s" ph="1">
        <v>950</v>
      </c>
      <c r="U917" s="16" ph="1">
        <v>37448</v>
      </c>
      <c r="V917" s="17" t="s" ph="1">
        <v>5904</v>
      </c>
      <c r="X917" s="13" t="s" ph="1">
        <v>947</v>
      </c>
    </row>
    <row r="918" spans="1:24" ht="22.5" customHeight="1" ph="1" x14ac:dyDescent="0.35">
      <c r="C918" s="13" t="s" ph="1">
        <v>5796</v>
      </c>
      <c r="G918" s="13" t="s" ph="1">
        <v>746</v>
      </c>
      <c r="H918" s="13" t="s" ph="1">
        <v>709</v>
      </c>
      <c r="I918" s="13" t="s" ph="1">
        <v>948</v>
      </c>
      <c r="M918" s="14" t="str" ph="1">
        <f>IFERROR(INDEX([1]!_born[生没年],
MATCH(I918,[1]!_born[作],0)),"")</f>
        <v/>
      </c>
      <c r="N918" s="14" t="str" ph="1">
        <f>IFERROR(INDEX([1]!_born[生没年],
MATCH(K918,[1]!_born[作],0)),"")</f>
        <v/>
      </c>
      <c r="O918" s="13" t="s" ph="1">
        <v>955</v>
      </c>
      <c r="R918" s="16" t="s" ph="1">
        <v>956</v>
      </c>
      <c r="T918" s="13" t="s" ph="1">
        <v>950</v>
      </c>
      <c r="U918" s="16" ph="1">
        <v>37448</v>
      </c>
      <c r="V918" s="17" t="s" ph="1">
        <v>5903</v>
      </c>
      <c r="X918" s="13" t="s" ph="1">
        <v>947</v>
      </c>
    </row>
    <row r="919" spans="1:24" ht="22.5" customHeight="1" ph="1" x14ac:dyDescent="0.35">
      <c r="C919" s="13" t="s" ph="1">
        <v>5796</v>
      </c>
      <c r="G919" s="13" t="s" ph="1">
        <v>746</v>
      </c>
      <c r="H919" s="13" t="s" ph="1">
        <v>709</v>
      </c>
      <c r="I919" s="13" t="s" ph="1">
        <v>948</v>
      </c>
      <c r="M919" s="14" t="str" ph="1">
        <f>IFERROR(INDEX([1]!_born[生没年],
MATCH(I919,[1]!_born[作],0)),"")</f>
        <v/>
      </c>
      <c r="N919" s="14" t="str" ph="1">
        <f>IFERROR(INDEX([1]!_born[生没年],
MATCH(K919,[1]!_born[作],0)),"")</f>
        <v/>
      </c>
      <c r="O919" s="13" t="s" ph="1">
        <v>957</v>
      </c>
      <c r="R919" s="16" t="s" ph="1">
        <v>958</v>
      </c>
      <c r="T919" s="13" t="s" ph="1">
        <v>950</v>
      </c>
      <c r="U919" s="16" ph="1">
        <v>37448</v>
      </c>
      <c r="V919" s="17" t="s" ph="1">
        <v>5904</v>
      </c>
      <c r="X919" s="13" t="s" ph="1">
        <v>947</v>
      </c>
    </row>
    <row r="920" spans="1:24" ht="22.5" customHeight="1" ph="1" x14ac:dyDescent="0.35">
      <c r="C920" s="13" t="s" ph="1">
        <v>5796</v>
      </c>
      <c r="G920" s="13" t="s" ph="1">
        <v>746</v>
      </c>
      <c r="H920" s="13" t="s" ph="1">
        <v>709</v>
      </c>
      <c r="I920" s="13" t="s" ph="1">
        <v>959</v>
      </c>
      <c r="M920" s="14" t="str" ph="1">
        <f>IFERROR(INDEX([1]!_born[生没年],
MATCH(I920,[1]!_born[作],0)),"")</f>
        <v/>
      </c>
      <c r="N920" s="14" t="str" ph="1">
        <f>IFERROR(INDEX([1]!_born[生没年],
MATCH(K920,[1]!_born[作],0)),"")</f>
        <v/>
      </c>
      <c r="O920" s="13" t="s" ph="1">
        <v>602</v>
      </c>
      <c r="T920" s="13" t="s" ph="1">
        <v>960</v>
      </c>
      <c r="U920" s="16" ph="1">
        <v>37448</v>
      </c>
      <c r="X920" s="13" t="s" ph="1">
        <v>602</v>
      </c>
    </row>
    <row r="921" spans="1:24" ht="22.5" customHeight="1" ph="1" x14ac:dyDescent="0.35">
      <c r="C921" s="13" t="s" ph="1">
        <v>5796</v>
      </c>
      <c r="G921" s="13" t="s" ph="1">
        <v>746</v>
      </c>
      <c r="H921" s="13" t="s" ph="1">
        <v>961</v>
      </c>
      <c r="I921" s="13" t="s" ph="1">
        <v>962</v>
      </c>
      <c r="K921" s="13" t="s" ph="1">
        <v>963</v>
      </c>
      <c r="L921" s="13" t="s" ph="1">
        <v>964</v>
      </c>
      <c r="M921" s="14" t="str" ph="1">
        <f>IFERROR(INDEX([1]!_born[生没年],
MATCH(I921,[1]!_born[作],0)),"")</f>
        <v/>
      </c>
      <c r="N921" s="14" t="str" ph="1">
        <f>IFERROR(INDEX([1]!_born[生没年],
MATCH(K921,[1]!_born[作],0)),"")</f>
        <v/>
      </c>
      <c r="O921" s="13" t="s" ph="1">
        <v>965</v>
      </c>
      <c r="R921" s="16" t="s" ph="1">
        <v>966</v>
      </c>
      <c r="S921" s="13" t="s" ph="1">
        <v>967</v>
      </c>
      <c r="X921" s="13" t="s" ph="1">
        <v>968</v>
      </c>
    </row>
    <row r="922" spans="1:24" ht="22.5" customHeight="1" ph="1" x14ac:dyDescent="0.35">
      <c r="C922" s="13" t="s" ph="1">
        <v>5796</v>
      </c>
      <c r="G922" s="13" t="s" ph="1">
        <v>746</v>
      </c>
      <c r="H922" s="13" t="s" ph="1">
        <v>961</v>
      </c>
      <c r="I922" s="13" t="s" ph="1">
        <v>969</v>
      </c>
      <c r="M922" s="14" t="str" ph="1">
        <f>IFERROR(INDEX([1]!_born[生没年],
MATCH(I922,[1]!_born[作],0)),"")</f>
        <v/>
      </c>
      <c r="N922" s="14" t="str" ph="1">
        <f>IFERROR(INDEX([1]!_born[生没年],
MATCH(K922,[1]!_born[作],0)),"")</f>
        <v/>
      </c>
      <c r="O922" s="13" t="s" ph="1">
        <v>970</v>
      </c>
      <c r="R922" s="16" t="s" ph="1">
        <v>798</v>
      </c>
      <c r="S922" s="13" t="s" ph="1">
        <v>971</v>
      </c>
      <c r="W922" s="17" t="s" ph="1">
        <v>972</v>
      </c>
      <c r="X922" s="13" t="s" ph="1">
        <v>973</v>
      </c>
    </row>
    <row r="923" spans="1:24" ht="22.5" customHeight="1" ph="1" x14ac:dyDescent="0.35">
      <c r="C923" s="13" t="s" ph="1">
        <v>5796</v>
      </c>
      <c r="G923" s="13" t="s" ph="1">
        <v>746</v>
      </c>
      <c r="H923" s="13" t="s" ph="1">
        <v>961</v>
      </c>
      <c r="I923" s="13" t="s" ph="1">
        <v>974</v>
      </c>
      <c r="J923" s="13" t="s" ph="1">
        <v>964</v>
      </c>
      <c r="M923" s="14" t="str" ph="1">
        <f>IFERROR(INDEX([1]!_born[生没年],
MATCH(I923,[1]!_born[作],0)),"")</f>
        <v/>
      </c>
      <c r="N923" s="14" t="str" ph="1">
        <f>IFERROR(INDEX([1]!_born[生没年],
MATCH(K923,[1]!_born[作],0)),"")</f>
        <v/>
      </c>
      <c r="O923" s="13" t="s" ph="1">
        <v>975</v>
      </c>
      <c r="R923" s="16" t="s" ph="1">
        <v>976</v>
      </c>
      <c r="S923" s="13" t="s" ph="1">
        <v>977</v>
      </c>
      <c r="W923" s="17" t="s" ph="1">
        <v>978</v>
      </c>
      <c r="X923" s="13" t="s" ph="1">
        <v>973</v>
      </c>
    </row>
    <row r="924" spans="1:24" ht="22.5" customHeight="1" ph="1" x14ac:dyDescent="0.35">
      <c r="C924" s="13" t="s" ph="1">
        <v>5411</v>
      </c>
      <c r="G924" s="13" t="s" ph="1">
        <v>746</v>
      </c>
      <c r="H924" s="13" t="s" ph="1">
        <v>709</v>
      </c>
      <c r="I924" s="13" t="s" ph="1">
        <v>601</v>
      </c>
      <c r="M924" s="14" t="str" ph="1">
        <f>IFERROR(INDEX([1]!_born[生没年],
MATCH(I924,[1]!_born[作],0)),"")</f>
        <v/>
      </c>
      <c r="N924" s="14" t="str" ph="1">
        <f>IFERROR(INDEX([1]!_born[生没年],
MATCH(K924,[1]!_born[作],0)),"")</f>
        <v/>
      </c>
      <c r="O924" s="13" t="s" ph="1">
        <v>979</v>
      </c>
      <c r="T924" s="13" t="s" ph="1">
        <v>980</v>
      </c>
      <c r="U924" s="16" ph="1">
        <v>37464</v>
      </c>
      <c r="W924" s="17" ph="1">
        <v>1000</v>
      </c>
      <c r="X924" s="13" t="s" ph="1">
        <v>4034</v>
      </c>
    </row>
    <row r="925" spans="1:24" ht="22.5" customHeight="1" ph="1" x14ac:dyDescent="0.35">
      <c r="A925" s="106" t="s" ph="1">
        <v>981</v>
      </c>
      <c r="C925" s="13" t="s" ph="1">
        <v>5796</v>
      </c>
      <c r="G925" s="13" t="s" ph="1">
        <v>982</v>
      </c>
      <c r="H925" s="13" t="s" ph="1">
        <v>43</v>
      </c>
      <c r="I925" s="13" t="s" ph="1">
        <v>983</v>
      </c>
      <c r="M925" s="14" t="str" ph="1">
        <f>IFERROR(INDEX([1]!_born[生没年],
MATCH(I925,[1]!_born[作],0)),"")</f>
        <v/>
      </c>
      <c r="N925" s="14" t="str" ph="1">
        <f>IFERROR(INDEX([1]!_born[生没年],
MATCH(K925,[1]!_born[作],0)),"")</f>
        <v/>
      </c>
      <c r="O925" s="13" t="s" ph="1">
        <v>984</v>
      </c>
      <c r="R925" s="16" ph="1">
        <v>39389</v>
      </c>
      <c r="T925" s="13" t="s" ph="1">
        <v>985</v>
      </c>
      <c r="U925" s="16" ph="1">
        <v>39389</v>
      </c>
      <c r="V925" s="17" t="s" ph="1">
        <v>5905</v>
      </c>
      <c r="W925" s="17" ph="1">
        <v>3871</v>
      </c>
      <c r="X925" s="13" t="s" ph="1">
        <v>2629</v>
      </c>
    </row>
    <row r="926" spans="1:24" ht="22.5" customHeight="1" ph="1" x14ac:dyDescent="0.35">
      <c r="A926" s="106" t="s" ph="1">
        <v>2581</v>
      </c>
      <c r="B926" s="5" t="s" ph="1">
        <v>1010</v>
      </c>
      <c r="C926" s="13" t="s" ph="1">
        <v>5796</v>
      </c>
      <c r="G926" s="13" t="s" ph="1">
        <v>982</v>
      </c>
      <c r="H926" s="13" t="s" ph="1">
        <v>43</v>
      </c>
      <c r="I926" s="13" t="s" ph="1">
        <v>5906</v>
      </c>
      <c r="J926" s="13" t="s" ph="1">
        <v>4750</v>
      </c>
      <c r="K926" s="13" t="s" ph="1">
        <v>5907</v>
      </c>
      <c r="L926" s="13" t="s" ph="1">
        <v>5908</v>
      </c>
      <c r="M926" s="14" t="str" ph="1">
        <f>IFERROR(INDEX([1]!_born[生没年],
MATCH(I926,[1]!_born[作],0)),"")</f>
        <v/>
      </c>
      <c r="N926" s="14" t="str" ph="1">
        <f>IFERROR(INDEX([1]!_born[生没年],
MATCH(K926,[1]!_born[作],0)),"")</f>
        <v/>
      </c>
      <c r="O926" s="13" t="s" ph="1">
        <v>5909</v>
      </c>
      <c r="R926" s="16" ph="1">
        <v>40739</v>
      </c>
      <c r="T926" s="13" t="s" ph="1">
        <v>5910</v>
      </c>
      <c r="U926" s="16" ph="1">
        <v>40805</v>
      </c>
      <c r="V926" s="17" ph="1">
        <f>2800*1.05</f>
        <v>2940</v>
      </c>
      <c r="W926" s="17" ph="1">
        <f>2800*1.05</f>
        <v>2940</v>
      </c>
      <c r="X926" s="13" t="s" ph="1">
        <v>5911</v>
      </c>
    </row>
    <row r="927" spans="1:24" ht="22.5" customHeight="1" ph="1" x14ac:dyDescent="0.35">
      <c r="A927" s="106" t="s" ph="1">
        <v>2580</v>
      </c>
      <c r="B927" s="5" t="s" ph="1">
        <v>1738</v>
      </c>
      <c r="C927" s="13" t="s" ph="1">
        <v>5796</v>
      </c>
      <c r="G927" s="13" t="s" ph="1">
        <v>982</v>
      </c>
      <c r="H927" s="13" t="s" ph="1">
        <v>709</v>
      </c>
      <c r="I927" s="13" t="s" ph="1">
        <v>5912</v>
      </c>
      <c r="M927" s="14" t="str" ph="1">
        <f>IFERROR(INDEX([1]!_born[生没年],
MATCH(I927,[1]!_born[作],0)),"")</f>
        <v/>
      </c>
      <c r="N927" s="14" t="str" ph="1">
        <f>IFERROR(INDEX([1]!_born[生没年],
MATCH(K927,[1]!_born[作],0)),"")</f>
        <v/>
      </c>
      <c r="O927" s="13" t="s" ph="1">
        <v>5913</v>
      </c>
      <c r="R927" s="16" ph="1">
        <v>40775</v>
      </c>
      <c r="T927" s="13" t="s" ph="1">
        <v>2582</v>
      </c>
      <c r="U927" s="16" ph="1">
        <v>40805</v>
      </c>
      <c r="V927" s="17" ph="1">
        <f>2500*1.05</f>
        <v>2625</v>
      </c>
      <c r="W927" s="17" ph="1">
        <f>2500*1.05</f>
        <v>2625</v>
      </c>
      <c r="X927" s="13" t="s" ph="1">
        <v>5911</v>
      </c>
    </row>
    <row r="928" spans="1:24" ht="22.5" customHeight="1" ph="1" x14ac:dyDescent="0.35">
      <c r="A928" s="106" t="s" ph="1">
        <v>2672</v>
      </c>
      <c r="B928" s="5" t="s" ph="1">
        <v>999</v>
      </c>
      <c r="C928" s="13" t="s" ph="1">
        <v>5796</v>
      </c>
      <c r="G928" s="13" t="s" ph="1">
        <v>746</v>
      </c>
      <c r="H928" s="13" t="s" ph="1">
        <v>43</v>
      </c>
      <c r="I928" s="13" t="s" ph="1">
        <v>2673</v>
      </c>
      <c r="K928" s="13" t="s" ph="1">
        <v>5914</v>
      </c>
      <c r="L928" s="13" t="s" ph="1">
        <v>3752</v>
      </c>
      <c r="M928" s="14" t="str" ph="1">
        <f>IFERROR(INDEX([1]!_born[生没年],
MATCH(I928,[1]!_born[作],0)),"")</f>
        <v/>
      </c>
      <c r="N928" s="14" t="str" ph="1">
        <f>IFERROR(INDEX([1]!_born[生没年],
MATCH(K928,[1]!_born[作],0)),"")</f>
        <v/>
      </c>
      <c r="O928" s="28" t="s" ph="1">
        <v>5915</v>
      </c>
      <c r="R928" s="16" ph="1">
        <v>36908</v>
      </c>
      <c r="S928" s="13" t="s" ph="1">
        <v>2674</v>
      </c>
      <c r="T928" s="13" t="s" ph="1">
        <v>5916</v>
      </c>
      <c r="U928" s="16" ph="1">
        <v>41468</v>
      </c>
      <c r="V928" s="17" ph="1">
        <f>3200*1.05</f>
        <v>3360</v>
      </c>
      <c r="W928" s="17" ph="1">
        <f>3200*1.05</f>
        <v>3360</v>
      </c>
      <c r="X928" s="13" t="s" ph="1">
        <v>3802</v>
      </c>
    </row>
    <row r="929" spans="1:25" ht="22.5" customHeight="1" ph="1" x14ac:dyDescent="0.35">
      <c r="C929" s="13" t="s" ph="1">
        <v>5796</v>
      </c>
      <c r="G929" s="13" t="s" ph="1">
        <v>746</v>
      </c>
      <c r="H929" s="13" t="s" ph="1">
        <v>716</v>
      </c>
      <c r="I929" s="13" t="s" ph="1">
        <v>5917</v>
      </c>
      <c r="M929" s="14" t="str" ph="1">
        <f>IFERROR(INDEX([1]!_born[生没年],
MATCH(I929,[1]!_born[作],0)),"")</f>
        <v/>
      </c>
      <c r="N929" s="14" t="str" ph="1">
        <f>IFERROR(INDEX([1]!_born[生没年],
MATCH(K929,[1]!_born[作],0)),"")</f>
        <v/>
      </c>
      <c r="O929" s="28" t="s" ph="1">
        <v>5918</v>
      </c>
      <c r="R929" s="16" ph="1">
        <v>25744</v>
      </c>
      <c r="T929" s="13" t="s" ph="1">
        <v>5919</v>
      </c>
      <c r="U929" s="16" ph="1">
        <v>39310</v>
      </c>
      <c r="V929" s="17" ph="1">
        <v>2000</v>
      </c>
      <c r="W929" s="17" ph="1">
        <v>8000</v>
      </c>
      <c r="X929" s="13" t="s" ph="1">
        <v>5920</v>
      </c>
    </row>
    <row r="930" spans="1:25" ht="22.5" customHeight="1" ph="1" x14ac:dyDescent="0.35">
      <c r="C930" s="13" t="s" ph="1">
        <v>5796</v>
      </c>
      <c r="G930" s="13" t="s" ph="1">
        <v>746</v>
      </c>
      <c r="H930" s="13" t="s" ph="1">
        <v>716</v>
      </c>
      <c r="I930" s="13" t="s" ph="1">
        <v>5921</v>
      </c>
      <c r="M930" s="14" t="str" ph="1">
        <f>IFERROR(INDEX([1]!_born[生没年],
MATCH(I930,[1]!_born[作],0)),"")</f>
        <v/>
      </c>
      <c r="N930" s="14" t="str" ph="1">
        <f>IFERROR(INDEX([1]!_born[生没年],
MATCH(K930,[1]!_born[作],0)),"")</f>
        <v/>
      </c>
      <c r="O930" s="22" t="s" ph="1">
        <v>5922</v>
      </c>
      <c r="R930" s="16" ph="1">
        <v>36739</v>
      </c>
      <c r="T930" s="13" t="s" ph="1">
        <v>4839</v>
      </c>
      <c r="U930" s="16" ph="1">
        <v>36800</v>
      </c>
      <c r="V930" s="17" ph="1">
        <f>1500*1.05</f>
        <v>1575</v>
      </c>
      <c r="W930" s="17" ph="1">
        <f>1500*1.05</f>
        <v>1575</v>
      </c>
      <c r="X930" s="13" t="s" ph="1">
        <v>5923</v>
      </c>
    </row>
    <row r="931" spans="1:25" ht="22.5" customHeight="1" ph="1" x14ac:dyDescent="0.35">
      <c r="C931" s="13" t="s" ph="1">
        <v>5796</v>
      </c>
      <c r="G931" s="13" t="s" ph="1">
        <v>746</v>
      </c>
      <c r="H931" s="13" t="s" ph="1">
        <v>716</v>
      </c>
      <c r="I931" s="13" t="s" ph="1">
        <v>5924</v>
      </c>
      <c r="M931" s="14" t="str" ph="1">
        <f>IFERROR(INDEX([1]!_born[生没年],
MATCH(I931,[1]!_born[作],0)),"")</f>
        <v/>
      </c>
      <c r="N931" s="14" t="str" ph="1">
        <f>IFERROR(INDEX([1]!_born[生没年],
MATCH(K931,[1]!_born[作],0)),"")</f>
        <v/>
      </c>
      <c r="O931" s="13" t="s" ph="1">
        <v>5925</v>
      </c>
      <c r="R931" s="16" ph="1">
        <v>36485</v>
      </c>
      <c r="T931" s="13" t="s" ph="1">
        <v>5926</v>
      </c>
      <c r="U931" s="16" ph="1">
        <v>36800</v>
      </c>
      <c r="V931" s="17" ph="1">
        <f>1980*1.05</f>
        <v>2079</v>
      </c>
      <c r="W931" s="17" ph="1">
        <f>1980*1.05</f>
        <v>2079</v>
      </c>
      <c r="X931" s="13" t="s" ph="1">
        <v>5923</v>
      </c>
    </row>
    <row r="932" spans="1:25" ht="22.5" customHeight="1" ph="1" x14ac:dyDescent="0.35">
      <c r="C932" s="13" t="s" ph="1">
        <v>5796</v>
      </c>
      <c r="G932" s="13" t="s" ph="1">
        <v>810</v>
      </c>
      <c r="H932" s="13" t="s" ph="1">
        <v>709</v>
      </c>
      <c r="I932" s="13" t="s" ph="1">
        <v>174</v>
      </c>
      <c r="M932" s="14" t="str" ph="1">
        <f>IFERROR(INDEX([1]!_born[生没年],
MATCH(I932,[1]!_born[作],0)),"")</f>
        <v/>
      </c>
      <c r="N932" s="14" t="str" ph="1">
        <f>IFERROR(INDEX([1]!_born[生没年],
MATCH(K932,[1]!_born[作],0)),"")</f>
        <v/>
      </c>
      <c r="O932" s="13" t="s" ph="1">
        <v>173</v>
      </c>
      <c r="S932" s="13" t="s" ph="1">
        <v>986</v>
      </c>
      <c r="T932" s="13" t="s" ph="1">
        <v>5927</v>
      </c>
      <c r="U932" s="16" ph="1">
        <v>36471</v>
      </c>
      <c r="V932" s="17" ph="1">
        <v>2940</v>
      </c>
    </row>
    <row r="933" spans="1:25" ht="22.5" customHeight="1" ph="1" x14ac:dyDescent="0.35">
      <c r="C933" s="13" t="s" ph="1">
        <v>5796</v>
      </c>
      <c r="G933" s="13" t="s" ph="1">
        <v>810</v>
      </c>
      <c r="H933" s="13" t="s" ph="1">
        <v>709</v>
      </c>
      <c r="I933" s="13" t="s" ph="1">
        <v>174</v>
      </c>
      <c r="M933" s="14" t="str" ph="1">
        <f>IFERROR(INDEX([1]!_born[生没年],
MATCH(I933,[1]!_born[作],0)),"")</f>
        <v/>
      </c>
      <c r="N933" s="14" t="str" ph="1">
        <f>IFERROR(INDEX([1]!_born[生没年],
MATCH(K933,[1]!_born[作],0)),"")</f>
        <v/>
      </c>
      <c r="O933" s="13" t="s" ph="1">
        <v>350</v>
      </c>
      <c r="R933" s="16" t="s" ph="1">
        <v>966</v>
      </c>
      <c r="S933" s="13" t="s" ph="1">
        <v>459</v>
      </c>
      <c r="T933" s="13" t="s" ph="1">
        <v>5928</v>
      </c>
      <c r="U933" s="16" ph="1">
        <v>36716</v>
      </c>
      <c r="V933" s="17" ph="1">
        <f>2800*1.05</f>
        <v>2940</v>
      </c>
      <c r="W933" s="17" ph="1">
        <f>2800*1.05</f>
        <v>2940</v>
      </c>
      <c r="X933" s="13" t="s" ph="1">
        <v>3802</v>
      </c>
    </row>
    <row r="934" spans="1:25" ht="22.5" customHeight="1" ph="1" x14ac:dyDescent="0.35">
      <c r="C934" s="13" t="s" ph="1">
        <v>5796</v>
      </c>
      <c r="G934" s="13" t="s" ph="1">
        <v>810</v>
      </c>
      <c r="H934" s="13" t="s" ph="1">
        <v>709</v>
      </c>
      <c r="I934" s="13" t="s" ph="1">
        <v>174</v>
      </c>
      <c r="M934" s="14" t="str" ph="1">
        <f>IFERROR(INDEX([1]!_born[生没年],
MATCH(I934,[1]!_born[作],0)),"")</f>
        <v/>
      </c>
      <c r="N934" s="14" t="str" ph="1">
        <f>IFERROR(INDEX([1]!_born[生没年],
MATCH(K934,[1]!_born[作],0)),"")</f>
        <v/>
      </c>
      <c r="O934" s="13" t="s" ph="1">
        <v>542</v>
      </c>
      <c r="R934" s="16" ph="1">
        <v>37174</v>
      </c>
      <c r="S934" s="13" t="s" ph="1">
        <v>986</v>
      </c>
      <c r="T934" s="13" t="s" ph="1">
        <v>5927</v>
      </c>
      <c r="U934" s="16" ph="1">
        <v>37150</v>
      </c>
      <c r="V934" s="17" ph="1">
        <f>3600*1.05</f>
        <v>3780</v>
      </c>
      <c r="W934" s="17" ph="1">
        <f>3600*1.05</f>
        <v>3780</v>
      </c>
    </row>
    <row r="935" spans="1:25" ht="22.5" customHeight="1" ph="1" x14ac:dyDescent="0.35">
      <c r="C935" s="13" t="s" ph="1">
        <v>5796</v>
      </c>
      <c r="G935" s="13" t="s" ph="1">
        <v>810</v>
      </c>
      <c r="H935" s="13" t="s" ph="1">
        <v>716</v>
      </c>
      <c r="I935" s="13" t="s" ph="1">
        <v>5929</v>
      </c>
      <c r="M935" s="14" t="str" ph="1">
        <f>IFERROR(INDEX([1]!_born[生没年],
MATCH(I935,[1]!_born[作],0)),"")</f>
        <v/>
      </c>
      <c r="N935" s="14" t="str" ph="1">
        <f>IFERROR(INDEX([1]!_born[生没年],
MATCH(K935,[1]!_born[作],0)),"")</f>
        <v/>
      </c>
      <c r="O935" s="13" t="s" ph="1">
        <v>5930</v>
      </c>
      <c r="R935" s="16" t="s" ph="1">
        <v>743</v>
      </c>
      <c r="S935" s="13" t="s" ph="1">
        <v>986</v>
      </c>
      <c r="T935" s="13" t="s" ph="1">
        <v>5931</v>
      </c>
      <c r="U935" s="16" ph="1">
        <v>36760</v>
      </c>
      <c r="V935" s="17" ph="1">
        <v>3708</v>
      </c>
      <c r="W935" s="17" ph="1">
        <v>3708</v>
      </c>
      <c r="X935" s="13" t="s" ph="1">
        <v>3802</v>
      </c>
    </row>
    <row r="936" spans="1:25" ht="22.5" customHeight="1" ph="1" x14ac:dyDescent="0.35">
      <c r="C936" s="13" t="s" ph="1">
        <v>5796</v>
      </c>
      <c r="G936" s="13" t="s" ph="1">
        <v>810</v>
      </c>
      <c r="H936" s="13" t="s" ph="1">
        <v>716</v>
      </c>
      <c r="I936" s="13" t="s" ph="1">
        <v>5929</v>
      </c>
      <c r="J936" s="13" t="s" ph="1">
        <v>5932</v>
      </c>
      <c r="M936" s="14" t="str" ph="1">
        <f>IFERROR(INDEX([1]!_born[生没年],
MATCH(I936,[1]!_born[作],0)),"")</f>
        <v/>
      </c>
      <c r="N936" s="14" t="str" ph="1">
        <f>IFERROR(INDEX([1]!_born[生没年],
MATCH(K936,[1]!_born[作],0)),"")</f>
        <v/>
      </c>
      <c r="O936" s="13" t="s" ph="1">
        <v>5933</v>
      </c>
      <c r="R936" s="16" t="s" ph="1">
        <v>987</v>
      </c>
      <c r="S936" s="13" t="s" ph="1">
        <v>280</v>
      </c>
      <c r="T936" s="13" t="s" ph="1">
        <v>5928</v>
      </c>
      <c r="U936" s="16" ph="1">
        <v>36760</v>
      </c>
      <c r="V936" s="17" ph="1">
        <v>3708</v>
      </c>
      <c r="W936" s="17" ph="1">
        <v>3708</v>
      </c>
      <c r="X936" s="13" t="s" ph="1">
        <v>3802</v>
      </c>
    </row>
    <row r="937" spans="1:25" ht="22.5" customHeight="1" ph="1" x14ac:dyDescent="0.35">
      <c r="C937" s="13" t="s" ph="1">
        <v>5796</v>
      </c>
      <c r="G937" s="13" t="s" ph="1">
        <v>810</v>
      </c>
      <c r="H937" s="13" t="s" ph="1">
        <v>716</v>
      </c>
      <c r="I937" s="13" t="s" ph="1">
        <v>5929</v>
      </c>
      <c r="M937" s="14" t="str" ph="1">
        <f>IFERROR(INDEX([1]!_born[生没年],
MATCH(I937,[1]!_born[作],0)),"")</f>
        <v/>
      </c>
      <c r="N937" s="14" t="str" ph="1">
        <f>IFERROR(INDEX([1]!_born[生没年],
MATCH(K937,[1]!_born[作],0)),"")</f>
        <v/>
      </c>
      <c r="O937" s="13" t="s" ph="1">
        <v>5934</v>
      </c>
      <c r="R937" s="16" t="s" ph="1">
        <v>988</v>
      </c>
      <c r="S937" s="13" t="s" ph="1">
        <v>280</v>
      </c>
      <c r="T937" s="13" t="s" ph="1">
        <v>5928</v>
      </c>
      <c r="U937" s="16" ph="1">
        <v>36716</v>
      </c>
      <c r="V937" s="17" ph="1">
        <v>4995</v>
      </c>
      <c r="W937" s="17" ph="1">
        <v>4995</v>
      </c>
      <c r="X937" s="13" t="s" ph="1">
        <v>3802</v>
      </c>
    </row>
    <row r="938" spans="1:25" ht="22.5" customHeight="1" ph="1" x14ac:dyDescent="0.35">
      <c r="C938" s="13" t="s" ph="1">
        <v>5796</v>
      </c>
      <c r="G938" s="13" t="s" ph="1">
        <v>810</v>
      </c>
      <c r="H938" s="13" t="s" ph="1">
        <v>716</v>
      </c>
      <c r="I938" s="13" t="s" ph="1">
        <v>5935</v>
      </c>
      <c r="J938" s="13" t="s" ph="1">
        <v>5936</v>
      </c>
      <c r="M938" s="14" t="str" ph="1">
        <f>IFERROR(INDEX([1]!_born[生没年],
MATCH(I938,[1]!_born[作],0)),"")</f>
        <v/>
      </c>
      <c r="N938" s="14" t="str" ph="1">
        <f>IFERROR(INDEX([1]!_born[生没年],
MATCH(K938,[1]!_born[作],0)),"")</f>
        <v/>
      </c>
      <c r="O938" s="13" t="s" ph="1">
        <v>5937</v>
      </c>
      <c r="R938" s="16" t="s" ph="1">
        <v>989</v>
      </c>
      <c r="U938" s="16" ph="1">
        <v>38815</v>
      </c>
      <c r="V938" s="17" ph="1">
        <v>2000</v>
      </c>
      <c r="W938" s="17" ph="1">
        <v>2000</v>
      </c>
      <c r="X938" s="13" t="s" ph="1">
        <v>3907</v>
      </c>
    </row>
    <row r="939" spans="1:25" ht="22.5" customHeight="1" ph="1" x14ac:dyDescent="0.35">
      <c r="C939" s="13" t="s" ph="1">
        <v>5796</v>
      </c>
      <c r="G939" s="13" t="s" ph="1">
        <v>810</v>
      </c>
      <c r="H939" s="13" t="s" ph="1">
        <v>43</v>
      </c>
      <c r="I939" s="13" t="s" ph="1">
        <v>3236</v>
      </c>
      <c r="M939" s="14" t="str" ph="1">
        <f>IFERROR(INDEX([1]!_born[生没年],
MATCH(I939,[1]!_born[作],0)),"")</f>
        <v/>
      </c>
      <c r="N939" s="14" t="str" ph="1">
        <f>IFERROR(INDEX([1]!_born[生没年],
MATCH(K939,[1]!_born[作],0)),"")</f>
        <v/>
      </c>
      <c r="O939" s="13" t="s" ph="1">
        <v>990</v>
      </c>
      <c r="T939" s="13" t="s" ph="1">
        <v>991</v>
      </c>
      <c r="U939" s="16" ph="1">
        <v>37536</v>
      </c>
      <c r="W939" s="17" ph="1">
        <v>2000</v>
      </c>
      <c r="X939" s="13" t="s" ph="1">
        <v>634</v>
      </c>
    </row>
    <row r="940" spans="1:25" ht="22.5" customHeight="1" ph="1" x14ac:dyDescent="0.35">
      <c r="A940" s="106" t="s" ph="1">
        <v>3237</v>
      </c>
      <c r="C940" s="13" t="s" ph="1">
        <v>5796</v>
      </c>
      <c r="G940" s="13" t="s" ph="1">
        <v>810</v>
      </c>
      <c r="H940" s="13" t="s" ph="1">
        <v>709</v>
      </c>
      <c r="I940" s="13" t="s" ph="1">
        <v>3236</v>
      </c>
      <c r="M940" s="14" t="str" ph="1">
        <f>IFERROR(INDEX([1]!_born[生没年],
MATCH(I940,[1]!_born[作],0)),"")</f>
        <v/>
      </c>
      <c r="N940" s="14" t="str" ph="1">
        <f>IFERROR(INDEX([1]!_born[生没年],
MATCH(K940,[1]!_born[作],0)),"")</f>
        <v/>
      </c>
      <c r="O940" s="13" t="s" ph="1">
        <v>3238</v>
      </c>
      <c r="S940" s="13" t="s" ph="1">
        <v>3239</v>
      </c>
      <c r="T940" s="13" t="s" ph="1">
        <v>991</v>
      </c>
      <c r="U940" s="16" t="s" ph="1">
        <v>3229</v>
      </c>
      <c r="V940" s="17" t="s" ph="1">
        <v>1225</v>
      </c>
      <c r="W940" s="17" t="s" ph="1">
        <v>1225</v>
      </c>
      <c r="X940" s="13" t="s" ph="1">
        <v>5938</v>
      </c>
      <c r="Y940" s="13" t="s" ph="1">
        <v>5939</v>
      </c>
    </row>
    <row r="941" spans="1:25" ht="22.5" customHeight="1" ph="1" x14ac:dyDescent="0.35">
      <c r="A941" s="106" t="s" ph="1">
        <v>2507</v>
      </c>
      <c r="B941" s="5" t="s" ph="1">
        <v>589</v>
      </c>
      <c r="C941" s="13" t="s" ph="1">
        <v>5796</v>
      </c>
      <c r="G941" s="13" t="s" ph="1">
        <v>810</v>
      </c>
      <c r="H941" s="13" t="s" ph="1">
        <v>2508</v>
      </c>
      <c r="I941" s="13" t="s" ph="1">
        <v>5940</v>
      </c>
      <c r="J941" s="13" t="s" ph="1">
        <v>5941</v>
      </c>
      <c r="K941" s="13" t="s" ph="1">
        <v>5942</v>
      </c>
      <c r="L941" s="13" t="s" ph="1">
        <v>5943</v>
      </c>
      <c r="M941" s="14" t="str" ph="1">
        <f>IFERROR(INDEX([1]!_born[生没年],
MATCH(I941,[1]!_born[作],0)),"")</f>
        <v/>
      </c>
      <c r="N941" s="14" t="str" ph="1">
        <f>IFERROR(INDEX([1]!_born[生没年],
MATCH(K941,[1]!_born[作],0)),"")</f>
        <v/>
      </c>
      <c r="O941" s="15" t="s" ph="1">
        <v>5944</v>
      </c>
      <c r="R941" s="16" ph="1">
        <v>40198</v>
      </c>
      <c r="T941" s="13" t="s" ph="1">
        <v>2509</v>
      </c>
      <c r="U941" s="16" ph="1">
        <v>40383</v>
      </c>
      <c r="V941" s="17" ph="1">
        <f>3800*1.05</f>
        <v>3990</v>
      </c>
      <c r="W941" s="17" ph="1">
        <f>3800*1.05</f>
        <v>3990</v>
      </c>
      <c r="X941" s="13" t="s" ph="1">
        <v>5945</v>
      </c>
    </row>
    <row r="942" spans="1:25" ht="22.5" customHeight="1" ph="1" x14ac:dyDescent="0.35">
      <c r="C942" s="13" t="s" ph="1">
        <v>5796</v>
      </c>
      <c r="G942" s="13" t="s" ph="1">
        <v>746</v>
      </c>
      <c r="H942" s="13" t="s" ph="1">
        <v>709</v>
      </c>
      <c r="I942" s="13" t="s" ph="1">
        <v>992</v>
      </c>
      <c r="M942" s="14" t="str" ph="1">
        <f>IFERROR(INDEX([1]!_born[生没年],
MATCH(I942,[1]!_born[作],0)),"")</f>
        <v/>
      </c>
      <c r="N942" s="14" t="str" ph="1">
        <f>IFERROR(INDEX([1]!_born[生没年],
MATCH(K942,[1]!_born[作],0)),"")</f>
        <v/>
      </c>
      <c r="O942" s="15" t="s" ph="1">
        <v>993</v>
      </c>
      <c r="R942" s="16" t="s" ph="1">
        <v>742</v>
      </c>
      <c r="T942" s="13" t="s" ph="1">
        <v>991</v>
      </c>
      <c r="U942" s="16" t="s" ph="1">
        <v>747</v>
      </c>
      <c r="W942" s="17" ph="1">
        <v>4952</v>
      </c>
    </row>
    <row r="943" spans="1:25" ht="22.5" customHeight="1" ph="1" x14ac:dyDescent="0.35">
      <c r="C943" s="13" t="s" ph="1">
        <v>5796</v>
      </c>
      <c r="G943" s="13" t="s" ph="1">
        <v>746</v>
      </c>
      <c r="H943" s="13" t="s" ph="1">
        <v>709</v>
      </c>
      <c r="M943" s="14" t="str" ph="1">
        <f>IFERROR(INDEX([1]!_born[生没年],
MATCH(I943,[1]!_born[作],0)),"")</f>
        <v/>
      </c>
      <c r="N943" s="14" t="str" ph="1">
        <f>IFERROR(INDEX([1]!_born[生没年],
MATCH(K943,[1]!_born[作],0)),"")</f>
        <v/>
      </c>
      <c r="O943" s="15" t="s" ph="1">
        <v>994</v>
      </c>
      <c r="T943" s="13" t="s" ph="1">
        <v>991</v>
      </c>
      <c r="U943" s="16" t="s" ph="1">
        <v>747</v>
      </c>
      <c r="W943" s="17" ph="1">
        <v>4952</v>
      </c>
    </row>
    <row r="944" spans="1:25" ht="22.5" customHeight="1" ph="1" x14ac:dyDescent="0.35">
      <c r="C944" s="13" t="s" ph="1">
        <v>5796</v>
      </c>
      <c r="G944" s="13" t="s" ph="1">
        <v>746</v>
      </c>
      <c r="H944" s="13" t="s" ph="1">
        <v>709</v>
      </c>
      <c r="I944" s="13" t="s" ph="1">
        <v>995</v>
      </c>
      <c r="J944" s="13" t="s" ph="1">
        <v>996</v>
      </c>
      <c r="M944" s="14" t="str" ph="1">
        <f>IFERROR(INDEX([1]!_born[生没年],
MATCH(I944,[1]!_born[作],0)),"")</f>
        <v/>
      </c>
      <c r="N944" s="14" t="str" ph="1">
        <f>IFERROR(INDEX([1]!_born[生没年],
MATCH(K944,[1]!_born[作],0)),"")</f>
        <v/>
      </c>
      <c r="O944" s="15" t="s" ph="1">
        <v>997</v>
      </c>
      <c r="T944" s="13" t="s" ph="1">
        <v>991</v>
      </c>
      <c r="U944" s="16" t="s" ph="1">
        <v>747</v>
      </c>
      <c r="W944" s="17" ph="1">
        <v>4571</v>
      </c>
    </row>
    <row r="945" spans="1:25" ht="22.5" customHeight="1" ph="1" x14ac:dyDescent="0.35">
      <c r="A945" s="106" t="s" ph="1">
        <v>998</v>
      </c>
      <c r="B945" s="5" t="s" ph="1">
        <v>999</v>
      </c>
      <c r="C945" s="13" t="s" ph="1">
        <v>5796</v>
      </c>
      <c r="G945" s="13" t="s" ph="1">
        <v>746</v>
      </c>
      <c r="H945" s="13" t="s" ph="1">
        <v>716</v>
      </c>
      <c r="I945" s="13" t="s" ph="1">
        <v>5946</v>
      </c>
      <c r="J945" s="13" t="s" ph="1">
        <v>5936</v>
      </c>
      <c r="K945" s="13" t="s" ph="1">
        <v>5947</v>
      </c>
      <c r="L945" s="13" t="s" ph="1">
        <v>1000</v>
      </c>
      <c r="M945" s="14" t="str" ph="1">
        <f>IFERROR(INDEX([1]!_born[生没年],
MATCH(I945,[1]!_born[作],0)),"")</f>
        <v/>
      </c>
      <c r="N945" s="14" t="str" ph="1">
        <f>IFERROR(INDEX([1]!_born[生没年],
MATCH(K945,[1]!_born[作],0)),"")</f>
        <v/>
      </c>
      <c r="O945" s="13" t="s" ph="1">
        <v>1001</v>
      </c>
      <c r="R945" s="16" ph="1">
        <v>37200</v>
      </c>
      <c r="T945" s="13" t="s" ph="1">
        <v>5948</v>
      </c>
      <c r="U945" s="16" ph="1">
        <v>38536</v>
      </c>
      <c r="V945" s="17" t="s" ph="1">
        <v>5948</v>
      </c>
      <c r="W945" s="17" ph="1">
        <v>1000</v>
      </c>
      <c r="X945" s="13" t="s" ph="1">
        <v>3792</v>
      </c>
    </row>
    <row r="946" spans="1:25" ht="22.5" customHeight="1" ph="1" x14ac:dyDescent="0.35">
      <c r="C946" s="13" t="s" ph="1">
        <v>5796</v>
      </c>
      <c r="G946" s="13" t="s" ph="1">
        <v>746</v>
      </c>
      <c r="H946" s="13" t="s" ph="1">
        <v>716</v>
      </c>
      <c r="I946" s="13" t="s" ph="1">
        <v>5949</v>
      </c>
      <c r="M946" s="14" t="str" ph="1">
        <f>IFERROR(INDEX([1]!_born[生没年],
MATCH(I946,[1]!_born[作],0)),"")</f>
        <v/>
      </c>
      <c r="N946" s="14" t="str" ph="1">
        <f>IFERROR(INDEX([1]!_born[生没年],
MATCH(K946,[1]!_born[作],0)),"")</f>
        <v/>
      </c>
      <c r="O946" s="22" t="s" ph="1">
        <v>5950</v>
      </c>
      <c r="R946" s="16" t="s" ph="1">
        <v>930</v>
      </c>
      <c r="T946" s="13" t="s" ph="1">
        <v>5130</v>
      </c>
      <c r="U946" s="16" t="s" ph="1">
        <v>1002</v>
      </c>
      <c r="W946" s="17" ph="1">
        <v>2500</v>
      </c>
      <c r="X946" s="13" t="s" ph="1">
        <v>3792</v>
      </c>
    </row>
    <row r="947" spans="1:25" ht="22.5" customHeight="1" ph="1" x14ac:dyDescent="0.35">
      <c r="A947" s="106" t="s" ph="1">
        <v>998</v>
      </c>
      <c r="B947" s="5" t="s" ph="1">
        <v>999</v>
      </c>
      <c r="C947" s="13" t="s" ph="1">
        <v>5796</v>
      </c>
      <c r="G947" s="13" t="s" ph="1">
        <v>746</v>
      </c>
      <c r="H947" s="13" t="s" ph="1">
        <v>716</v>
      </c>
      <c r="I947" s="13" t="s" ph="1">
        <v>5951</v>
      </c>
      <c r="K947" s="13" t="s" ph="1">
        <v>5952</v>
      </c>
      <c r="L947" s="13" t="s" ph="1">
        <v>5953</v>
      </c>
      <c r="M947" s="14" t="str" ph="1">
        <f>IFERROR(INDEX([1]!_born[生没年],
MATCH(I947,[1]!_born[作],0)),"")</f>
        <v/>
      </c>
      <c r="N947" s="14" t="str" ph="1">
        <f>IFERROR(INDEX([1]!_born[生没年],
MATCH(K947,[1]!_born[作],0)),"")</f>
        <v/>
      </c>
      <c r="O947" s="13" t="s" ph="1">
        <v>5954</v>
      </c>
      <c r="R947" s="16" t="s" ph="1">
        <v>1003</v>
      </c>
      <c r="T947" s="13" t="s" ph="1">
        <v>3995</v>
      </c>
      <c r="U947" s="16" ph="1">
        <v>38536</v>
      </c>
      <c r="V947" s="17" ph="1">
        <v>2400</v>
      </c>
      <c r="W947" s="17" ph="1">
        <v>2000</v>
      </c>
      <c r="X947" s="13" t="s" ph="1">
        <v>3792</v>
      </c>
    </row>
    <row r="948" spans="1:25" ht="22.5" customHeight="1" ph="1" x14ac:dyDescent="0.35">
      <c r="A948" s="106" t="s" ph="1">
        <v>1004</v>
      </c>
      <c r="B948" s="5" t="s" ph="1">
        <v>999</v>
      </c>
      <c r="C948" s="13" t="s" ph="1">
        <v>5796</v>
      </c>
      <c r="G948" s="13" t="s" ph="1">
        <v>746</v>
      </c>
      <c r="H948" s="13" t="s" ph="1">
        <v>716</v>
      </c>
      <c r="I948" s="13" t="s" ph="1">
        <v>5955</v>
      </c>
      <c r="K948" s="13" t="s" ph="1">
        <v>5956</v>
      </c>
      <c r="L948" s="13" t="s" ph="1">
        <v>5953</v>
      </c>
      <c r="M948" s="14" t="str" ph="1">
        <f>IFERROR(INDEX([1]!_born[生没年],
MATCH(I948,[1]!_born[作],0)),"")</f>
        <v/>
      </c>
      <c r="N948" s="14" t="str" ph="1">
        <f>IFERROR(INDEX([1]!_born[生没年],
MATCH(K948,[1]!_born[作],0)),"")</f>
        <v/>
      </c>
      <c r="O948" s="13" t="s" ph="1">
        <v>5957</v>
      </c>
      <c r="R948" s="16" t="s" ph="1">
        <v>1005</v>
      </c>
      <c r="T948" s="13" t="s" ph="1">
        <v>3995</v>
      </c>
      <c r="U948" s="16" ph="1">
        <v>39244</v>
      </c>
      <c r="V948" s="17" ph="1">
        <v>2400</v>
      </c>
      <c r="X948" s="13" t="s" ph="1">
        <v>5958</v>
      </c>
    </row>
    <row r="949" spans="1:25" ht="22.5" customHeight="1" ph="1" x14ac:dyDescent="0.35">
      <c r="A949" s="106" t="s" ph="1">
        <v>1006</v>
      </c>
      <c r="B949" s="5" t="s" ph="1">
        <v>999</v>
      </c>
      <c r="C949" s="13" t="s" ph="1">
        <v>5796</v>
      </c>
      <c r="G949" s="13" t="s" ph="1">
        <v>746</v>
      </c>
      <c r="H949" s="13" t="s" ph="1">
        <v>716</v>
      </c>
      <c r="I949" s="13" t="s" ph="1">
        <v>5959</v>
      </c>
      <c r="K949" s="13" t="s" ph="1">
        <v>5960</v>
      </c>
      <c r="L949" s="13" t="s" ph="1">
        <v>5953</v>
      </c>
      <c r="M949" s="14" t="str" ph="1">
        <f>IFERROR(INDEX([1]!_born[生没年],
MATCH(I949,[1]!_born[作],0)),"")</f>
        <v/>
      </c>
      <c r="N949" s="14" t="str" ph="1">
        <f>IFERROR(INDEX([1]!_born[生没年],
MATCH(K949,[1]!_born[作],0)),"")</f>
        <v/>
      </c>
      <c r="O949" s="13" t="s" ph="1">
        <v>5961</v>
      </c>
      <c r="R949" s="16" t="s" ph="1">
        <v>1003</v>
      </c>
      <c r="T949" s="13" t="s" ph="1">
        <v>3995</v>
      </c>
      <c r="U949" s="16" ph="1">
        <v>38536</v>
      </c>
      <c r="V949" s="17" ph="1">
        <v>2400</v>
      </c>
      <c r="W949" s="17" ph="1">
        <v>800</v>
      </c>
      <c r="X949" s="13" t="s" ph="1">
        <v>3792</v>
      </c>
    </row>
    <row r="950" spans="1:25" ht="22.5" customHeight="1" ph="1" x14ac:dyDescent="0.35">
      <c r="C950" s="13" t="s" ph="1">
        <v>5796</v>
      </c>
      <c r="G950" s="13" t="s" ph="1">
        <v>746</v>
      </c>
      <c r="H950" s="13" t="s" ph="1">
        <v>716</v>
      </c>
      <c r="I950" s="13" t="s" ph="1">
        <v>5962</v>
      </c>
      <c r="M950" s="14" t="str" ph="1">
        <f>IFERROR(INDEX([1]!_born[生没年],
MATCH(I950,[1]!_born[作],0)),"")</f>
        <v/>
      </c>
      <c r="N950" s="14" t="str" ph="1">
        <f>IFERROR(INDEX([1]!_born[生没年],
MATCH(K950,[1]!_born[作],0)),"")</f>
        <v/>
      </c>
      <c r="O950" s="13" t="s" ph="1">
        <v>5963</v>
      </c>
      <c r="R950" s="16" t="s" ph="1">
        <v>1007</v>
      </c>
      <c r="T950" s="13" t="s" ph="1">
        <v>5964</v>
      </c>
      <c r="U950" s="16" t="s" ph="1">
        <v>1008</v>
      </c>
    </row>
    <row r="951" spans="1:25" ht="22.5" customHeight="1" ph="1" x14ac:dyDescent="0.35">
      <c r="C951" s="13" t="s" ph="1">
        <v>5796</v>
      </c>
      <c r="G951" s="13" t="s" ph="1">
        <v>746</v>
      </c>
      <c r="H951" s="13" t="s" ph="1">
        <v>716</v>
      </c>
      <c r="I951" s="13" t="s" ph="1">
        <v>5965</v>
      </c>
      <c r="M951" s="14" t="str" ph="1">
        <f>IFERROR(INDEX([1]!_born[生没年],
MATCH(I951,[1]!_born[作],0)),"")</f>
        <v/>
      </c>
      <c r="N951" s="14" t="str" ph="1">
        <f>IFERROR(INDEX([1]!_born[生没年],
MATCH(K951,[1]!_born[作],0)),"")</f>
        <v/>
      </c>
      <c r="O951" s="13" t="s" ph="1">
        <v>5966</v>
      </c>
      <c r="T951" s="13" t="s" ph="1">
        <v>5967</v>
      </c>
      <c r="V951" s="17" ph="1">
        <v>9800</v>
      </c>
    </row>
    <row r="952" spans="1:25" ht="22.5" customHeight="1" ph="1" x14ac:dyDescent="0.35">
      <c r="C952" s="13" t="s" ph="1">
        <v>5796</v>
      </c>
      <c r="G952" s="13" t="s" ph="1">
        <v>746</v>
      </c>
      <c r="H952" s="13" t="s" ph="1">
        <v>709</v>
      </c>
      <c r="I952" s="13" t="s" ph="1">
        <v>584</v>
      </c>
      <c r="M952" s="14" t="str" ph="1">
        <f>IFERROR(INDEX([1]!_born[生没年],
MATCH(I952,[1]!_born[作],0)),"")</f>
        <v/>
      </c>
      <c r="N952" s="14" t="str" ph="1">
        <f>IFERROR(INDEX([1]!_born[生没年],
MATCH(K952,[1]!_born[作],0)),"")</f>
        <v/>
      </c>
      <c r="O952" s="13" t="s" ph="1">
        <v>175</v>
      </c>
      <c r="R952" s="16" t="s" ph="1">
        <v>924</v>
      </c>
      <c r="S952" s="13" t="s" ph="1">
        <v>459</v>
      </c>
      <c r="T952" s="13" t="s" ph="1">
        <v>5928</v>
      </c>
      <c r="V952" s="17" ph="1">
        <v>6800</v>
      </c>
      <c r="W952" s="17" ph="1">
        <v>3500</v>
      </c>
      <c r="X952" s="5" t="s" ph="1">
        <v>4937</v>
      </c>
      <c r="Y952" s="5" ph="1"/>
    </row>
    <row r="953" spans="1:25" ht="22.5" customHeight="1" ph="1" x14ac:dyDescent="0.35">
      <c r="C953" s="13" t="s" ph="1">
        <v>5796</v>
      </c>
      <c r="G953" s="13" t="s" ph="1">
        <v>746</v>
      </c>
      <c r="H953" s="13" t="s" ph="1">
        <v>709</v>
      </c>
      <c r="M953" s="14" t="str" ph="1">
        <f>IFERROR(INDEX([1]!_born[生没年],
MATCH(I953,[1]!_born[作],0)),"")</f>
        <v/>
      </c>
      <c r="N953" s="14" t="str" ph="1">
        <f>IFERROR(INDEX([1]!_born[生没年],
MATCH(K953,[1]!_born[作],0)),"")</f>
        <v/>
      </c>
      <c r="O953" s="13" t="s" ph="1">
        <v>5968</v>
      </c>
      <c r="T953" s="13" t="s" ph="1">
        <v>5968</v>
      </c>
      <c r="X953" s="13" t="s" ph="1">
        <v>5968</v>
      </c>
    </row>
    <row r="954" spans="1:25" ht="22.5" customHeight="1" ph="1" x14ac:dyDescent="0.35">
      <c r="C954" s="13" t="s" ph="1">
        <v>5796</v>
      </c>
      <c r="G954" s="13" t="s" ph="1">
        <v>746</v>
      </c>
      <c r="H954" s="13" t="s" ph="1">
        <v>716</v>
      </c>
      <c r="M954" s="14" t="str" ph="1">
        <f>IFERROR(INDEX([1]!_born[生没年],
MATCH(I954,[1]!_born[作],0)),"")</f>
        <v/>
      </c>
      <c r="N954" s="14" t="str" ph="1">
        <f>IFERROR(INDEX([1]!_born[生没年],
MATCH(K954,[1]!_born[作],0)),"")</f>
        <v/>
      </c>
      <c r="O954" s="15" t="s" ph="1">
        <v>5969</v>
      </c>
      <c r="R954" s="16" t="s" ph="1">
        <v>745</v>
      </c>
      <c r="T954" s="13" t="s" ph="1">
        <v>5970</v>
      </c>
      <c r="U954" s="16" t="s" ph="1">
        <v>706</v>
      </c>
      <c r="X954" s="13" t="s" ph="1">
        <v>5970</v>
      </c>
    </row>
    <row r="955" spans="1:25" ht="22.5" customHeight="1" ph="1" x14ac:dyDescent="0.35">
      <c r="A955" s="106" t="s" ph="1">
        <v>1009</v>
      </c>
      <c r="B955" s="5" t="s" ph="1">
        <v>1010</v>
      </c>
      <c r="C955" s="13" t="s" ph="1">
        <v>5796</v>
      </c>
      <c r="G955" s="13" t="s" ph="1">
        <v>746</v>
      </c>
      <c r="H955" s="13" t="s" ph="1">
        <v>709</v>
      </c>
      <c r="M955" s="14" t="str" ph="1">
        <f>IFERROR(INDEX([1]!_born[生没年],
MATCH(I955,[1]!_born[作],0)),"")</f>
        <v/>
      </c>
      <c r="N955" s="14" t="str" ph="1">
        <f>IFERROR(INDEX([1]!_born[生没年],
MATCH(K955,[1]!_born[作],0)),"")</f>
        <v/>
      </c>
      <c r="O955" s="15" t="s" ph="1">
        <v>5971</v>
      </c>
      <c r="S955" s="13" t="s" ph="1">
        <v>669</v>
      </c>
      <c r="T955" s="13" t="s" ph="1">
        <v>5972</v>
      </c>
      <c r="U955" s="16" t="s" ph="1">
        <v>706</v>
      </c>
      <c r="V955" s="17" ph="1">
        <f>5340*1.03</f>
        <v>5500.2</v>
      </c>
      <c r="W955" s="17" ph="1">
        <f>5340*1.03</f>
        <v>5500.2</v>
      </c>
      <c r="X955" s="13" t="s" ph="1">
        <v>5972</v>
      </c>
    </row>
    <row r="956" spans="1:25" ht="22.5" customHeight="1" ph="1" x14ac:dyDescent="0.35">
      <c r="C956" s="13" t="s" ph="1">
        <v>5796</v>
      </c>
      <c r="G956" s="13" t="s" ph="1">
        <v>746</v>
      </c>
      <c r="H956" s="13" t="s" ph="1">
        <v>716</v>
      </c>
      <c r="M956" s="14" t="str" ph="1">
        <f>IFERROR(INDEX([1]!_born[生没年],
MATCH(I956,[1]!_born[作],0)),"")</f>
        <v/>
      </c>
      <c r="N956" s="14" t="str" ph="1">
        <f>IFERROR(INDEX([1]!_born[生没年],
MATCH(K956,[1]!_born[作],0)),"")</f>
        <v/>
      </c>
      <c r="O956" s="15" t="s" ph="1">
        <v>5973</v>
      </c>
      <c r="S956" s="13" t="s" ph="1">
        <v>669</v>
      </c>
      <c r="T956" s="13" t="s" ph="1">
        <v>5972</v>
      </c>
      <c r="U956" s="16" t="s" ph="1">
        <v>706</v>
      </c>
      <c r="X956" s="13" t="s" ph="1">
        <v>5972</v>
      </c>
    </row>
    <row r="957" spans="1:25" ht="22.5" customHeight="1" ph="1" x14ac:dyDescent="0.35">
      <c r="A957" s="106" t="s" ph="1">
        <v>1011</v>
      </c>
      <c r="B957" s="5" t="s" ph="1">
        <v>999</v>
      </c>
      <c r="C957" s="13" t="s" ph="1">
        <v>5796</v>
      </c>
      <c r="G957" s="13" t="s" ph="1">
        <v>746</v>
      </c>
      <c r="H957" s="13" t="s" ph="1">
        <v>709</v>
      </c>
      <c r="M957" s="14" t="str" ph="1">
        <f>IFERROR(INDEX([1]!_born[生没年],
MATCH(I957,[1]!_born[作],0)),"")</f>
        <v/>
      </c>
      <c r="N957" s="14" t="str" ph="1">
        <f>IFERROR(INDEX([1]!_born[生没年],
MATCH(K957,[1]!_born[作],0)),"")</f>
        <v/>
      </c>
      <c r="O957" s="15" t="s" ph="1">
        <v>689</v>
      </c>
      <c r="S957" s="13" t="s" ph="1">
        <v>1012</v>
      </c>
      <c r="T957" s="13" t="s" ph="1">
        <v>5974</v>
      </c>
      <c r="U957" s="16" t="s" ph="1">
        <v>706</v>
      </c>
      <c r="V957" s="17" ph="1">
        <f>1922*1.03</f>
        <v>1979.66</v>
      </c>
      <c r="W957" s="17" ph="1">
        <f>1922*1.03</f>
        <v>1979.66</v>
      </c>
      <c r="X957" s="13" t="s" ph="1">
        <v>5972</v>
      </c>
    </row>
    <row r="958" spans="1:25" ht="22.5" customHeight="1" ph="1" x14ac:dyDescent="0.35">
      <c r="A958" s="106" t="s" ph="1">
        <v>1013</v>
      </c>
      <c r="B958" s="5" t="s" ph="1">
        <v>999</v>
      </c>
      <c r="C958" s="13" t="s" ph="1">
        <v>5796</v>
      </c>
      <c r="G958" s="13" t="s" ph="1">
        <v>746</v>
      </c>
      <c r="H958" s="13" t="s" ph="1">
        <v>709</v>
      </c>
      <c r="I958" s="13" t="s" ph="1">
        <v>86</v>
      </c>
      <c r="J958" s="13" t="s" ph="1">
        <v>3616</v>
      </c>
      <c r="M958" s="14" t="str" ph="1">
        <f>IFERROR(INDEX([1]!_born[生没年],
MATCH(I958,[1]!_born[作],0)),"")</f>
        <v/>
      </c>
      <c r="N958" s="14" t="str" ph="1">
        <f>IFERROR(INDEX([1]!_born[生没年],
MATCH(K958,[1]!_born[作],0)),"")</f>
        <v/>
      </c>
      <c r="O958" s="15" t="s" ph="1">
        <v>690</v>
      </c>
      <c r="S958" s="13" t="s" ph="1">
        <v>1012</v>
      </c>
      <c r="T958" s="13" t="s" ph="1">
        <v>5974</v>
      </c>
      <c r="U958" s="16" t="s" ph="1">
        <v>706</v>
      </c>
      <c r="V958" s="17" ph="1">
        <f>1922*1.03</f>
        <v>1979.66</v>
      </c>
      <c r="W958" s="17" ph="1">
        <f>1922*1.03</f>
        <v>1979.66</v>
      </c>
      <c r="X958" s="13" t="s" ph="1">
        <v>5972</v>
      </c>
    </row>
    <row r="959" spans="1:25" ht="22.5" customHeight="1" ph="1" x14ac:dyDescent="0.35">
      <c r="C959" s="13" t="s" ph="1">
        <v>5796</v>
      </c>
      <c r="G959" s="13" t="s" ph="1">
        <v>746</v>
      </c>
      <c r="H959" s="13" t="s" ph="1">
        <v>709</v>
      </c>
      <c r="I959" s="13" t="s" ph="1">
        <v>5975</v>
      </c>
      <c r="J959" s="13" t="s" ph="1">
        <v>3616</v>
      </c>
      <c r="M959" s="14" t="str" ph="1">
        <f>IFERROR(INDEX([1]!_born[生没年],
MATCH(I959,[1]!_born[作],0)),"")</f>
        <v/>
      </c>
      <c r="N959" s="14" t="str" ph="1">
        <f>IFERROR(INDEX([1]!_born[生没年],
MATCH(K959,[1]!_born[作],0)),"")</f>
        <v/>
      </c>
      <c r="O959" s="15" t="s" ph="1">
        <v>5976</v>
      </c>
      <c r="T959" s="13" t="s" ph="1">
        <v>5977</v>
      </c>
      <c r="U959" s="16" t="s" ph="1">
        <v>706</v>
      </c>
      <c r="X959" s="13" t="s" ph="1">
        <v>5977</v>
      </c>
    </row>
    <row r="960" spans="1:25" ht="22.5" customHeight="1" ph="1" x14ac:dyDescent="0.35">
      <c r="A960" s="106" t="s" ph="1">
        <v>1014</v>
      </c>
      <c r="B960" s="5" t="s" ph="1">
        <v>999</v>
      </c>
      <c r="C960" s="13" t="s" ph="1">
        <v>5796</v>
      </c>
      <c r="G960" s="13" t="s" ph="1">
        <v>746</v>
      </c>
      <c r="H960" s="13" t="s" ph="1">
        <v>709</v>
      </c>
      <c r="I960" s="13" t="s" ph="1">
        <v>5978</v>
      </c>
      <c r="J960" s="13" t="s" ph="1">
        <v>3664</v>
      </c>
      <c r="K960" s="13" t="s" ph="1">
        <v>5979</v>
      </c>
      <c r="L960" s="13" t="s" ph="1">
        <v>3616</v>
      </c>
      <c r="M960" s="14" t="str" ph="1">
        <f>IFERROR(INDEX([1]!_born[生没年],
MATCH(I960,[1]!_born[作],0)),"")</f>
        <v/>
      </c>
      <c r="N960" s="14" t="str" ph="1">
        <f>IFERROR(INDEX([1]!_born[生没年],
MATCH(K960,[1]!_born[作],0)),"")</f>
        <v/>
      </c>
      <c r="O960" s="13" t="s" ph="1">
        <v>665</v>
      </c>
      <c r="S960" s="13" t="s" ph="1">
        <v>1015</v>
      </c>
      <c r="T960" s="13" t="s" ph="1">
        <v>991</v>
      </c>
      <c r="U960" s="13" t="s" ph="1">
        <v>1016</v>
      </c>
      <c r="V960" s="17" ph="1">
        <f>1500*1.05</f>
        <v>1575</v>
      </c>
      <c r="W960" s="17" ph="1">
        <f>1500*1.05</f>
        <v>1575</v>
      </c>
      <c r="X960" s="13" t="s" ph="1">
        <v>5980</v>
      </c>
    </row>
    <row r="961" spans="1:24" ht="22.5" customHeight="1" ph="1" x14ac:dyDescent="0.35">
      <c r="A961" s="106" t="s" ph="1">
        <v>1017</v>
      </c>
      <c r="B961" s="5" t="s" ph="1">
        <v>999</v>
      </c>
      <c r="C961" s="13" t="s" ph="1">
        <v>5796</v>
      </c>
      <c r="G961" s="13" t="s" ph="1">
        <v>746</v>
      </c>
      <c r="H961" s="13" t="s" ph="1">
        <v>709</v>
      </c>
      <c r="I961" s="13" t="s" ph="1">
        <v>5981</v>
      </c>
      <c r="J961" s="13" t="s" ph="1">
        <v>3664</v>
      </c>
      <c r="K961" s="13" t="s" ph="1">
        <v>5982</v>
      </c>
      <c r="L961" s="13" t="s" ph="1">
        <v>5196</v>
      </c>
      <c r="M961" s="14" t="str" ph="1">
        <f>IFERROR(INDEX([1]!_born[生没年],
MATCH(I961,[1]!_born[作],0)),"")</f>
        <v/>
      </c>
      <c r="N961" s="14" t="str" ph="1">
        <f>IFERROR(INDEX([1]!_born[生没年],
MATCH(K961,[1]!_born[作],0)),"")</f>
        <v/>
      </c>
      <c r="O961" s="13" t="s" ph="1">
        <v>5983</v>
      </c>
      <c r="S961" s="13" t="s" ph="1">
        <v>1018</v>
      </c>
      <c r="T961" s="13" t="s" ph="1">
        <v>991</v>
      </c>
      <c r="U961" s="13" t="s" ph="1">
        <v>1016</v>
      </c>
      <c r="V961" s="17" ph="1">
        <f>1500*1.05</f>
        <v>1575</v>
      </c>
      <c r="W961" s="17" ph="1">
        <f>1500*1.05</f>
        <v>1575</v>
      </c>
      <c r="X961" s="13" t="s" ph="1">
        <v>5980</v>
      </c>
    </row>
    <row r="962" spans="1:24" ht="22.5" customHeight="1" ph="1" x14ac:dyDescent="0.35">
      <c r="A962" s="106" t="s" ph="1">
        <v>1019</v>
      </c>
      <c r="B962" s="5" t="s" ph="1">
        <v>999</v>
      </c>
      <c r="C962" s="13" t="s" ph="1">
        <v>5796</v>
      </c>
      <c r="G962" s="13" t="s" ph="1">
        <v>746</v>
      </c>
      <c r="H962" s="13" t="s" ph="1">
        <v>709</v>
      </c>
      <c r="I962" s="13" t="s" ph="1">
        <v>5984</v>
      </c>
      <c r="J962" s="13" t="s" ph="1">
        <v>3616</v>
      </c>
      <c r="M962" s="14" t="str" ph="1">
        <f>IFERROR(INDEX([1]!_born[生没年],
MATCH(I962,[1]!_born[作],0)),"")</f>
        <v/>
      </c>
      <c r="N962" s="14" t="str" ph="1">
        <f>IFERROR(INDEX([1]!_born[生没年],
MATCH(K962,[1]!_born[作],0)),"")</f>
        <v/>
      </c>
      <c r="O962" s="13" t="s" ph="1">
        <v>5985</v>
      </c>
      <c r="S962" s="13" t="s" ph="1">
        <v>1020</v>
      </c>
      <c r="T962" s="13" t="s" ph="1">
        <v>5058</v>
      </c>
      <c r="U962" s="13" ph="1"/>
      <c r="V962" s="17" ph="1">
        <f>1800*1.05</f>
        <v>1890</v>
      </c>
      <c r="W962" s="17" ph="1">
        <f>1800*1.05</f>
        <v>1890</v>
      </c>
    </row>
    <row r="963" spans="1:24" ht="22.5" customHeight="1" ph="1" x14ac:dyDescent="0.35">
      <c r="A963" s="106" t="s" ph="1">
        <v>1021</v>
      </c>
      <c r="B963" s="5" t="s" ph="1">
        <v>999</v>
      </c>
      <c r="C963" s="13" t="s" ph="1">
        <v>5796</v>
      </c>
      <c r="G963" s="13" t="s" ph="1">
        <v>746</v>
      </c>
      <c r="H963" s="13" t="s" ph="1">
        <v>709</v>
      </c>
      <c r="I963" s="13" t="s" ph="1">
        <v>5984</v>
      </c>
      <c r="J963" s="13" t="s" ph="1">
        <v>3616</v>
      </c>
      <c r="M963" s="14" t="str" ph="1">
        <f>IFERROR(INDEX([1]!_born[生没年],
MATCH(I963,[1]!_born[作],0)),"")</f>
        <v/>
      </c>
      <c r="N963" s="14" t="str" ph="1">
        <f>IFERROR(INDEX([1]!_born[生没年],
MATCH(K963,[1]!_born[作],0)),"")</f>
        <v/>
      </c>
      <c r="O963" s="13" t="s" ph="1">
        <v>5986</v>
      </c>
      <c r="S963" s="13" t="s" ph="1">
        <v>1022</v>
      </c>
      <c r="T963" s="13" t="s" ph="1">
        <v>5058</v>
      </c>
      <c r="U963" s="13" ph="1"/>
      <c r="V963" s="17" ph="1">
        <f>1800*1.05</f>
        <v>1890</v>
      </c>
      <c r="W963" s="17" ph="1">
        <f>1800*1.05</f>
        <v>1890</v>
      </c>
      <c r="X963" s="13" t="s" ph="1">
        <v>592</v>
      </c>
    </row>
    <row r="964" spans="1:24" ht="22.5" customHeight="1" ph="1" x14ac:dyDescent="0.35">
      <c r="A964" s="106" t="s" ph="1">
        <v>1023</v>
      </c>
      <c r="B964" s="5" t="s" ph="1">
        <v>1024</v>
      </c>
      <c r="C964" s="13" t="s" ph="1">
        <v>5796</v>
      </c>
      <c r="G964" s="13" t="s" ph="1">
        <v>746</v>
      </c>
      <c r="H964" s="13" t="s" ph="1">
        <v>709</v>
      </c>
      <c r="I964" s="13" t="s" ph="1">
        <v>5987</v>
      </c>
      <c r="K964" s="13" t="s" ph="1">
        <v>5988</v>
      </c>
      <c r="M964" s="14" t="str" ph="1">
        <f>IFERROR(INDEX([1]!_born[生没年],
MATCH(I964,[1]!_born[作],0)),"")</f>
        <v/>
      </c>
      <c r="N964" s="14" t="str" ph="1">
        <f>IFERROR(INDEX([1]!_born[生没年],
MATCH(K964,[1]!_born[作],0)),"")</f>
        <v/>
      </c>
      <c r="O964" s="13" t="s" ph="1">
        <v>5989</v>
      </c>
      <c r="S964" s="13" t="s" ph="1">
        <v>1025</v>
      </c>
      <c r="T964" s="13" t="s" ph="1">
        <v>3780</v>
      </c>
      <c r="U964" s="13" t="s" ph="1">
        <v>1026</v>
      </c>
      <c r="V964" s="17" ph="1">
        <f>1500*1.05</f>
        <v>1575</v>
      </c>
      <c r="W964" s="17" ph="1">
        <f>1500*1.05</f>
        <v>1575</v>
      </c>
      <c r="X964" s="13" t="s" ph="1">
        <v>592</v>
      </c>
    </row>
    <row r="965" spans="1:24" ht="22.5" customHeight="1" ph="1" x14ac:dyDescent="0.35">
      <c r="A965" s="106" t="s" ph="1">
        <v>1027</v>
      </c>
      <c r="B965" s="5" t="s" ph="1">
        <v>999</v>
      </c>
      <c r="C965" s="13" t="s" ph="1">
        <v>5796</v>
      </c>
      <c r="G965" s="13" t="s" ph="1">
        <v>746</v>
      </c>
      <c r="H965" s="13" t="s" ph="1">
        <v>709</v>
      </c>
      <c r="I965" s="13" t="s" ph="1">
        <v>5990</v>
      </c>
      <c r="J965" s="13" t="s" ph="1">
        <v>3616</v>
      </c>
      <c r="M965" s="14" t="str" ph="1">
        <f>IFERROR(INDEX([1]!_born[生没年],
MATCH(I965,[1]!_born[作],0)),"")</f>
        <v/>
      </c>
      <c r="N965" s="14" t="str" ph="1">
        <f>IFERROR(INDEX([1]!_born[生没年],
MATCH(K965,[1]!_born[作],0)),"")</f>
        <v/>
      </c>
      <c r="O965" s="13" t="s" ph="1">
        <v>5991</v>
      </c>
      <c r="S965" s="13" t="s" ph="1">
        <v>1028</v>
      </c>
      <c r="T965" s="13" t="s" ph="1">
        <v>3780</v>
      </c>
      <c r="U965" s="13" t="s" ph="1">
        <v>887</v>
      </c>
      <c r="V965" s="17" ph="1">
        <f>1500*1.05</f>
        <v>1575</v>
      </c>
      <c r="W965" s="17" ph="1">
        <f>1500*1.05</f>
        <v>1575</v>
      </c>
      <c r="X965" s="13" t="s" ph="1">
        <v>592</v>
      </c>
    </row>
    <row r="966" spans="1:24" ht="22.5" customHeight="1" ph="1" x14ac:dyDescent="0.35">
      <c r="A966" s="106" t="s" ph="1">
        <v>1029</v>
      </c>
      <c r="B966" s="5" t="s" ph="1">
        <v>1030</v>
      </c>
      <c r="C966" s="13" t="s" ph="1">
        <v>707</v>
      </c>
      <c r="G966" s="13" t="s" ph="1">
        <v>746</v>
      </c>
      <c r="H966" s="13" t="s" ph="1">
        <v>709</v>
      </c>
      <c r="I966" s="13" t="s" ph="1">
        <v>666</v>
      </c>
      <c r="M966" s="14" t="str" ph="1">
        <f>IFERROR(INDEX([1]!_born[生没年],
MATCH(I966,[1]!_born[作],0)),"")</f>
        <v/>
      </c>
      <c r="N966" s="14" t="str" ph="1">
        <f>IFERROR(INDEX([1]!_born[生没年],
MATCH(K966,[1]!_born[作],0)),"")</f>
        <v/>
      </c>
      <c r="O966" s="13" t="s" ph="1">
        <v>5992</v>
      </c>
      <c r="S966" s="13" t="s" ph="1">
        <v>1031</v>
      </c>
      <c r="T966" s="13" t="s" ph="1">
        <v>5993</v>
      </c>
      <c r="U966" s="16" ph="1">
        <v>39375</v>
      </c>
      <c r="V966" s="17" ph="1">
        <f>1800*1.05</f>
        <v>1890</v>
      </c>
      <c r="W966" s="17" ph="1">
        <f>1800*1.05</f>
        <v>1890</v>
      </c>
      <c r="X966" s="13" t="s" ph="1">
        <v>5994</v>
      </c>
    </row>
    <row r="967" spans="1:24" ht="22.5" customHeight="1" ph="1" x14ac:dyDescent="0.35">
      <c r="A967" s="106" t="s" ph="1">
        <v>1032</v>
      </c>
      <c r="B967" s="5" t="s" ph="1">
        <v>1033</v>
      </c>
      <c r="C967" s="13" t="s" ph="1">
        <v>707</v>
      </c>
      <c r="G967" s="13" t="s" ph="1">
        <v>746</v>
      </c>
      <c r="H967" s="13" t="s" ph="1">
        <v>709</v>
      </c>
      <c r="I967" s="13" t="s" ph="1">
        <v>5995</v>
      </c>
      <c r="M967" s="14" t="str" ph="1">
        <f>IFERROR(INDEX([1]!_born[生没年],
MATCH(I967,[1]!_born[作],0)),"")</f>
        <v/>
      </c>
      <c r="N967" s="14" t="str" ph="1">
        <f>IFERROR(INDEX([1]!_born[生没年],
MATCH(K967,[1]!_born[作],0)),"")</f>
        <v/>
      </c>
      <c r="O967" s="13" t="s" ph="1">
        <v>5996</v>
      </c>
      <c r="S967" s="13" t="s" ph="1">
        <v>1016</v>
      </c>
      <c r="T967" s="13" t="s" ph="1">
        <v>4402</v>
      </c>
      <c r="U967" s="13" t="s" ph="1">
        <v>1016</v>
      </c>
      <c r="V967" s="17" ph="1">
        <f>1800*1.05</f>
        <v>1890</v>
      </c>
      <c r="W967" s="17" ph="1">
        <f>1800*1.05</f>
        <v>1890</v>
      </c>
      <c r="X967" s="13" t="s" ph="1">
        <v>5980</v>
      </c>
    </row>
    <row r="968" spans="1:24" ht="22.5" customHeight="1" ph="1" x14ac:dyDescent="0.35">
      <c r="C968" s="13" t="s" ph="1">
        <v>5796</v>
      </c>
      <c r="G968" s="13" t="s" ph="1">
        <v>746</v>
      </c>
      <c r="H968" s="13" t="s" ph="1">
        <v>709</v>
      </c>
      <c r="I968" s="13" t="s" ph="1">
        <v>5997</v>
      </c>
      <c r="M968" s="14" t="str" ph="1">
        <f>IFERROR(INDEX([1]!_born[生没年],
MATCH(I968,[1]!_born[作],0)),"")</f>
        <v/>
      </c>
      <c r="N968" s="14" t="str" ph="1">
        <f>IFERROR(INDEX([1]!_born[生没年],
MATCH(K968,[1]!_born[作],0)),"")</f>
        <v/>
      </c>
      <c r="O968" s="13" t="s" ph="1">
        <v>145</v>
      </c>
      <c r="V968" s="17" ph="1">
        <v>500</v>
      </c>
      <c r="W968" s="17" ph="1">
        <v>500</v>
      </c>
    </row>
    <row r="969" spans="1:24" ht="22.5" customHeight="1" ph="1" x14ac:dyDescent="0.35">
      <c r="C969" s="13" t="s" ph="1">
        <v>5796</v>
      </c>
      <c r="G969" s="13" t="s" ph="1">
        <v>746</v>
      </c>
      <c r="H969" s="13" t="s" ph="1">
        <v>709</v>
      </c>
      <c r="I969" s="13" t="s" ph="1">
        <v>5998</v>
      </c>
      <c r="M969" s="14" t="str" ph="1">
        <f>IFERROR(INDEX([1]!_born[生没年],
MATCH(I969,[1]!_born[作],0)),"")</f>
        <v/>
      </c>
      <c r="N969" s="14" t="str" ph="1">
        <f>IFERROR(INDEX([1]!_born[生没年],
MATCH(K969,[1]!_born[作],0)),"")</f>
        <v/>
      </c>
      <c r="O969" s="13" t="s" ph="1">
        <v>5998</v>
      </c>
      <c r="R969" s="16" t="s" ph="1">
        <v>988</v>
      </c>
      <c r="S969" s="13" t="s" ph="1">
        <v>585</v>
      </c>
      <c r="U969" s="16" t="s" ph="1">
        <v>706</v>
      </c>
    </row>
    <row r="970" spans="1:24" ht="22.5" customHeight="1" ph="1" x14ac:dyDescent="0.35">
      <c r="C970" s="13" t="s" ph="1">
        <v>5796</v>
      </c>
      <c r="G970" s="13" t="s" ph="1">
        <v>746</v>
      </c>
      <c r="H970" s="13" t="s" ph="1">
        <v>709</v>
      </c>
      <c r="I970" s="13" t="s" ph="1">
        <v>123</v>
      </c>
      <c r="M970" s="14" t="str" ph="1">
        <f>IFERROR(INDEX([1]!_born[生没年],
MATCH(I970,[1]!_born[作],0)),"")</f>
        <v/>
      </c>
      <c r="N970" s="14" t="str" ph="1">
        <f>IFERROR(INDEX([1]!_born[生没年],
MATCH(K970,[1]!_born[作],0)),"")</f>
        <v/>
      </c>
      <c r="O970" s="13" t="s" ph="1">
        <v>5999</v>
      </c>
      <c r="R970" s="16" t="s" ph="1">
        <v>1034</v>
      </c>
      <c r="S970" s="13" t="s" ph="1">
        <v>585</v>
      </c>
      <c r="T970" s="13" t="s" ph="1">
        <v>6000</v>
      </c>
      <c r="U970" s="16" t="s" ph="1">
        <v>706</v>
      </c>
      <c r="X970" s="13" t="s" ph="1">
        <v>6000</v>
      </c>
    </row>
    <row r="971" spans="1:24" ht="22.5" customHeight="1" ph="1" x14ac:dyDescent="0.35">
      <c r="C971" s="13" t="s" ph="1">
        <v>5796</v>
      </c>
      <c r="G971" s="13" t="s" ph="1">
        <v>746</v>
      </c>
      <c r="H971" s="13" t="s" ph="1">
        <v>1035</v>
      </c>
      <c r="I971" s="13" t="s" ph="1">
        <v>579</v>
      </c>
      <c r="M971" s="14" t="str" ph="1">
        <f>IFERROR(INDEX([1]!_born[生没年],
MATCH(I971,[1]!_born[作],0)),"")</f>
        <v/>
      </c>
      <c r="N971" s="14" t="str" ph="1">
        <f>IFERROR(INDEX([1]!_born[生没年],
MATCH(K971,[1]!_born[作],0)),"")</f>
        <v/>
      </c>
      <c r="O971" s="15" t="s" ph="1">
        <v>6001</v>
      </c>
      <c r="R971" s="16" t="s" ph="1">
        <v>745</v>
      </c>
      <c r="S971" s="13" t="s" ph="1">
        <v>585</v>
      </c>
      <c r="T971" s="13" t="s" ph="1">
        <v>6002</v>
      </c>
      <c r="U971" s="16" t="s" ph="1">
        <v>706</v>
      </c>
      <c r="V971" s="17" ph="1">
        <v>2300</v>
      </c>
      <c r="W971" s="17" ph="1">
        <v>2300</v>
      </c>
      <c r="X971" s="13" t="s" ph="1">
        <v>6002</v>
      </c>
    </row>
    <row r="972" spans="1:24" ht="22.5" customHeight="1" ph="1" x14ac:dyDescent="0.35">
      <c r="C972" s="13" t="s" ph="1">
        <v>5796</v>
      </c>
      <c r="G972" s="13" t="s" ph="1">
        <v>746</v>
      </c>
      <c r="H972" s="13" t="s" ph="1">
        <v>1035</v>
      </c>
      <c r="I972" s="13" t="s" ph="1">
        <v>512</v>
      </c>
      <c r="M972" s="14" t="str" ph="1">
        <f>IFERROR(INDEX([1]!_born[生没年],
MATCH(I972,[1]!_born[作],0)),"")</f>
        <v/>
      </c>
      <c r="N972" s="14" t="str" ph="1">
        <f>IFERROR(INDEX([1]!_born[生没年],
MATCH(K972,[1]!_born[作],0)),"")</f>
        <v/>
      </c>
      <c r="O972" s="13" t="s" ph="1">
        <v>6003</v>
      </c>
      <c r="R972" s="16" t="s" ph="1">
        <v>2851</v>
      </c>
      <c r="S972" s="13" t="s" ph="1">
        <v>585</v>
      </c>
      <c r="T972" s="13" t="s" ph="1">
        <v>6004</v>
      </c>
      <c r="U972" s="16" ph="1">
        <v>42228</v>
      </c>
      <c r="V972" s="17" ph="1">
        <v>2600</v>
      </c>
      <c r="W972" s="17" ph="1">
        <v>2600</v>
      </c>
      <c r="X972" s="13" t="s" ph="1">
        <v>6004</v>
      </c>
    </row>
    <row r="973" spans="1:24" ht="22.5" customHeight="1" ph="1" x14ac:dyDescent="0.35">
      <c r="C973" s="13" t="s" ph="1">
        <v>5796</v>
      </c>
      <c r="G973" s="13" t="s" ph="1">
        <v>746</v>
      </c>
      <c r="H973" s="13" t="s" ph="1">
        <v>1035</v>
      </c>
      <c r="I973" s="13" t="s" ph="1">
        <v>828</v>
      </c>
      <c r="M973" s="14" t="str" ph="1">
        <f>IFERROR(INDEX([1]!_born[生没年],
MATCH(I973,[1]!_born[作],0)),"")</f>
        <v/>
      </c>
      <c r="N973" s="14" t="str" ph="1">
        <f>IFERROR(INDEX([1]!_born[生没年],
MATCH(K973,[1]!_born[作],0)),"")</f>
        <v/>
      </c>
      <c r="O973" s="15" t="s" ph="1">
        <v>691</v>
      </c>
      <c r="R973" s="16" t="s" ph="1">
        <v>1036</v>
      </c>
      <c r="S973" s="13" t="s" ph="1">
        <v>281</v>
      </c>
      <c r="T973" s="13" t="s" ph="1">
        <v>1037</v>
      </c>
      <c r="U973" s="16" ph="1">
        <v>38955</v>
      </c>
      <c r="V973" s="17" ph="1">
        <f>7500*1.05</f>
        <v>7875</v>
      </c>
      <c r="W973" s="17" ph="1">
        <f>7500*1.05</f>
        <v>7875</v>
      </c>
      <c r="X973" s="13" t="s" ph="1">
        <v>6005</v>
      </c>
    </row>
    <row r="974" spans="1:24" ht="22.5" customHeight="1" ph="1" x14ac:dyDescent="0.35">
      <c r="C974" s="13" t="s" ph="1">
        <v>5796</v>
      </c>
      <c r="G974" s="13" t="s" ph="1">
        <v>746</v>
      </c>
      <c r="H974" s="13" t="s" ph="1">
        <v>1035</v>
      </c>
      <c r="I974" s="13" t="s" ph="1">
        <v>828</v>
      </c>
      <c r="M974" s="14" t="str" ph="1">
        <f>IFERROR(INDEX([1]!_born[生没年],
MATCH(I974,[1]!_born[作],0)),"")</f>
        <v/>
      </c>
      <c r="N974" s="14" t="str" ph="1">
        <f>IFERROR(INDEX([1]!_born[生没年],
MATCH(K974,[1]!_born[作],0)),"")</f>
        <v/>
      </c>
      <c r="O974" s="13" t="s" ph="1">
        <v>6006</v>
      </c>
      <c r="R974" s="16" t="s" ph="1">
        <v>1038</v>
      </c>
      <c r="S974" s="13" t="s" ph="1">
        <v>6007</v>
      </c>
      <c r="T974" s="13" t="s" ph="1">
        <v>6005</v>
      </c>
      <c r="U974" s="16" ph="1">
        <v>38955</v>
      </c>
      <c r="V974" s="17" ph="1">
        <f>3500*1.05</f>
        <v>3675</v>
      </c>
      <c r="W974" s="17" ph="1">
        <f>3500*1.05</f>
        <v>3675</v>
      </c>
      <c r="X974" s="13" t="s" ph="1">
        <v>6005</v>
      </c>
    </row>
    <row r="975" spans="1:24" ht="22.5" customHeight="1" ph="1" x14ac:dyDescent="0.35">
      <c r="C975" s="13" t="s" ph="1">
        <v>5796</v>
      </c>
      <c r="G975" s="13" t="s" ph="1">
        <v>746</v>
      </c>
      <c r="H975" s="13" t="s" ph="1">
        <v>709</v>
      </c>
      <c r="M975" s="14" t="str" ph="1">
        <f>IFERROR(INDEX([1]!_born[生没年],
MATCH(I975,[1]!_born[作],0)),"")</f>
        <v/>
      </c>
      <c r="N975" s="14" t="str" ph="1">
        <f>IFERROR(INDEX([1]!_born[生没年],
MATCH(K975,[1]!_born[作],0)),"")</f>
        <v/>
      </c>
      <c r="O975" s="15" t="s" ph="1">
        <v>6008</v>
      </c>
      <c r="S975" s="13" t="s" ph="1">
        <v>585</v>
      </c>
      <c r="T975" s="13" t="s" ph="1">
        <v>6009</v>
      </c>
      <c r="U975" s="16" t="s" ph="1">
        <v>706</v>
      </c>
      <c r="V975" s="17" ph="1">
        <v>2200</v>
      </c>
      <c r="W975" s="17" ph="1">
        <v>2200</v>
      </c>
      <c r="X975" s="13" t="s" ph="1">
        <v>6009</v>
      </c>
    </row>
    <row r="976" spans="1:24" ht="22.5" customHeight="1" ph="1" x14ac:dyDescent="0.35">
      <c r="C976" s="13" t="s" ph="1">
        <v>5796</v>
      </c>
      <c r="G976" s="13" t="s" ph="1">
        <v>746</v>
      </c>
      <c r="H976" s="13" t="s" ph="1">
        <v>709</v>
      </c>
      <c r="I976" s="13" t="s" ph="1">
        <v>95</v>
      </c>
      <c r="K976" s="13" t="s" ph="1">
        <v>6010</v>
      </c>
      <c r="L976" s="13" t="s" ph="1">
        <v>3616</v>
      </c>
      <c r="M976" s="14" t="str" ph="1">
        <f>IFERROR(INDEX([1]!_born[生没年],
MATCH(I976,[1]!_born[作],0)),"")</f>
        <v/>
      </c>
      <c r="N976" s="14" t="str" ph="1">
        <f>IFERROR(INDEX([1]!_born[生没年],
MATCH(K976,[1]!_born[作],0)),"")</f>
        <v/>
      </c>
      <c r="O976" s="15" t="s" ph="1">
        <v>6011</v>
      </c>
      <c r="S976" s="13" t="s" ph="1">
        <v>585</v>
      </c>
      <c r="T976" s="13" t="s" ph="1">
        <v>3926</v>
      </c>
      <c r="U976" s="16" t="s" ph="1">
        <v>706</v>
      </c>
      <c r="V976" s="17" ph="1">
        <v>3500</v>
      </c>
      <c r="W976" s="17" ph="1">
        <v>3500</v>
      </c>
    </row>
    <row r="977" spans="1:25" ht="22.5" customHeight="1" ph="1" x14ac:dyDescent="0.35">
      <c r="A977" s="106" t="s" ph="1">
        <v>2844</v>
      </c>
      <c r="C977" s="13" t="s" ph="1">
        <v>5796</v>
      </c>
      <c r="G977" s="13" t="s" ph="1">
        <v>746</v>
      </c>
      <c r="H977" s="13" t="s" ph="1">
        <v>43</v>
      </c>
      <c r="I977" s="13" t="s" ph="1">
        <v>2849</v>
      </c>
      <c r="K977" s="13" t="s" ph="1">
        <v>2845</v>
      </c>
      <c r="L977" s="13" t="s" ph="1">
        <v>2214</v>
      </c>
      <c r="M977" s="14" t="str" ph="1">
        <f>IFERROR(INDEX([1]!_born[生没年],
MATCH(I977,[1]!_born[作],0)),"")</f>
        <v/>
      </c>
      <c r="N977" s="14" t="str" ph="1">
        <f>IFERROR(INDEX([1]!_born[生没年],
MATCH(K977,[1]!_born[作],0)),"")</f>
        <v/>
      </c>
      <c r="O977" s="13" t="s" ph="1">
        <v>2848</v>
      </c>
      <c r="S977" s="13" t="s" ph="1">
        <v>2850</v>
      </c>
      <c r="T977" s="13" t="s" ph="1">
        <v>2847</v>
      </c>
      <c r="U977" s="16" ph="1">
        <v>40617</v>
      </c>
      <c r="V977" s="17" t="s" ph="1">
        <v>2846</v>
      </c>
      <c r="W977" s="17" ph="1">
        <f>4700*1.08</f>
        <v>5076</v>
      </c>
      <c r="X977" s="13" t="s" ph="1">
        <v>6012</v>
      </c>
    </row>
    <row r="978" spans="1:25" ht="22.5" customHeight="1" ph="1" x14ac:dyDescent="0.35">
      <c r="C978" s="13" t="s" ph="1">
        <v>5796</v>
      </c>
      <c r="G978" s="13" t="s" ph="1">
        <v>746</v>
      </c>
      <c r="H978" s="13" t="s" ph="1">
        <v>43</v>
      </c>
      <c r="I978" s="13" t="s" ph="1">
        <v>6012</v>
      </c>
      <c r="K978" s="13" t="s" ph="1">
        <v>6013</v>
      </c>
      <c r="L978" s="13" t="s" ph="1">
        <v>6014</v>
      </c>
      <c r="M978" s="14" t="str" ph="1">
        <f>IFERROR(INDEX([1]!_born[生没年],
MATCH(I978,[1]!_born[作],0)),"")</f>
        <v/>
      </c>
      <c r="N978" s="14" t="str" ph="1">
        <f>IFERROR(INDEX([1]!_born[生没年],
MATCH(K978,[1]!_born[作],0)),"")</f>
        <v/>
      </c>
      <c r="O978" s="13" t="s" ph="1">
        <v>6015</v>
      </c>
      <c r="S978" s="13" t="s" ph="1">
        <v>585</v>
      </c>
      <c r="T978" s="13" t="s" ph="1">
        <v>6012</v>
      </c>
      <c r="U978" s="16" ph="1">
        <v>42169</v>
      </c>
      <c r="V978" s="17" ph="1">
        <v>2500</v>
      </c>
      <c r="W978" s="17" ph="1">
        <v>2500</v>
      </c>
      <c r="X978" s="13" t="s" ph="1">
        <v>6012</v>
      </c>
    </row>
    <row r="979" spans="1:25" ht="22.5" customHeight="1" ph="1" x14ac:dyDescent="0.35">
      <c r="C979" s="13" t="s" ph="1">
        <v>5796</v>
      </c>
      <c r="G979" s="13" t="s" ph="1">
        <v>746</v>
      </c>
      <c r="H979" s="13" t="s" ph="1">
        <v>709</v>
      </c>
      <c r="I979" s="13" t="s" ph="1">
        <v>167</v>
      </c>
      <c r="K979" s="13" t="s" ph="1">
        <v>6016</v>
      </c>
      <c r="L979" s="13" t="s" ph="1">
        <v>1039</v>
      </c>
      <c r="M979" s="14" t="str" ph="1">
        <f>IFERROR(INDEX([1]!_born[生没年],
MATCH(I979,[1]!_born[作],0)),"")</f>
        <v/>
      </c>
      <c r="N979" s="14" t="str" ph="1">
        <f>IFERROR(INDEX([1]!_born[生没年],
MATCH(K979,[1]!_born[作],0)),"")</f>
        <v/>
      </c>
      <c r="O979" s="13" t="s" ph="1">
        <v>167</v>
      </c>
      <c r="S979" s="13" t="s" ph="1">
        <v>6017</v>
      </c>
      <c r="T979" s="13" t="s" ph="1">
        <v>4626</v>
      </c>
      <c r="U979" s="16" ph="1">
        <v>38211</v>
      </c>
      <c r="V979" s="17" ph="1">
        <f>3200*1.05</f>
        <v>3360</v>
      </c>
      <c r="W979" s="17" ph="1">
        <f>3200*1.05</f>
        <v>3360</v>
      </c>
      <c r="X979" s="13" t="s" ph="1">
        <v>6018</v>
      </c>
    </row>
    <row r="980" spans="1:25" ht="22.5" customHeight="1" ph="1" x14ac:dyDescent="0.35">
      <c r="C980" s="13" t="s" ph="1">
        <v>5796</v>
      </c>
      <c r="G980" s="13" t="s" ph="1">
        <v>746</v>
      </c>
      <c r="H980" s="13" t="s" ph="1">
        <v>709</v>
      </c>
      <c r="I980" s="13" t="s" ph="1">
        <v>124</v>
      </c>
      <c r="M980" s="14" t="str" ph="1">
        <f>IFERROR(INDEX([1]!_born[生没年],
MATCH(I980,[1]!_born[作],0)),"")</f>
        <v/>
      </c>
      <c r="N980" s="14" t="str" ph="1">
        <f>IFERROR(INDEX([1]!_born[生没年],
MATCH(K980,[1]!_born[作],0)),"")</f>
        <v/>
      </c>
      <c r="O980" s="15" t="s" ph="1">
        <v>6019</v>
      </c>
      <c r="S980" s="13" t="s" ph="1">
        <v>585</v>
      </c>
      <c r="T980" s="13" t="s" ph="1">
        <v>6020</v>
      </c>
      <c r="U980" s="16" t="s" ph="1">
        <v>706</v>
      </c>
      <c r="V980" s="17" ph="1">
        <v>2500</v>
      </c>
      <c r="W980" s="17" ph="1">
        <v>2500</v>
      </c>
      <c r="X980" s="13" t="s" ph="1">
        <v>6020</v>
      </c>
    </row>
    <row r="981" spans="1:25" ht="22.5" customHeight="1" ph="1" x14ac:dyDescent="0.35">
      <c r="C981" s="13" t="s" ph="1">
        <v>5796</v>
      </c>
      <c r="G981" s="13" t="s" ph="1">
        <v>746</v>
      </c>
      <c r="H981" s="13" t="s" ph="1">
        <v>716</v>
      </c>
      <c r="M981" s="14" t="str" ph="1">
        <f>IFERROR(INDEX([1]!_born[生没年],
MATCH(I981,[1]!_born[作],0)),"")</f>
        <v/>
      </c>
      <c r="N981" s="14" t="str" ph="1">
        <f>IFERROR(INDEX([1]!_born[生没年],
MATCH(K981,[1]!_born[作],0)),"")</f>
        <v/>
      </c>
      <c r="O981" s="15" t="s" ph="1">
        <v>6021</v>
      </c>
      <c r="S981" s="13" t="s" ph="1">
        <v>585</v>
      </c>
      <c r="T981" s="13" t="s" ph="1">
        <v>6022</v>
      </c>
      <c r="X981" s="13" t="s" ph="1">
        <v>6022</v>
      </c>
    </row>
    <row r="982" spans="1:25" ht="22.5" customHeight="1" ph="1" x14ac:dyDescent="0.35">
      <c r="C982" s="13" t="s" ph="1">
        <v>5796</v>
      </c>
      <c r="G982" s="13" t="s" ph="1">
        <v>746</v>
      </c>
      <c r="H982" s="13" t="s" ph="1">
        <v>716</v>
      </c>
      <c r="I982" s="13" t="s" ph="1">
        <v>6023</v>
      </c>
      <c r="K982" s="13" t="s" ph="1">
        <v>6024</v>
      </c>
      <c r="L982" s="13" t="s" ph="1">
        <v>6025</v>
      </c>
      <c r="M982" s="14" t="str" ph="1">
        <f>IFERROR(INDEX([1]!_born[生没年],
MATCH(I982,[1]!_born[作],0)),"")</f>
        <v/>
      </c>
      <c r="N982" s="14" t="str" ph="1">
        <f>IFERROR(INDEX([1]!_born[生没年],
MATCH(K982,[1]!_born[作],0)),"")</f>
        <v/>
      </c>
      <c r="O982" s="13" t="s" ph="1">
        <v>6026</v>
      </c>
      <c r="R982" s="16" t="s" ph="1">
        <v>1040</v>
      </c>
      <c r="S982" s="13" t="s" ph="1">
        <v>6027</v>
      </c>
      <c r="T982" s="13" t="s" ph="1">
        <v>6028</v>
      </c>
      <c r="U982" s="16" ph="1">
        <v>38955</v>
      </c>
      <c r="V982" s="17" ph="1">
        <f>2500*1.05</f>
        <v>2625</v>
      </c>
      <c r="W982" s="17" ph="1">
        <f>2500*1.05</f>
        <v>2625</v>
      </c>
      <c r="X982" s="13" t="s" ph="1">
        <v>6029</v>
      </c>
    </row>
    <row r="983" spans="1:25" ht="22.5" customHeight="1" ph="1" x14ac:dyDescent="0.35">
      <c r="C983" s="13" t="s" ph="1">
        <v>5796</v>
      </c>
      <c r="G983" s="13" t="s" ph="1">
        <v>746</v>
      </c>
      <c r="H983" s="13" t="s" ph="1">
        <v>716</v>
      </c>
      <c r="I983" s="13" t="s" ph="1">
        <v>6030</v>
      </c>
      <c r="M983" s="14" t="str" ph="1">
        <f>IFERROR(INDEX([1]!_born[生没年],
MATCH(I983,[1]!_born[作],0)),"")</f>
        <v/>
      </c>
      <c r="N983" s="14" t="str" ph="1">
        <f>IFERROR(INDEX([1]!_born[生没年],
MATCH(K983,[1]!_born[作],0)),"")</f>
        <v/>
      </c>
      <c r="O983" s="13" t="s" ph="1">
        <v>6031</v>
      </c>
      <c r="R983" s="16" t="s" ph="1">
        <v>1041</v>
      </c>
      <c r="S983" s="13" t="s" ph="1">
        <v>6032</v>
      </c>
      <c r="T983" s="13" t="s" ph="1">
        <v>6028</v>
      </c>
      <c r="U983" s="16" ph="1">
        <v>39669</v>
      </c>
      <c r="X983" s="13" t="s" ph="1">
        <v>6029</v>
      </c>
    </row>
    <row r="984" spans="1:25" ht="22.5" customHeight="1" ph="1" x14ac:dyDescent="0.35">
      <c r="A984" s="106" t="s" ph="1">
        <v>1042</v>
      </c>
      <c r="B984" s="5" t="s" ph="1">
        <v>1043</v>
      </c>
      <c r="C984" s="13" t="s" ph="1">
        <v>6033</v>
      </c>
      <c r="G984" s="13" t="s" ph="1">
        <v>746</v>
      </c>
      <c r="H984" s="13" t="s" ph="1">
        <v>716</v>
      </c>
      <c r="I984" s="13" t="s" ph="1">
        <v>6030</v>
      </c>
      <c r="M984" s="14" t="str" ph="1">
        <f>IFERROR(INDEX([1]!_born[生没年],
MATCH(I984,[1]!_born[作],0)),"")</f>
        <v/>
      </c>
      <c r="N984" s="14" t="str" ph="1">
        <f>IFERROR(INDEX([1]!_born[生没年],
MATCH(K984,[1]!_born[作],0)),"")</f>
        <v/>
      </c>
      <c r="O984" s="13" t="s" ph="1">
        <v>6034</v>
      </c>
      <c r="R984" s="16" t="s" ph="1">
        <v>1044</v>
      </c>
      <c r="S984" s="13" t="s" ph="1">
        <v>6035</v>
      </c>
      <c r="T984" s="13" t="s" ph="1">
        <v>6036</v>
      </c>
      <c r="U984" s="16" ph="1">
        <v>39669</v>
      </c>
      <c r="V984" s="17" ph="1">
        <f>1143*1.05</f>
        <v>1200.1500000000001</v>
      </c>
      <c r="W984" s="17" ph="1">
        <f>1143*1.05</f>
        <v>1200.1500000000001</v>
      </c>
      <c r="X984" s="13" t="s" ph="1">
        <v>6029</v>
      </c>
    </row>
    <row r="985" spans="1:25" ht="22.5" customHeight="1" ph="1" x14ac:dyDescent="0.35">
      <c r="C985" s="13" t="s" ph="1">
        <v>5796</v>
      </c>
      <c r="G985" s="13" t="s" ph="1">
        <v>746</v>
      </c>
      <c r="H985" s="13" t="s" ph="1">
        <v>716</v>
      </c>
      <c r="I985" s="13" t="s" ph="1">
        <v>6037</v>
      </c>
      <c r="M985" s="14" t="str" ph="1">
        <f>IFERROR(INDEX([1]!_born[生没年],
MATCH(I985,[1]!_born[作],0)),"")</f>
        <v/>
      </c>
      <c r="N985" s="14" t="str" ph="1">
        <f>IFERROR(INDEX([1]!_born[生没年],
MATCH(K985,[1]!_born[作],0)),"")</f>
        <v/>
      </c>
      <c r="O985" s="13" t="s" ph="1">
        <v>6038</v>
      </c>
      <c r="R985" s="16" t="s" ph="1">
        <v>1045</v>
      </c>
      <c r="S985" s="13" t="s" ph="1">
        <v>585</v>
      </c>
      <c r="T985" s="13" t="s" ph="1">
        <v>6039</v>
      </c>
      <c r="U985" s="16" ph="1">
        <v>36687</v>
      </c>
      <c r="V985" s="17" ph="1">
        <v>2200</v>
      </c>
      <c r="W985" s="17" ph="1">
        <v>2200</v>
      </c>
      <c r="X985" s="13" t="s" ph="1">
        <v>6022</v>
      </c>
    </row>
    <row r="986" spans="1:25" ht="22.5" customHeight="1" ph="1" x14ac:dyDescent="0.35">
      <c r="A986" s="106" t="s" ph="1">
        <v>3171</v>
      </c>
      <c r="B986" s="5" t="s" ph="1">
        <v>1010</v>
      </c>
      <c r="C986" s="13" t="s" ph="1">
        <v>5796</v>
      </c>
      <c r="G986" s="13" t="s" ph="1">
        <v>746</v>
      </c>
      <c r="H986" s="13" t="s" ph="1">
        <v>61</v>
      </c>
      <c r="I986" s="13" t="s" ph="1">
        <v>6040</v>
      </c>
      <c r="M986" s="14" t="str" ph="1">
        <f>IFERROR(INDEX([1]!_born[生没年],
MATCH(I986,[1]!_born[作],0)),"")</f>
        <v/>
      </c>
      <c r="N986" s="14" t="str" ph="1">
        <f>IFERROR(INDEX([1]!_born[生没年],
MATCH(K986,[1]!_born[作],0)),"")</f>
        <v/>
      </c>
      <c r="O986" s="15" t="s" ph="1">
        <v>6041</v>
      </c>
      <c r="R986" s="16" ph="1">
        <v>33768</v>
      </c>
      <c r="T986" s="13" t="s" ph="1">
        <v>4297</v>
      </c>
      <c r="U986" s="16" ph="1">
        <v>36687</v>
      </c>
      <c r="V986" s="17" ph="1">
        <f>6796*1.03</f>
        <v>6999.88</v>
      </c>
      <c r="W986" s="17" ph="1">
        <v>7136</v>
      </c>
      <c r="X986" s="13" t="s" ph="1">
        <v>6022</v>
      </c>
      <c r="Y986" s="13" t="s" ph="1">
        <v>6042</v>
      </c>
    </row>
    <row r="987" spans="1:25" ht="22.5" customHeight="1" ph="1" x14ac:dyDescent="0.35">
      <c r="C987" s="13" t="s" ph="1">
        <v>5796</v>
      </c>
      <c r="G987" s="13" t="s" ph="1">
        <v>746</v>
      </c>
      <c r="H987" s="13" t="s" ph="1">
        <v>716</v>
      </c>
      <c r="M987" s="14" t="str" ph="1">
        <f>IFERROR(INDEX([1]!_born[生没年],
MATCH(I987,[1]!_born[作],0)),"")</f>
        <v/>
      </c>
      <c r="N987" s="14" t="str" ph="1">
        <f>IFERROR(INDEX([1]!_born[生没年],
MATCH(K987,[1]!_born[作],0)),"")</f>
        <v/>
      </c>
      <c r="O987" s="13" t="s" ph="1">
        <v>6043</v>
      </c>
      <c r="R987" s="16" t="s" ph="1">
        <v>1046</v>
      </c>
      <c r="S987" s="13" t="s" ph="1">
        <v>585</v>
      </c>
      <c r="T987" s="13" t="s" ph="1">
        <v>6028</v>
      </c>
      <c r="U987" s="16" t="s" ph="1">
        <v>1047</v>
      </c>
      <c r="X987" s="13" t="s" ph="1">
        <v>6028</v>
      </c>
    </row>
    <row r="988" spans="1:25" ht="22.5" customHeight="1" ph="1" x14ac:dyDescent="0.35">
      <c r="C988" s="13" t="s" ph="1">
        <v>5796</v>
      </c>
      <c r="G988" s="13" t="s" ph="1">
        <v>746</v>
      </c>
      <c r="H988" s="13" t="s" ph="1">
        <v>716</v>
      </c>
      <c r="M988" s="14" t="str" ph="1">
        <f>IFERROR(INDEX([1]!_born[生没年],
MATCH(I988,[1]!_born[作],0)),"")</f>
        <v/>
      </c>
      <c r="N988" s="14" t="str" ph="1">
        <f>IFERROR(INDEX([1]!_born[生没年],
MATCH(K988,[1]!_born[作],0)),"")</f>
        <v/>
      </c>
      <c r="O988" s="13" t="s" ph="1">
        <v>6044</v>
      </c>
      <c r="R988" s="16" t="s" ph="1">
        <v>1046</v>
      </c>
      <c r="S988" s="13" t="s" ph="1">
        <v>282</v>
      </c>
      <c r="T988" s="13" t="s" ph="1">
        <v>6028</v>
      </c>
      <c r="U988" s="16" t="s" ph="1">
        <v>1047</v>
      </c>
      <c r="X988" s="13" t="s" ph="1">
        <v>6028</v>
      </c>
    </row>
    <row r="989" spans="1:25" ht="22.5" customHeight="1" ph="1" x14ac:dyDescent="0.35">
      <c r="C989" s="13" t="s" ph="1">
        <v>5796</v>
      </c>
      <c r="G989" s="13" t="s" ph="1">
        <v>746</v>
      </c>
      <c r="H989" s="13" t="s" ph="1">
        <v>709</v>
      </c>
      <c r="M989" s="14" t="str" ph="1">
        <f>IFERROR(INDEX([1]!_born[生没年],
MATCH(I989,[1]!_born[作],0)),"")</f>
        <v/>
      </c>
      <c r="N989" s="14" t="str" ph="1">
        <f>IFERROR(INDEX([1]!_born[生没年],
MATCH(K989,[1]!_born[作],0)),"")</f>
        <v/>
      </c>
      <c r="O989" s="13" t="s" ph="1">
        <v>6045</v>
      </c>
      <c r="R989" s="16" t="s" ph="1">
        <v>743</v>
      </c>
      <c r="T989" s="13" t="s" ph="1">
        <v>1048</v>
      </c>
    </row>
    <row r="990" spans="1:25" ht="22.5" customHeight="1" ph="1" x14ac:dyDescent="0.35">
      <c r="C990" s="13" t="s" ph="1">
        <v>5796</v>
      </c>
      <c r="G990" s="13" t="s" ph="1">
        <v>746</v>
      </c>
      <c r="H990" s="13" t="s" ph="1">
        <v>709</v>
      </c>
      <c r="I990" s="13" t="s" ph="1">
        <v>455</v>
      </c>
      <c r="M990" s="14" t="str" ph="1">
        <f>IFERROR(INDEX([1]!_born[生没年],
MATCH(I990,[1]!_born[作],0)),"")</f>
        <v/>
      </c>
      <c r="N990" s="14" t="str" ph="1">
        <f>IFERROR(INDEX([1]!_born[生没年],
MATCH(K990,[1]!_born[作],0)),"")</f>
        <v/>
      </c>
      <c r="O990" s="13" t="s" ph="1">
        <v>6046</v>
      </c>
      <c r="S990" s="13" t="s" ph="1">
        <v>585</v>
      </c>
      <c r="T990" s="13" t="s" ph="1">
        <v>6020</v>
      </c>
      <c r="U990" s="16" ph="1">
        <v>38725</v>
      </c>
      <c r="V990" s="17" ph="1">
        <f>2381*1.05</f>
        <v>2500.0500000000002</v>
      </c>
      <c r="W990" s="17" ph="1">
        <f>2381*1.05</f>
        <v>2500.0500000000002</v>
      </c>
      <c r="X990" s="13" t="s" ph="1">
        <v>6020</v>
      </c>
    </row>
    <row r="991" spans="1:25" ht="22.5" customHeight="1" ph="1" x14ac:dyDescent="0.35">
      <c r="C991" s="13" t="s" ph="1">
        <v>5796</v>
      </c>
      <c r="G991" s="13" t="s" ph="1">
        <v>746</v>
      </c>
      <c r="H991" s="13" t="s" ph="1">
        <v>43</v>
      </c>
      <c r="I991" s="13" t="s" ph="1">
        <v>125</v>
      </c>
      <c r="M991" s="14" t="str" ph="1">
        <f>IFERROR(INDEX([1]!_born[生没年],
MATCH(I991,[1]!_born[作],0)),"")</f>
        <v/>
      </c>
      <c r="N991" s="14" t="str" ph="1">
        <f>IFERROR(INDEX([1]!_born[生没年],
MATCH(K991,[1]!_born[作],0)),"")</f>
        <v/>
      </c>
      <c r="O991" s="13" t="s" ph="1">
        <v>6047</v>
      </c>
      <c r="S991" s="13" t="s" ph="1">
        <v>585</v>
      </c>
      <c r="T991" s="13" t="s" ph="1">
        <v>6020</v>
      </c>
      <c r="X991" s="13" t="s" ph="1">
        <v>6020</v>
      </c>
    </row>
    <row r="992" spans="1:25" ht="22.5" customHeight="1" ph="1" x14ac:dyDescent="0.35">
      <c r="C992" s="13" t="s" ph="1">
        <v>5796</v>
      </c>
      <c r="G992" s="13" t="s" ph="1">
        <v>746</v>
      </c>
      <c r="H992" s="13" t="s" ph="1">
        <v>709</v>
      </c>
      <c r="I992" s="13" t="s" ph="1">
        <v>125</v>
      </c>
      <c r="M992" s="14" t="str" ph="1">
        <f>IFERROR(INDEX([1]!_born[生没年],
MATCH(I992,[1]!_born[作],0)),"")</f>
        <v/>
      </c>
      <c r="N992" s="14" t="str" ph="1">
        <f>IFERROR(INDEX([1]!_born[生没年],
MATCH(K992,[1]!_born[作],0)),"")</f>
        <v/>
      </c>
      <c r="O992" s="13" t="s" ph="1">
        <v>10060</v>
      </c>
      <c r="S992" s="13" t="s" ph="1">
        <v>585</v>
      </c>
      <c r="T992" s="13" t="s" ph="1">
        <v>10192</v>
      </c>
      <c r="U992" s="16" ph="1">
        <v>45531</v>
      </c>
      <c r="X992" s="13" t="s" ph="1">
        <v>10192</v>
      </c>
    </row>
    <row r="993" spans="1:25" ht="22.5" customHeight="1" ph="1" x14ac:dyDescent="0.35">
      <c r="C993" s="13" t="s" ph="1">
        <v>5796</v>
      </c>
      <c r="G993" s="13" t="s" ph="1">
        <v>746</v>
      </c>
      <c r="H993" s="13" t="s" ph="1">
        <v>709</v>
      </c>
      <c r="M993" s="14" t="str" ph="1">
        <f>IFERROR(INDEX([1]!_born[生没年],
MATCH(I993,[1]!_born[作],0)),"")</f>
        <v/>
      </c>
      <c r="N993" s="14" t="str" ph="1">
        <f>IFERROR(INDEX([1]!_born[生没年],
MATCH(K993,[1]!_born[作],0)),"")</f>
        <v/>
      </c>
      <c r="O993" s="13" t="s" ph="1">
        <v>6048</v>
      </c>
    </row>
    <row r="994" spans="1:25" ht="22.5" customHeight="1" ph="1" x14ac:dyDescent="0.35">
      <c r="A994" s="106" t="s" ph="1">
        <v>1049</v>
      </c>
      <c r="C994" s="13" t="s" ph="1">
        <v>5796</v>
      </c>
      <c r="G994" s="13" t="s" ph="1">
        <v>746</v>
      </c>
      <c r="H994" s="13" t="s" ph="1">
        <v>709</v>
      </c>
      <c r="I994" s="13" t="s" ph="1">
        <v>1050</v>
      </c>
      <c r="M994" s="14" t="str" ph="1">
        <f>IFERROR(INDEX([1]!_born[生没年],
MATCH(I994,[1]!_born[作],0)),"")</f>
        <v/>
      </c>
      <c r="N994" s="14" t="str" ph="1">
        <f>IFERROR(INDEX([1]!_born[生没年],
MATCH(K994,[1]!_born[作],0)),"")</f>
        <v/>
      </c>
      <c r="O994" s="13" t="s" ph="1">
        <v>1051</v>
      </c>
      <c r="T994" s="13" t="s" ph="1">
        <v>1052</v>
      </c>
      <c r="U994" s="16" ph="1">
        <v>38634</v>
      </c>
      <c r="V994" s="17" t="s" ph="1">
        <v>6049</v>
      </c>
      <c r="W994" s="17" ph="1">
        <v>1050</v>
      </c>
      <c r="X994" s="13" t="s" ph="1">
        <v>6050</v>
      </c>
      <c r="Y994" s="13" t="s" ph="1">
        <v>6051</v>
      </c>
    </row>
    <row r="995" spans="1:25" ht="22.5" customHeight="1" ph="1" x14ac:dyDescent="0.35">
      <c r="C995" s="13" t="s" ph="1">
        <v>5796</v>
      </c>
      <c r="G995" s="13" t="s" ph="1">
        <v>746</v>
      </c>
      <c r="H995" s="13" t="s" ph="1">
        <v>709</v>
      </c>
      <c r="I995" s="13" t="s" ph="1">
        <v>1053</v>
      </c>
      <c r="M995" s="14" t="str" ph="1">
        <f>IFERROR(INDEX([1]!_born[生没年],
MATCH(I995,[1]!_born[作],0)),"")</f>
        <v/>
      </c>
      <c r="N995" s="14" t="str" ph="1">
        <f>IFERROR(INDEX([1]!_born[生没年],
MATCH(K995,[1]!_born[作],0)),"")</f>
        <v/>
      </c>
      <c r="O995" s="13" t="s" ph="1">
        <v>1054</v>
      </c>
      <c r="R995" s="16" t="s" ph="1">
        <v>987</v>
      </c>
      <c r="T995" s="13" t="s" ph="1">
        <v>991</v>
      </c>
      <c r="U995" s="16" ph="1">
        <v>37276</v>
      </c>
      <c r="V995" s="17" ph="1">
        <v>3810</v>
      </c>
      <c r="W995" s="17" ph="1">
        <f>1500*1.05</f>
        <v>1575</v>
      </c>
      <c r="X995" s="13" t="s" ph="1">
        <v>52</v>
      </c>
    </row>
    <row r="996" spans="1:25" ht="22.5" customHeight="1" ph="1" x14ac:dyDescent="0.35">
      <c r="C996" s="13" t="s" ph="1">
        <v>5796</v>
      </c>
      <c r="G996" s="13" t="s" ph="1">
        <v>746</v>
      </c>
      <c r="H996" s="13" t="s" ph="1">
        <v>709</v>
      </c>
      <c r="I996" s="13" t="s" ph="1">
        <v>6052</v>
      </c>
      <c r="K996" s="13" t="s" ph="1">
        <v>6053</v>
      </c>
      <c r="M996" s="14" t="str" ph="1">
        <f>IFERROR(INDEX([1]!_born[生没年],
MATCH(I996,[1]!_born[作],0)),"")</f>
        <v/>
      </c>
      <c r="N996" s="14" t="str" ph="1">
        <f>IFERROR(INDEX([1]!_born[生没年],
MATCH(K996,[1]!_born[作],0)),"")</f>
        <v/>
      </c>
      <c r="O996" s="13" t="s" ph="1">
        <v>6054</v>
      </c>
      <c r="R996" s="16" t="s" ph="1">
        <v>742</v>
      </c>
      <c r="S996" s="13" t="s" ph="1">
        <v>6055</v>
      </c>
      <c r="T996" s="13" t="s" ph="1">
        <v>991</v>
      </c>
      <c r="U996" s="16" ph="1">
        <v>37276</v>
      </c>
      <c r="W996" s="17" ph="1">
        <f>600*1.05</f>
        <v>630</v>
      </c>
      <c r="X996" s="13" t="s" ph="1">
        <v>52</v>
      </c>
    </row>
    <row r="997" spans="1:25" ht="22.5" customHeight="1" ph="1" x14ac:dyDescent="0.35">
      <c r="C997" s="13" t="s" ph="1">
        <v>5796</v>
      </c>
      <c r="G997" s="13" t="s" ph="1">
        <v>746</v>
      </c>
      <c r="H997" s="13" t="s" ph="1">
        <v>100</v>
      </c>
      <c r="I997" s="13" t="s" ph="1">
        <v>6056</v>
      </c>
      <c r="M997" s="14" t="str" ph="1">
        <f>IFERROR(INDEX([1]!_born[生没年],
MATCH(I997,[1]!_born[作],0)),"")</f>
        <v/>
      </c>
      <c r="N997" s="14" t="str" ph="1">
        <f>IFERROR(INDEX([1]!_born[生没年],
MATCH(K997,[1]!_born[作],0)),"")</f>
        <v/>
      </c>
      <c r="O997" s="13" t="s" ph="1">
        <v>6056</v>
      </c>
      <c r="S997" s="13" t="s" ph="1">
        <v>1055</v>
      </c>
      <c r="T997" s="13" t="s" ph="1">
        <v>991</v>
      </c>
    </row>
    <row r="998" spans="1:25" ht="22.5" customHeight="1" ph="1" x14ac:dyDescent="0.35">
      <c r="C998" s="13" t="s" ph="1">
        <v>5796</v>
      </c>
      <c r="G998" s="13" t="s" ph="1">
        <v>746</v>
      </c>
      <c r="H998" s="13" t="s" ph="1">
        <v>100</v>
      </c>
      <c r="I998" s="13" t="s" ph="1">
        <v>6057</v>
      </c>
      <c r="M998" s="14" t="str" ph="1">
        <f>IFERROR(INDEX([1]!_born[生没年],
MATCH(I998,[1]!_born[作],0)),"")</f>
        <v/>
      </c>
      <c r="N998" s="14" t="str" ph="1">
        <f>IFERROR(INDEX([1]!_born[生没年],
MATCH(K998,[1]!_born[作],0)),"")</f>
        <v/>
      </c>
      <c r="O998" s="13" t="s" ph="1">
        <v>99</v>
      </c>
      <c r="X998" s="13" t="s" ph="1">
        <v>3637</v>
      </c>
    </row>
    <row r="999" spans="1:25" ht="22.5" customHeight="1" ph="1" x14ac:dyDescent="0.35">
      <c r="C999" s="13" t="s" ph="1">
        <v>5796</v>
      </c>
      <c r="G999" s="13" t="s" ph="1">
        <v>746</v>
      </c>
      <c r="H999" s="13" t="s" ph="1">
        <v>709</v>
      </c>
      <c r="I999" s="13" t="s" ph="1">
        <v>17</v>
      </c>
      <c r="M999" s="14" t="str" ph="1">
        <f>IFERROR(INDEX([1]!_born[生没年],
MATCH(I999,[1]!_born[作],0)),"")</f>
        <v/>
      </c>
      <c r="N999" s="14" t="str" ph="1">
        <f>IFERROR(INDEX([1]!_born[生没年],
MATCH(K999,[1]!_born[作],0)),"")</f>
        <v/>
      </c>
      <c r="O999" s="13" t="s" ph="1">
        <v>17</v>
      </c>
    </row>
    <row r="1000" spans="1:25" ht="22.5" customHeight="1" ph="1" x14ac:dyDescent="0.35">
      <c r="C1000" s="13" t="s" ph="1">
        <v>5796</v>
      </c>
      <c r="G1000" s="13" t="s" ph="1">
        <v>746</v>
      </c>
      <c r="H1000" s="13" t="s" ph="1">
        <v>709</v>
      </c>
      <c r="I1000" s="13" t="s" ph="1">
        <v>159</v>
      </c>
      <c r="M1000" s="14" t="str" ph="1">
        <f>IFERROR(INDEX([1]!_born[生没年],
MATCH(I1000,[1]!_born[作],0)),"")</f>
        <v/>
      </c>
      <c r="N1000" s="14" t="str" ph="1">
        <f>IFERROR(INDEX([1]!_born[生没年],
MATCH(K1000,[1]!_born[作],0)),"")</f>
        <v/>
      </c>
      <c r="O1000" s="13" t="s" ph="1">
        <v>514</v>
      </c>
      <c r="R1000" s="16" t="s" ph="1">
        <v>1056</v>
      </c>
      <c r="S1000" s="13" t="s" ph="1">
        <v>585</v>
      </c>
      <c r="T1000" s="13" t="s" ph="1">
        <v>6058</v>
      </c>
    </row>
    <row r="1001" spans="1:25" ht="22.5" customHeight="1" ph="1" x14ac:dyDescent="0.35">
      <c r="A1001" s="108" t="s" ph="1">
        <v>1057</v>
      </c>
      <c r="C1001" s="13" t="s" ph="1">
        <v>5796</v>
      </c>
      <c r="G1001" s="13" t="s" ph="1">
        <v>746</v>
      </c>
      <c r="H1001" s="13" t="s" ph="1">
        <v>709</v>
      </c>
      <c r="I1001" s="13" t="s" ph="1">
        <v>153</v>
      </c>
      <c r="M1001" s="14" t="str" ph="1">
        <f>IFERROR(INDEX([1]!_born[生没年],
MATCH(I1001,[1]!_born[作],0)),"")</f>
        <v/>
      </c>
      <c r="N1001" s="14" t="str" ph="1">
        <f>IFERROR(INDEX([1]!_born[生没年],
MATCH(K1001,[1]!_born[作],0)),"")</f>
        <v/>
      </c>
      <c r="O1001" s="13" t="s" ph="1">
        <v>641</v>
      </c>
      <c r="R1001" s="16" t="s" ph="1">
        <v>798</v>
      </c>
      <c r="T1001" s="13" t="s" ph="1">
        <v>1058</v>
      </c>
      <c r="U1001" s="16" ph="1">
        <v>39125</v>
      </c>
      <c r="W1001" s="17" ph="1">
        <f>9230*1.05</f>
        <v>9691.5</v>
      </c>
      <c r="X1001" s="13" t="s" ph="1">
        <v>6059</v>
      </c>
    </row>
    <row r="1002" spans="1:25" ht="22.5" customHeight="1" ph="1" x14ac:dyDescent="0.35">
      <c r="A1002" s="106" t="s" ph="1">
        <v>1059</v>
      </c>
      <c r="B1002" s="5" t="s" ph="1">
        <v>1060</v>
      </c>
      <c r="C1002" s="13" t="s" ph="1">
        <v>5796</v>
      </c>
      <c r="G1002" s="13" t="s" ph="1">
        <v>746</v>
      </c>
      <c r="H1002" s="13" t="s" ph="1">
        <v>709</v>
      </c>
      <c r="I1002" s="13" t="s" ph="1">
        <v>6060</v>
      </c>
      <c r="K1002" s="13" t="s" ph="1">
        <v>6061</v>
      </c>
      <c r="L1002" s="13" t="s" ph="1">
        <v>6062</v>
      </c>
      <c r="M1002" s="14" t="str" ph="1">
        <f>IFERROR(INDEX([1]!_born[生没年],
MATCH(I1002,[1]!_born[作],0)),"")</f>
        <v/>
      </c>
      <c r="N1002" s="14" t="str" ph="1">
        <f>IFERROR(INDEX([1]!_born[生没年],
MATCH(K1002,[1]!_born[作],0)),"")</f>
        <v/>
      </c>
      <c r="O1002" s="13" t="s" ph="1">
        <v>6063</v>
      </c>
      <c r="R1002" s="16" t="s" ph="1">
        <v>1005</v>
      </c>
      <c r="T1002" s="13" t="s" ph="1">
        <v>6064</v>
      </c>
      <c r="U1002" s="16" t="s" ph="1">
        <v>1061</v>
      </c>
      <c r="V1002" s="17" ph="1">
        <f>5500*1.03</f>
        <v>5665</v>
      </c>
      <c r="W1002" s="17" t="s" ph="1">
        <v>6065</v>
      </c>
      <c r="X1002" s="13" t="s" ph="1">
        <v>3792</v>
      </c>
    </row>
    <row r="1003" spans="1:25" ht="22.5" customHeight="1" ph="1" x14ac:dyDescent="0.35">
      <c r="A1003" s="106" t="s" ph="1">
        <v>1062</v>
      </c>
      <c r="B1003" s="5" t="s" ph="1">
        <v>999</v>
      </c>
      <c r="C1003" s="13" t="s" ph="1">
        <v>5796</v>
      </c>
      <c r="G1003" s="13" t="s" ph="1">
        <v>746</v>
      </c>
      <c r="H1003" s="13" t="s" ph="1">
        <v>709</v>
      </c>
      <c r="I1003" s="13" t="s" ph="1">
        <v>642</v>
      </c>
      <c r="K1003" s="13" t="s" ph="1">
        <v>6066</v>
      </c>
      <c r="L1003" s="13" t="s" ph="1">
        <v>3628</v>
      </c>
      <c r="M1003" s="14" t="str" ph="1">
        <f>IFERROR(INDEX([1]!_born[生没年],
MATCH(I1003,[1]!_born[作],0)),"")</f>
        <v/>
      </c>
      <c r="N1003" s="14" t="str" ph="1">
        <f>IFERROR(INDEX([1]!_born[生没年],
MATCH(K1003,[1]!_born[作],0)),"")</f>
        <v/>
      </c>
      <c r="O1003" s="13" t="s" ph="1">
        <v>641</v>
      </c>
      <c r="R1003" s="16" t="s" ph="1">
        <v>791</v>
      </c>
      <c r="S1003" s="13" t="s" ph="1">
        <v>6067</v>
      </c>
      <c r="T1003" s="13" t="s" ph="1">
        <v>5058</v>
      </c>
      <c r="U1003" s="16" t="s" ph="1">
        <v>1061</v>
      </c>
      <c r="V1003" s="17" ph="1">
        <f>3800*1.05</f>
        <v>3990</v>
      </c>
      <c r="W1003" s="17" ph="1">
        <f>3800*1.05</f>
        <v>3990</v>
      </c>
      <c r="X1003" s="13" t="s" ph="1">
        <v>6059</v>
      </c>
      <c r="Y1003" s="13" t="s" ph="1">
        <v>6068</v>
      </c>
    </row>
    <row r="1004" spans="1:25" ht="22.5" customHeight="1" ph="1" x14ac:dyDescent="0.35">
      <c r="C1004" s="13" t="s" ph="1">
        <v>5796</v>
      </c>
      <c r="G1004" s="13" t="s" ph="1">
        <v>746</v>
      </c>
      <c r="H1004" s="13" t="s" ph="1">
        <v>709</v>
      </c>
      <c r="I1004" s="13" t="s" ph="1">
        <v>631</v>
      </c>
      <c r="M1004" s="14" t="str" ph="1">
        <f>IFERROR(INDEX([1]!_born[生没年],
MATCH(I1004,[1]!_born[作],0)),"")</f>
        <v/>
      </c>
      <c r="N1004" s="14" t="str" ph="1">
        <f>IFERROR(INDEX([1]!_born[生没年],
MATCH(K1004,[1]!_born[作],0)),"")</f>
        <v/>
      </c>
      <c r="O1004" s="13" t="s" ph="1">
        <v>6069</v>
      </c>
    </row>
    <row r="1005" spans="1:25" ht="22.5" customHeight="1" ph="1" x14ac:dyDescent="0.35">
      <c r="C1005" s="13" t="s" ph="1">
        <v>5796</v>
      </c>
      <c r="G1005" s="13" t="s" ph="1">
        <v>746</v>
      </c>
      <c r="H1005" s="13" t="s" ph="1">
        <v>709</v>
      </c>
      <c r="M1005" s="14" t="str" ph="1">
        <f>IFERROR(INDEX([1]!_born[生没年],
MATCH(I1005,[1]!_born[作],0)),"")</f>
        <v/>
      </c>
      <c r="N1005" s="14" t="str" ph="1">
        <f>IFERROR(INDEX([1]!_born[生没年],
MATCH(K1005,[1]!_born[作],0)),"")</f>
        <v/>
      </c>
      <c r="O1005" s="13" t="s" ph="1">
        <v>6070</v>
      </c>
      <c r="R1005" s="16" t="s" ph="1">
        <v>800</v>
      </c>
      <c r="T1005" s="13" t="s" ph="1">
        <v>6071</v>
      </c>
    </row>
    <row r="1006" spans="1:25" ht="22.5" customHeight="1" ph="1" x14ac:dyDescent="0.35">
      <c r="C1006" s="13" t="s" ph="1">
        <v>5796</v>
      </c>
      <c r="G1006" s="13" t="s" ph="1">
        <v>746</v>
      </c>
      <c r="H1006" s="13" t="s" ph="1">
        <v>709</v>
      </c>
      <c r="I1006" s="13" t="s" ph="1">
        <v>133</v>
      </c>
      <c r="M1006" s="14" t="str" ph="1">
        <f>IFERROR(INDEX([1]!_born[生没年],
MATCH(I1006,[1]!_born[作],0)),"")</f>
        <v/>
      </c>
      <c r="N1006" s="14" t="str" ph="1">
        <f>IFERROR(INDEX([1]!_born[生没年],
MATCH(K1006,[1]!_born[作],0)),"")</f>
        <v/>
      </c>
      <c r="O1006" s="13" t="s" ph="1">
        <v>87</v>
      </c>
    </row>
    <row r="1007" spans="1:25" ht="22.5" customHeight="1" ph="1" x14ac:dyDescent="0.35">
      <c r="A1007" s="106" t="s" ph="1">
        <v>1063</v>
      </c>
      <c r="C1007" s="13" t="s" ph="1">
        <v>5796</v>
      </c>
      <c r="G1007" s="13" t="s" ph="1">
        <v>746</v>
      </c>
      <c r="H1007" s="13" t="s" ph="1">
        <v>709</v>
      </c>
      <c r="I1007" s="13" t="s" ph="1">
        <v>1064</v>
      </c>
      <c r="M1007" s="14" t="str" ph="1">
        <f>IFERROR(INDEX([1]!_born[生没年],
MATCH(I1007,[1]!_born[作],0)),"")</f>
        <v/>
      </c>
      <c r="N1007" s="14" t="str" ph="1">
        <f>IFERROR(INDEX([1]!_born[生没年],
MATCH(K1007,[1]!_born[作],0)),"")</f>
        <v/>
      </c>
      <c r="O1007" s="13" t="s" ph="1">
        <v>1065</v>
      </c>
      <c r="T1007" s="13" t="s" ph="1">
        <v>991</v>
      </c>
      <c r="U1007" s="16" ph="1">
        <v>38913</v>
      </c>
      <c r="V1007" s="17" ph="1">
        <f>1800*1.05</f>
        <v>1890</v>
      </c>
      <c r="W1007" s="17" ph="1">
        <f>1800*1.05</f>
        <v>1890</v>
      </c>
      <c r="X1007" s="13" t="s" ph="1">
        <v>6072</v>
      </c>
    </row>
    <row r="1008" spans="1:25" ht="22.5" customHeight="1" ph="1" x14ac:dyDescent="0.35">
      <c r="A1008" s="106" t="s" ph="1">
        <v>1066</v>
      </c>
      <c r="B1008" s="5" t="s" ph="1">
        <v>1060</v>
      </c>
      <c r="C1008" s="13" t="s" ph="1">
        <v>5796</v>
      </c>
      <c r="G1008" s="13" t="s" ph="1">
        <v>746</v>
      </c>
      <c r="H1008" s="13" t="s" ph="1">
        <v>716</v>
      </c>
      <c r="I1008" s="13" t="s" ph="1">
        <v>6073</v>
      </c>
      <c r="J1008" s="13" t="s" ph="1">
        <v>3616</v>
      </c>
      <c r="K1008" s="13" t="s" ph="1">
        <v>6074</v>
      </c>
      <c r="L1008" s="13" t="s" ph="1">
        <v>6075</v>
      </c>
      <c r="M1008" s="14" t="str" ph="1">
        <f>IFERROR(INDEX([1]!_born[生没年],
MATCH(I1008,[1]!_born[作],0)),"")</f>
        <v/>
      </c>
      <c r="N1008" s="14" t="str" ph="1">
        <f>IFERROR(INDEX([1]!_born[生没年],
MATCH(K1008,[1]!_born[作],0)),"")</f>
        <v/>
      </c>
      <c r="O1008" s="13" t="s" ph="1">
        <v>6076</v>
      </c>
      <c r="R1008" s="16" t="s" ph="1">
        <v>6077</v>
      </c>
      <c r="S1008" s="13" t="s" ph="1">
        <v>6078</v>
      </c>
      <c r="T1008" s="13" t="s" ph="1">
        <v>3780</v>
      </c>
      <c r="U1008" s="16" ph="1">
        <v>38724</v>
      </c>
      <c r="V1008" s="17" ph="1">
        <f>2800*1.05</f>
        <v>2940</v>
      </c>
    </row>
    <row r="1009" spans="1:24" ht="22.5" customHeight="1" ph="1" x14ac:dyDescent="0.35">
      <c r="C1009" s="13" t="s" ph="1">
        <v>5796</v>
      </c>
      <c r="G1009" s="13" t="s" ph="1">
        <v>746</v>
      </c>
      <c r="H1009" s="13" t="s" ph="1">
        <v>709</v>
      </c>
      <c r="I1009" s="13" t="s" ph="1">
        <v>209</v>
      </c>
      <c r="K1009" s="13" t="s" ph="1">
        <v>210</v>
      </c>
      <c r="M1009" s="14" t="str" ph="1">
        <f>IFERROR(INDEX([1]!_born[生没年],
MATCH(I1009,[1]!_born[作],0)),"")</f>
        <v/>
      </c>
      <c r="N1009" s="14" t="str" ph="1">
        <f>IFERROR(INDEX([1]!_born[生没年],
MATCH(K1009,[1]!_born[作],0)),"")</f>
        <v/>
      </c>
      <c r="O1009" s="13" t="s" ph="1">
        <v>6079</v>
      </c>
      <c r="R1009" s="16" t="s" ph="1">
        <v>1067</v>
      </c>
      <c r="S1009" s="13" t="s" ph="1">
        <v>1068</v>
      </c>
      <c r="T1009" s="13" t="s" ph="1">
        <v>991</v>
      </c>
      <c r="U1009" s="16" ph="1">
        <v>37803</v>
      </c>
      <c r="V1009" s="17" ph="1">
        <f>1000*1.05</f>
        <v>1050</v>
      </c>
      <c r="W1009" s="17" ph="1">
        <f>1000*1.05</f>
        <v>1050</v>
      </c>
      <c r="X1009" s="13" t="s" ph="1">
        <v>6059</v>
      </c>
    </row>
    <row r="1010" spans="1:24" ht="22.5" customHeight="1" ph="1" x14ac:dyDescent="0.35">
      <c r="C1010" s="13" t="s" ph="1">
        <v>5796</v>
      </c>
      <c r="G1010" s="13" t="s" ph="1">
        <v>746</v>
      </c>
      <c r="H1010" s="13" t="s" ph="1">
        <v>709</v>
      </c>
      <c r="I1010" s="13" t="s" ph="1">
        <v>164</v>
      </c>
      <c r="M1010" s="14" t="str" ph="1">
        <f>IFERROR(INDEX([1]!_born[生没年],
MATCH(I1010,[1]!_born[作],0)),"")</f>
        <v/>
      </c>
      <c r="N1010" s="14" t="str" ph="1">
        <f>IFERROR(INDEX([1]!_born[生没年],
MATCH(K1010,[1]!_born[作],0)),"")</f>
        <v/>
      </c>
      <c r="O1010" s="13" t="s" ph="1">
        <v>6080</v>
      </c>
      <c r="R1010" s="16" t="s" ph="1">
        <v>1005</v>
      </c>
      <c r="T1010" s="13" t="s" ph="1">
        <v>6081</v>
      </c>
      <c r="U1010" s="16" ph="1">
        <v>38631</v>
      </c>
      <c r="W1010" s="17" ph="1">
        <v>700</v>
      </c>
      <c r="X1010" s="13" t="s" ph="1">
        <v>3792</v>
      </c>
    </row>
    <row r="1011" spans="1:24" ht="22.5" customHeight="1" ph="1" x14ac:dyDescent="0.35">
      <c r="C1011" s="13" t="s" ph="1">
        <v>5796</v>
      </c>
      <c r="G1011" s="13" t="s" ph="1">
        <v>746</v>
      </c>
      <c r="H1011" s="13" t="s" ph="1">
        <v>31</v>
      </c>
      <c r="I1011" s="13" t="s" ph="1">
        <v>583</v>
      </c>
      <c r="M1011" s="14" t="str" ph="1">
        <f>IFERROR(INDEX([1]!_born[生没年],
MATCH(I1011,[1]!_born[作],0)),"")</f>
        <v/>
      </c>
      <c r="N1011" s="14" t="str" ph="1">
        <f>IFERROR(INDEX([1]!_born[生没年],
MATCH(K1011,[1]!_born[作],0)),"")</f>
        <v/>
      </c>
      <c r="O1011" s="13" t="s" ph="1">
        <v>6082</v>
      </c>
      <c r="R1011" s="16" t="s" ph="1">
        <v>1069</v>
      </c>
      <c r="S1011" s="13" t="s" ph="1">
        <v>6083</v>
      </c>
      <c r="T1011" s="13" t="s" ph="1">
        <v>6084</v>
      </c>
      <c r="U1011" s="16" t="s" ph="1">
        <v>1070</v>
      </c>
      <c r="X1011" s="13" t="s" ph="1">
        <v>6085</v>
      </c>
    </row>
    <row r="1012" spans="1:24" ht="22.5" customHeight="1" ph="1" x14ac:dyDescent="0.35">
      <c r="C1012" s="13" t="s" ph="1">
        <v>5796</v>
      </c>
      <c r="G1012" s="13" t="s" ph="1">
        <v>746</v>
      </c>
      <c r="H1012" s="13" t="s" ph="1">
        <v>709</v>
      </c>
      <c r="I1012" s="13" t="s" ph="1">
        <v>433</v>
      </c>
      <c r="M1012" s="14" t="str" ph="1">
        <f>IFERROR(INDEX([1]!_born[生没年],
MATCH(I1012,[1]!_born[作],0)),"")</f>
        <v/>
      </c>
      <c r="N1012" s="14" t="str" ph="1">
        <f>IFERROR(INDEX([1]!_born[生没年],
MATCH(K1012,[1]!_born[作],0)),"")</f>
        <v/>
      </c>
      <c r="O1012" s="13" t="s" ph="1">
        <v>6086</v>
      </c>
      <c r="R1012" s="16" t="s" ph="1">
        <v>1071</v>
      </c>
      <c r="S1012" s="13" t="s" ph="1">
        <v>6087</v>
      </c>
      <c r="T1012" s="13" t="s" ph="1">
        <v>1072</v>
      </c>
      <c r="U1012" s="16" ph="1">
        <v>38998</v>
      </c>
      <c r="X1012" s="13" t="s" ph="1">
        <v>6088</v>
      </c>
    </row>
    <row r="1013" spans="1:24" ht="22.5" customHeight="1" ph="1" x14ac:dyDescent="0.35">
      <c r="C1013" s="13" t="s" ph="1">
        <v>5796</v>
      </c>
      <c r="G1013" s="13" t="s" ph="1">
        <v>746</v>
      </c>
      <c r="H1013" s="13" t="s" ph="1">
        <v>716</v>
      </c>
      <c r="M1013" s="14" t="str" ph="1">
        <f>IFERROR(INDEX([1]!_born[生没年],
MATCH(I1013,[1]!_born[作],0)),"")</f>
        <v/>
      </c>
      <c r="N1013" s="14" t="str" ph="1">
        <f>IFERROR(INDEX([1]!_born[生没年],
MATCH(K1013,[1]!_born[作],0)),"")</f>
        <v/>
      </c>
      <c r="O1013" s="13" t="s" ph="1">
        <v>6089</v>
      </c>
      <c r="U1013" s="16" t="s" ph="1">
        <v>706</v>
      </c>
    </row>
    <row r="1014" spans="1:24" ht="22.5" customHeight="1" ph="1" x14ac:dyDescent="0.35">
      <c r="C1014" s="13" t="s" ph="1">
        <v>5796</v>
      </c>
      <c r="G1014" s="13" t="s" ph="1">
        <v>746</v>
      </c>
      <c r="H1014" s="13" t="s" ph="1">
        <v>709</v>
      </c>
      <c r="M1014" s="14" t="str" ph="1">
        <f>IFERROR(INDEX([1]!_born[生没年],
MATCH(I1014,[1]!_born[作],0)),"")</f>
        <v/>
      </c>
      <c r="N1014" s="14" t="str" ph="1">
        <f>IFERROR(INDEX([1]!_born[生没年],
MATCH(K1014,[1]!_born[作],0)),"")</f>
        <v/>
      </c>
      <c r="O1014" s="13" t="s" ph="1">
        <v>6090</v>
      </c>
      <c r="U1014" s="16" t="s" ph="1">
        <v>706</v>
      </c>
    </row>
    <row r="1015" spans="1:24" ht="22.5" customHeight="1" ph="1" x14ac:dyDescent="0.35">
      <c r="A1015" s="106" t="s" ph="1">
        <v>1073</v>
      </c>
      <c r="B1015" s="5" t="s" ph="1">
        <v>1010</v>
      </c>
      <c r="C1015" s="13" t="s" ph="1">
        <v>5796</v>
      </c>
      <c r="G1015" s="13" t="s" ph="1">
        <v>1074</v>
      </c>
      <c r="H1015" s="13" t="s" ph="1">
        <v>709</v>
      </c>
      <c r="I1015" s="13" t="s" ph="1">
        <v>29</v>
      </c>
      <c r="M1015" s="14" t="str" ph="1">
        <f>IFERROR(INDEX([1]!_born[生没年],
MATCH(I1015,[1]!_born[作],0)),"")</f>
        <v/>
      </c>
      <c r="N1015" s="14" t="str" ph="1">
        <f>IFERROR(INDEX([1]!_born[生没年],
MATCH(K1015,[1]!_born[作],0)),"")</f>
        <v/>
      </c>
      <c r="O1015" s="13" t="s" ph="1">
        <v>6091</v>
      </c>
      <c r="R1015" s="16" t="s" ph="1">
        <v>1075</v>
      </c>
      <c r="S1015" s="13" t="s" ph="1">
        <v>6092</v>
      </c>
      <c r="T1015" s="13" t="s" ph="1">
        <v>3607</v>
      </c>
      <c r="U1015" s="16" ph="1">
        <v>39254</v>
      </c>
      <c r="V1015" s="17" ph="1">
        <f>1600*1.05</f>
        <v>1680</v>
      </c>
      <c r="W1015" s="17" ph="1">
        <f>1600*1.05</f>
        <v>1680</v>
      </c>
      <c r="X1015" s="13" t="s" ph="1">
        <v>3802</v>
      </c>
    </row>
    <row r="1016" spans="1:24" ht="22.5" customHeight="1" ph="1" x14ac:dyDescent="0.35">
      <c r="C1016" s="13" t="s" ph="1">
        <v>5796</v>
      </c>
      <c r="G1016" s="13" t="s" ph="1">
        <v>1074</v>
      </c>
      <c r="H1016" s="13" t="s" ph="1">
        <v>716</v>
      </c>
      <c r="I1016" s="13" t="s" ph="1">
        <v>6093</v>
      </c>
      <c r="J1016" s="13" t="s" ph="1">
        <v>3616</v>
      </c>
      <c r="K1016" s="13" t="s" ph="1">
        <v>6094</v>
      </c>
      <c r="L1016" s="13" t="s" ph="1">
        <v>4543</v>
      </c>
      <c r="M1016" s="14" t="str" ph="1">
        <f>IFERROR(INDEX([1]!_born[生没年],
MATCH(I1016,[1]!_born[作],0)),"")</f>
        <v/>
      </c>
      <c r="N1016" s="14" t="str" ph="1">
        <f>IFERROR(INDEX([1]!_born[生没年],
MATCH(K1016,[1]!_born[作],0)),"")</f>
        <v/>
      </c>
      <c r="O1016" s="13" t="s" ph="1">
        <v>6095</v>
      </c>
      <c r="T1016" s="13" t="s" ph="1">
        <v>5075</v>
      </c>
      <c r="V1016" s="17" ph="1">
        <f>3800*1.05</f>
        <v>3990</v>
      </c>
    </row>
    <row r="1017" spans="1:24" ht="22.5" customHeight="1" ph="1" x14ac:dyDescent="0.35">
      <c r="C1017" s="13" t="s" ph="1">
        <v>5796</v>
      </c>
      <c r="G1017" s="13" t="s" ph="1">
        <v>1074</v>
      </c>
      <c r="H1017" s="13" t="s" ph="1">
        <v>709</v>
      </c>
      <c r="I1017" s="13" t="s" ph="1">
        <v>6096</v>
      </c>
      <c r="J1017" s="13" t="s" ph="1">
        <v>3752</v>
      </c>
      <c r="M1017" s="14" t="str" ph="1">
        <f>IFERROR(INDEX([1]!_born[生没年],
MATCH(I1017,[1]!_born[作],0)),"")</f>
        <v/>
      </c>
      <c r="N1017" s="14" t="str" ph="1">
        <f>IFERROR(INDEX([1]!_born[生没年],
MATCH(K1017,[1]!_born[作],0)),"")</f>
        <v/>
      </c>
      <c r="O1017" s="13" t="s" ph="1">
        <v>6097</v>
      </c>
      <c r="T1017" s="13" t="s" ph="1">
        <v>6098</v>
      </c>
      <c r="V1017" s="17" ph="1">
        <v>2500</v>
      </c>
      <c r="W1017" s="17" ph="1">
        <v>800</v>
      </c>
    </row>
    <row r="1018" spans="1:24" ht="22.5" customHeight="1" ph="1" x14ac:dyDescent="0.35">
      <c r="C1018" s="13" t="s" ph="1">
        <v>5796</v>
      </c>
      <c r="G1018" s="13" t="s" ph="1">
        <v>746</v>
      </c>
      <c r="H1018" s="13" t="s" ph="1">
        <v>61</v>
      </c>
      <c r="I1018" s="13" t="s" ph="1">
        <v>6099</v>
      </c>
      <c r="M1018" s="14" t="str" ph="1">
        <f>IFERROR(INDEX([1]!_born[生没年],
MATCH(I1018,[1]!_born[作],0)),"")</f>
        <v/>
      </c>
      <c r="N1018" s="14" t="str" ph="1">
        <f>IFERROR(INDEX([1]!_born[生没年],
MATCH(K1018,[1]!_born[作],0)),"")</f>
        <v/>
      </c>
      <c r="O1018" s="13" t="s" ph="1">
        <v>6100</v>
      </c>
      <c r="R1018" s="16" ph="1">
        <v>43175</v>
      </c>
      <c r="T1018" s="13" t="s" ph="1">
        <v>6101</v>
      </c>
      <c r="U1018" s="16" ph="1">
        <v>43909</v>
      </c>
    </row>
    <row r="1019" spans="1:24" ht="22.5" customHeight="1" ph="1" x14ac:dyDescent="0.35">
      <c r="C1019" s="13" t="s" ph="1">
        <v>5796</v>
      </c>
      <c r="G1019" s="13" t="s" ph="1">
        <v>746</v>
      </c>
      <c r="H1019" s="13" t="s" ph="1">
        <v>61</v>
      </c>
      <c r="I1019" s="133" t="s" ph="1">
        <v>10350</v>
      </c>
      <c r="M1019" s="14" t="str" ph="1">
        <f>IFERROR(INDEX([1]!_born[生没年],
MATCH(I1019,[1]!_born[作],0)),"")</f>
        <v/>
      </c>
      <c r="N1019" s="14" t="str" ph="1">
        <f>IFERROR(INDEX([1]!_born[生没年],
MATCH(K1019,[1]!_born[作],0)),"")</f>
        <v/>
      </c>
      <c r="O1019" s="133" t="s" ph="1">
        <v>10351</v>
      </c>
      <c r="T1019" s="133" t="s" ph="1">
        <v>10351</v>
      </c>
      <c r="U1019" s="16" ph="1">
        <v>45959</v>
      </c>
      <c r="V1019" s="17" ph="1">
        <v>3960</v>
      </c>
      <c r="W1019" s="17" ph="1">
        <v>3960</v>
      </c>
      <c r="X1019" s="133" t="s" ph="1">
        <v>10351</v>
      </c>
    </row>
    <row r="1020" spans="1:24" ht="22.5" customHeight="1" ph="1" x14ac:dyDescent="0.35">
      <c r="C1020" s="13" t="s" ph="1">
        <v>5796</v>
      </c>
      <c r="G1020" s="13" t="s" ph="1">
        <v>746</v>
      </c>
      <c r="H1020" s="13" t="s" ph="1">
        <v>61</v>
      </c>
      <c r="I1020" s="13" t="s" ph="1">
        <v>6102</v>
      </c>
      <c r="M1020" s="14" t="str" ph="1">
        <f>IFERROR(INDEX([1]!_born[生没年],
MATCH(I1020,[1]!_born[作],0)),"")</f>
        <v/>
      </c>
      <c r="N1020" s="14" t="str" ph="1">
        <f>IFERROR(INDEX([1]!_born[生没年],
MATCH(K1020,[1]!_born[作],0)),"")</f>
        <v/>
      </c>
      <c r="O1020" s="13" t="s" ph="1">
        <v>6103</v>
      </c>
    </row>
    <row r="1021" spans="1:24" ht="22.5" customHeight="1" ph="1" x14ac:dyDescent="0.35">
      <c r="C1021" s="13" t="s" ph="1">
        <v>5796</v>
      </c>
      <c r="G1021" s="13" t="s" ph="1">
        <v>746</v>
      </c>
      <c r="H1021" s="13" t="s" ph="1">
        <v>61</v>
      </c>
      <c r="I1021" s="13" t="s" ph="1">
        <v>6102</v>
      </c>
      <c r="M1021" s="14" t="str" ph="1">
        <f>IFERROR(INDEX([1]!_born[生没年],
MATCH(I1021,[1]!_born[作],0)),"")</f>
        <v/>
      </c>
      <c r="N1021" s="14" t="str" ph="1">
        <f>IFERROR(INDEX([1]!_born[生没年],
MATCH(K1021,[1]!_born[作],0)),"")</f>
        <v/>
      </c>
      <c r="O1021" s="13" t="s" ph="1">
        <v>6104</v>
      </c>
    </row>
    <row r="1022" spans="1:24" ht="22.5" customHeight="1" ph="1" x14ac:dyDescent="0.35">
      <c r="C1022" s="13" t="s" ph="1">
        <v>3648</v>
      </c>
      <c r="G1022" s="13" t="s" ph="1">
        <v>746</v>
      </c>
      <c r="H1022" s="13" t="s" ph="1">
        <v>709</v>
      </c>
      <c r="I1022" s="13" t="s" ph="1">
        <v>6105</v>
      </c>
      <c r="M1022" s="14" t="str" ph="1">
        <f>IFERROR(INDEX([1]!_born[生没年],
MATCH(I1022,[1]!_born[作],0)),"")</f>
        <v/>
      </c>
      <c r="N1022" s="14" t="str" ph="1">
        <f>IFERROR(INDEX([1]!_born[生没年],
MATCH(K1022,[1]!_born[作],0)),"")</f>
        <v/>
      </c>
      <c r="O1022" s="13" t="s" ph="1">
        <v>380</v>
      </c>
    </row>
    <row r="1023" spans="1:24" ht="22.5" customHeight="1" ph="1" x14ac:dyDescent="0.35">
      <c r="C1023" s="13" t="s" ph="1">
        <v>3648</v>
      </c>
      <c r="G1023" s="13" t="s" ph="1">
        <v>746</v>
      </c>
      <c r="H1023" s="13" t="s" ph="1">
        <v>716</v>
      </c>
      <c r="I1023" s="13" t="s" ph="1">
        <v>6106</v>
      </c>
      <c r="M1023" s="14" t="str" ph="1">
        <f>IFERROR(INDEX([1]!_born[生没年],
MATCH(I1023,[1]!_born[作],0)),"")</f>
        <v/>
      </c>
      <c r="N1023" s="14" t="str" ph="1">
        <f>IFERROR(INDEX([1]!_born[生没年],
MATCH(K1023,[1]!_born[作],0)),"")</f>
        <v/>
      </c>
      <c r="O1023" s="13" t="s" ph="1">
        <v>6107</v>
      </c>
      <c r="R1023" s="16" t="s" ph="1">
        <v>1076</v>
      </c>
      <c r="T1023" s="13" t="s" ph="1">
        <v>3607</v>
      </c>
      <c r="U1023" s="16" t="s" ph="1">
        <v>706</v>
      </c>
      <c r="V1023" s="17" ph="1">
        <v>1500</v>
      </c>
      <c r="W1023" s="17" ph="1">
        <v>0</v>
      </c>
    </row>
    <row r="1024" spans="1:24" ht="22.5" customHeight="1" ph="1" x14ac:dyDescent="0.35">
      <c r="C1024" s="13" t="s" ph="1">
        <v>3648</v>
      </c>
      <c r="G1024" s="13" t="s" ph="1">
        <v>746</v>
      </c>
      <c r="H1024" s="13" t="s" ph="1">
        <v>716</v>
      </c>
      <c r="I1024" s="13" t="s" ph="1">
        <v>6106</v>
      </c>
      <c r="M1024" s="14" t="str" ph="1">
        <f>IFERROR(INDEX([1]!_born[生没年],
MATCH(I1024,[1]!_born[作],0)),"")</f>
        <v/>
      </c>
      <c r="N1024" s="14" t="str" ph="1">
        <f>IFERROR(INDEX([1]!_born[生没年],
MATCH(K1024,[1]!_born[作],0)),"")</f>
        <v/>
      </c>
      <c r="O1024" s="13" t="s" ph="1">
        <v>6108</v>
      </c>
      <c r="R1024" s="16" t="s" ph="1">
        <v>6109</v>
      </c>
      <c r="S1024" s="13" t="s" ph="1">
        <v>6110</v>
      </c>
      <c r="T1024" s="13" t="s" ph="1">
        <v>3607</v>
      </c>
      <c r="V1024" s="17" ph="1">
        <v>2400</v>
      </c>
    </row>
    <row r="1025" spans="1:25" ht="22.5" customHeight="1" ph="1" x14ac:dyDescent="0.35">
      <c r="C1025" s="13" t="s" ph="1">
        <v>3648</v>
      </c>
      <c r="G1025" s="13" t="s" ph="1">
        <v>746</v>
      </c>
      <c r="H1025" s="13" t="s" ph="1">
        <v>61</v>
      </c>
      <c r="I1025" s="13" t="s" ph="1">
        <v>6106</v>
      </c>
      <c r="M1025" s="14" t="str" ph="1">
        <f>IFERROR(INDEX([1]!_born[生没年],
MATCH(I1025,[1]!_born[作],0)),"")</f>
        <v/>
      </c>
      <c r="N1025" s="14" t="str" ph="1">
        <f>IFERROR(INDEX([1]!_born[生没年],
MATCH(K1025,[1]!_born[作],0)),"")</f>
        <v/>
      </c>
      <c r="O1025" s="13" t="s" ph="1">
        <v>6111</v>
      </c>
      <c r="T1025" s="13" t="s" ph="1">
        <v>3607</v>
      </c>
      <c r="V1025" s="17" ph="1">
        <f>2800*1.05</f>
        <v>2940</v>
      </c>
    </row>
    <row r="1026" spans="1:25" ht="22.5" customHeight="1" ph="1" x14ac:dyDescent="0.35">
      <c r="A1026" s="106" t="s" ph="1">
        <v>10262</v>
      </c>
      <c r="B1026" s="5" t="s" ph="1">
        <v>10263</v>
      </c>
      <c r="C1026" s="13" t="s" ph="1">
        <v>3648</v>
      </c>
      <c r="G1026" s="13" t="s" ph="1">
        <v>746</v>
      </c>
      <c r="H1026" s="13" t="s" ph="1">
        <v>716</v>
      </c>
      <c r="I1026" s="13" t="s" ph="1">
        <v>10264</v>
      </c>
      <c r="J1026" s="13" t="s" ph="1">
        <v>3671</v>
      </c>
      <c r="K1026" s="13" t="s" ph="1">
        <v>10268</v>
      </c>
      <c r="L1026" s="13" t="s" ph="1">
        <v>3664</v>
      </c>
      <c r="M1026" s="14" t="str" ph="1">
        <f>IFERROR(INDEX([1]!_born[生没年],
MATCH(I1026,[1]!_born[作],0)),"")</f>
        <v/>
      </c>
      <c r="N1026" s="14" t="str" ph="1">
        <f>IFERROR(INDEX([1]!_born[生没年],
MATCH(K1026,[1]!_born[作],0)),"")</f>
        <v/>
      </c>
      <c r="O1026" s="13" t="s" ph="1">
        <v>10269</v>
      </c>
      <c r="R1026" s="16" ph="1">
        <v>45896</v>
      </c>
      <c r="S1026" s="13" t="s" ph="1">
        <v>10265</v>
      </c>
      <c r="T1026" s="13" t="s" ph="1">
        <v>3607</v>
      </c>
      <c r="U1026" s="16" ph="1">
        <v>45907</v>
      </c>
      <c r="V1026" s="17" ph="1">
        <f>2500*1.1</f>
        <v>2750</v>
      </c>
      <c r="W1026" s="17" ph="1">
        <f>2500*1.1</f>
        <v>2750</v>
      </c>
      <c r="X1026" s="13" t="s" ph="1">
        <v>2874</v>
      </c>
    </row>
    <row r="1027" spans="1:25" ht="22.5" customHeight="1" ph="1" x14ac:dyDescent="0.35">
      <c r="C1027" s="13" t="s" ph="1">
        <v>3648</v>
      </c>
      <c r="G1027" s="13" t="s" ph="1">
        <v>746</v>
      </c>
      <c r="H1027" s="13" t="s" ph="1">
        <v>716</v>
      </c>
      <c r="I1027" s="13" t="s" ph="1">
        <v>6112</v>
      </c>
      <c r="M1027" s="14" t="str" ph="1">
        <f>IFERROR(INDEX([1]!_born[生没年],
MATCH(I1027,[1]!_born[作],0)),"")</f>
        <v/>
      </c>
      <c r="N1027" s="14" t="str" ph="1">
        <f>IFERROR(INDEX([1]!_born[生没年],
MATCH(K1027,[1]!_born[作],0)),"")</f>
        <v/>
      </c>
      <c r="O1027" s="13" t="s" ph="1">
        <v>6113</v>
      </c>
      <c r="R1027" s="16" t="s" ph="1">
        <v>1077</v>
      </c>
      <c r="T1027" s="13" t="s" ph="1">
        <v>3607</v>
      </c>
      <c r="U1027" s="16" ph="1">
        <v>36490</v>
      </c>
      <c r="V1027" s="17" ph="1">
        <v>1000</v>
      </c>
    </row>
    <row r="1028" spans="1:25" ht="22.5" customHeight="1" ph="1" x14ac:dyDescent="0.35">
      <c r="A1028" s="106" t="s" ph="1">
        <v>1078</v>
      </c>
      <c r="B1028" s="5" t="s" ph="1">
        <v>1010</v>
      </c>
      <c r="C1028" s="13" t="s" ph="1">
        <v>5796</v>
      </c>
      <c r="G1028" s="13" t="s" ph="1">
        <v>746</v>
      </c>
      <c r="H1028" s="13" t="s" ph="1">
        <v>716</v>
      </c>
      <c r="I1028" s="13" t="s" ph="1">
        <v>6114</v>
      </c>
      <c r="J1028" s="13" t="s" ph="1">
        <v>5796</v>
      </c>
      <c r="M1028" s="14" t="str" ph="1">
        <f>IFERROR(INDEX([1]!_born[生没年],
MATCH(I1028,[1]!_born[作],0)),"")</f>
        <v/>
      </c>
      <c r="N1028" s="14" t="str" ph="1">
        <f>IFERROR(INDEX([1]!_born[生没年],
MATCH(K1028,[1]!_born[作],0)),"")</f>
        <v/>
      </c>
      <c r="O1028" s="13" t="s" ph="1">
        <v>6115</v>
      </c>
      <c r="R1028" s="16" t="s" ph="1">
        <v>1079</v>
      </c>
      <c r="S1028" s="13" t="s" ph="1">
        <v>6116</v>
      </c>
      <c r="T1028" s="13" t="s" ph="1">
        <v>6117</v>
      </c>
      <c r="U1028" s="16" t="s" ph="1">
        <v>1080</v>
      </c>
      <c r="V1028" s="17" ph="1">
        <f>3200*1.05</f>
        <v>3360</v>
      </c>
      <c r="W1028" s="17" ph="1">
        <f>3200*1.05</f>
        <v>3360</v>
      </c>
      <c r="X1028" s="13" t="s" ph="1">
        <v>3802</v>
      </c>
      <c r="Y1028" s="13" t="s" ph="1">
        <v>6118</v>
      </c>
    </row>
    <row r="1029" spans="1:25" ht="22.5" customHeight="1" ph="1" x14ac:dyDescent="0.35">
      <c r="A1029" s="106" t="s" ph="1">
        <v>1081</v>
      </c>
      <c r="B1029" s="5" t="s" ph="1">
        <v>1010</v>
      </c>
      <c r="C1029" s="13" t="s" ph="1">
        <v>5796</v>
      </c>
      <c r="G1029" s="13" t="s" ph="1">
        <v>746</v>
      </c>
      <c r="H1029" s="13" t="s" ph="1">
        <v>716</v>
      </c>
      <c r="I1029" s="13" t="s" ph="1">
        <v>6114</v>
      </c>
      <c r="J1029" s="13" t="s" ph="1">
        <v>5796</v>
      </c>
      <c r="M1029" s="14" t="str" ph="1">
        <f>IFERROR(INDEX([1]!_born[生没年],
MATCH(I1029,[1]!_born[作],0)),"")</f>
        <v/>
      </c>
      <c r="N1029" s="14" t="str" ph="1">
        <f>IFERROR(INDEX([1]!_born[生没年],
MATCH(K1029,[1]!_born[作],0)),"")</f>
        <v/>
      </c>
      <c r="O1029" s="13" t="s" ph="1">
        <v>6119</v>
      </c>
      <c r="R1029" s="16" t="s" ph="1">
        <v>1082</v>
      </c>
      <c r="S1029" s="13" t="s" ph="1">
        <v>6116</v>
      </c>
      <c r="T1029" s="13" t="s" ph="1">
        <v>6117</v>
      </c>
      <c r="U1029" s="16" t="s" ph="1">
        <v>1083</v>
      </c>
      <c r="V1029" s="17" ph="1">
        <f>3300*1.05</f>
        <v>3465</v>
      </c>
      <c r="W1029" s="17" ph="1">
        <f>3300*1.05</f>
        <v>3465</v>
      </c>
      <c r="X1029" s="13" t="s" ph="1">
        <v>6059</v>
      </c>
      <c r="Y1029" s="13" t="s" ph="1">
        <v>6118</v>
      </c>
    </row>
    <row r="1030" spans="1:25" ht="22.5" customHeight="1" ph="1" x14ac:dyDescent="0.35">
      <c r="A1030" s="106" t="s" ph="1">
        <v>1084</v>
      </c>
      <c r="B1030" s="5" t="s" ph="1">
        <v>1033</v>
      </c>
      <c r="C1030" s="13" t="s" ph="1">
        <v>5796</v>
      </c>
      <c r="G1030" s="13" t="s" ph="1">
        <v>746</v>
      </c>
      <c r="H1030" s="13" t="s" ph="1">
        <v>716</v>
      </c>
      <c r="I1030" s="13" t="s" ph="1">
        <v>6120</v>
      </c>
      <c r="J1030" s="13" t="s" ph="1">
        <v>4543</v>
      </c>
      <c r="K1030" s="13" t="s" ph="1">
        <v>6121</v>
      </c>
      <c r="L1030" s="13" t="s" ph="1">
        <v>6122</v>
      </c>
      <c r="M1030" s="14" t="str" ph="1">
        <f>IFERROR(INDEX([1]!_born[生没年],
MATCH(I1030,[1]!_born[作],0)),"")</f>
        <v/>
      </c>
      <c r="N1030" s="14" t="str" ph="1">
        <f>IFERROR(INDEX([1]!_born[生没年],
MATCH(K1030,[1]!_born[作],0)),"")</f>
        <v/>
      </c>
      <c r="O1030" s="13" t="s" ph="1">
        <v>674</v>
      </c>
      <c r="R1030" s="16" t="s" ph="1">
        <v>1085</v>
      </c>
      <c r="T1030" s="13" t="s" ph="1">
        <v>6123</v>
      </c>
      <c r="U1030" s="16" t="s" ph="1">
        <v>1086</v>
      </c>
      <c r="V1030" s="17" ph="1">
        <f>1429*1.05</f>
        <v>1500.45</v>
      </c>
      <c r="W1030" s="17" ph="1">
        <f>1429*1.05</f>
        <v>1500.45</v>
      </c>
      <c r="Y1030" s="13" t="s" ph="1">
        <v>6118</v>
      </c>
    </row>
    <row r="1031" spans="1:25" ht="22.5" customHeight="1" ph="1" x14ac:dyDescent="0.35">
      <c r="C1031" s="13" t="s" ph="1">
        <v>5796</v>
      </c>
      <c r="G1031" s="13" t="s" ph="1">
        <v>1074</v>
      </c>
      <c r="H1031" s="13" t="s" ph="1">
        <v>716</v>
      </c>
      <c r="I1031" s="13" t="s" ph="1">
        <v>3740</v>
      </c>
      <c r="J1031" s="13" t="s" ph="1">
        <v>3664</v>
      </c>
      <c r="K1031" s="13" t="s" ph="1">
        <v>6124</v>
      </c>
      <c r="L1031" s="13" t="s" ph="1">
        <v>6125</v>
      </c>
      <c r="M1031" s="14" t="str" ph="1">
        <f>IFERROR(INDEX([1]!_born[生没年],
MATCH(I1031,[1]!_born[作],0)),"")</f>
        <v/>
      </c>
      <c r="N1031" s="14" t="str" ph="1">
        <f>IFERROR(INDEX([1]!_born[生没年],
MATCH(K1031,[1]!_born[作],0)),"")</f>
        <v/>
      </c>
      <c r="O1031" s="13" t="s" ph="1">
        <v>6126</v>
      </c>
      <c r="R1031" s="16" t="s" ph="1">
        <v>987</v>
      </c>
      <c r="T1031" s="13" t="s" ph="1">
        <v>3965</v>
      </c>
      <c r="V1031" s="17" ph="1">
        <v>4800</v>
      </c>
    </row>
    <row r="1032" spans="1:25" ht="22.5" customHeight="1" ph="1" x14ac:dyDescent="0.35">
      <c r="C1032" s="13" t="s" ph="1">
        <v>5796</v>
      </c>
      <c r="G1032" s="13" t="s" ph="1">
        <v>1074</v>
      </c>
      <c r="H1032" s="13" t="s" ph="1">
        <v>716</v>
      </c>
      <c r="I1032" s="13" t="s" ph="1">
        <v>6127</v>
      </c>
      <c r="J1032" s="13" t="s" ph="1">
        <v>3664</v>
      </c>
      <c r="K1032" s="13" t="s" ph="1">
        <v>6128</v>
      </c>
      <c r="L1032" s="13" t="s" ph="1">
        <v>6129</v>
      </c>
      <c r="M1032" s="14" t="str" ph="1">
        <f>IFERROR(INDEX([1]!_born[生没年],
MATCH(I1032,[1]!_born[作],0)),"")</f>
        <v/>
      </c>
      <c r="N1032" s="14" t="str" ph="1">
        <f>IFERROR(INDEX([1]!_born[生没年],
MATCH(K1032,[1]!_born[作],0)),"")</f>
        <v/>
      </c>
      <c r="O1032" s="13" t="s" ph="1">
        <v>6130</v>
      </c>
      <c r="R1032" s="16" t="s" ph="1">
        <v>743</v>
      </c>
      <c r="T1032" s="13" t="s" ph="1">
        <v>6131</v>
      </c>
      <c r="V1032" s="17" ph="1">
        <f>2800*1.05</f>
        <v>2940</v>
      </c>
    </row>
    <row r="1033" spans="1:25" ht="22.5" customHeight="1" ph="1" x14ac:dyDescent="0.35">
      <c r="C1033" s="13" t="s" ph="1">
        <v>5411</v>
      </c>
      <c r="G1033" s="13" t="s" ph="1">
        <v>1074</v>
      </c>
      <c r="H1033" s="13" t="s" ph="1">
        <v>716</v>
      </c>
      <c r="I1033" s="13" t="s" ph="1">
        <v>3737</v>
      </c>
      <c r="J1033" s="13" t="s" ph="1">
        <v>6132</v>
      </c>
      <c r="M1033" s="14" t="str" ph="1">
        <f>IFERROR(INDEX([1]!_born[生没年],
MATCH(I1033,[1]!_born[作],0)),"")</f>
        <v/>
      </c>
      <c r="N1033" s="14" t="str" ph="1">
        <f>IFERROR(INDEX([1]!_born[生没年],
MATCH(K1033,[1]!_born[作],0)),"")</f>
        <v/>
      </c>
      <c r="O1033" s="13" t="s" ph="1">
        <v>6133</v>
      </c>
      <c r="S1033" s="13" t="s" ph="1">
        <v>6134</v>
      </c>
      <c r="T1033" s="13" t="s" ph="1">
        <v>3780</v>
      </c>
      <c r="V1033" s="17" ph="1">
        <v>2200</v>
      </c>
    </row>
    <row r="1034" spans="1:25" ht="22.5" customHeight="1" ph="1" x14ac:dyDescent="0.35">
      <c r="C1034" s="13" t="s" ph="1">
        <v>707</v>
      </c>
      <c r="G1034" s="13" t="s" ph="1">
        <v>1074</v>
      </c>
      <c r="H1034" s="13" t="s" ph="1">
        <v>716</v>
      </c>
      <c r="I1034" s="13" t="s" ph="1">
        <v>3737</v>
      </c>
      <c r="K1034" s="13" t="s" ph="1">
        <v>6135</v>
      </c>
      <c r="L1034" s="13" t="s" ph="1">
        <v>3616</v>
      </c>
      <c r="M1034" s="14" t="str" ph="1">
        <f>IFERROR(INDEX([1]!_born[生没年],
MATCH(I1034,[1]!_born[作],0)),"")</f>
        <v/>
      </c>
      <c r="N1034" s="14" t="str" ph="1">
        <f>IFERROR(INDEX([1]!_born[生没年],
MATCH(K1034,[1]!_born[作],0)),"")</f>
        <v/>
      </c>
      <c r="O1034" s="13" t="s" ph="1">
        <v>6136</v>
      </c>
      <c r="T1034" s="13" t="s" ph="1">
        <v>3780</v>
      </c>
      <c r="V1034" s="17" ph="1">
        <v>2400</v>
      </c>
    </row>
    <row r="1035" spans="1:25" ht="22.5" customHeight="1" ph="1" x14ac:dyDescent="0.35">
      <c r="C1035" s="13" t="s" ph="1">
        <v>5796</v>
      </c>
      <c r="D1035" s="123" ph="1">
        <v>1</v>
      </c>
      <c r="E1035" s="123" ph="1">
        <v>5</v>
      </c>
      <c r="G1035" s="13" t="s" ph="1">
        <v>1074</v>
      </c>
      <c r="H1035" s="13" t="s" ph="1">
        <v>716</v>
      </c>
      <c r="I1035" s="13" t="s" ph="1">
        <v>6137</v>
      </c>
      <c r="J1035" s="13" t="s" ph="1">
        <v>3671</v>
      </c>
      <c r="M1035" s="14" t="str" ph="1">
        <f>IFERROR(INDEX([1]!_born[生没年],
MATCH(I1035,[1]!_born[作],0)),"")</f>
        <v/>
      </c>
      <c r="N1035" s="14" t="str" ph="1">
        <f>IFERROR(INDEX([1]!_born[生没年],
MATCH(K1035,[1]!_born[作],0)),"")</f>
        <v/>
      </c>
      <c r="O1035" s="13" t="s" ph="1">
        <v>6138</v>
      </c>
      <c r="R1035" s="16" t="s" ph="1">
        <v>1087</v>
      </c>
      <c r="S1035" s="13" t="s" ph="1">
        <v>6139</v>
      </c>
      <c r="T1035" s="13" t="s" ph="1">
        <v>6140</v>
      </c>
      <c r="U1035" s="16" ph="1">
        <v>37023</v>
      </c>
      <c r="V1035" s="17" ph="1">
        <f>3000*1.05</f>
        <v>3150</v>
      </c>
      <c r="W1035" s="17" ph="1">
        <v>1500</v>
      </c>
      <c r="X1035" s="13" t="s" ph="1">
        <v>3632</v>
      </c>
      <c r="Y1035" s="13" t="s" ph="1">
        <v>4551</v>
      </c>
    </row>
    <row r="1036" spans="1:25" ht="22.5" customHeight="1" ph="1" x14ac:dyDescent="0.35">
      <c r="C1036" s="13" t="s" ph="1">
        <v>5796</v>
      </c>
      <c r="D1036" s="123" ph="1">
        <v>2</v>
      </c>
      <c r="E1036" s="123" ph="1">
        <v>5</v>
      </c>
      <c r="G1036" s="13" t="s" ph="1">
        <v>1074</v>
      </c>
      <c r="H1036" s="13" t="s" ph="1">
        <v>716</v>
      </c>
      <c r="I1036" s="13" t="s" ph="1">
        <v>6137</v>
      </c>
      <c r="J1036" s="13" t="s" ph="1">
        <v>3671</v>
      </c>
      <c r="M1036" s="14" t="str" ph="1">
        <f>IFERROR(INDEX([1]!_born[生没年],
MATCH(I1036,[1]!_born[作],0)),"")</f>
        <v/>
      </c>
      <c r="N1036" s="14" t="str" ph="1">
        <f>IFERROR(INDEX([1]!_born[生没年],
MATCH(K1036,[1]!_born[作],0)),"")</f>
        <v/>
      </c>
      <c r="O1036" s="13" t="s" ph="1">
        <v>6141</v>
      </c>
      <c r="R1036" s="16" t="s" ph="1">
        <v>1087</v>
      </c>
      <c r="S1036" s="13" t="s" ph="1">
        <v>6139</v>
      </c>
      <c r="T1036" s="13" t="s" ph="1">
        <v>6140</v>
      </c>
      <c r="U1036" s="16" ph="1">
        <v>37023</v>
      </c>
      <c r="V1036" s="17" ph="1">
        <f>3000*1.05</f>
        <v>3150</v>
      </c>
      <c r="W1036" s="17" ph="1">
        <v>1500</v>
      </c>
      <c r="X1036" s="13" t="s" ph="1">
        <v>3632</v>
      </c>
      <c r="Y1036" s="13" t="s" ph="1">
        <v>4551</v>
      </c>
    </row>
    <row r="1037" spans="1:25" ht="22.5" customHeight="1" ph="1" x14ac:dyDescent="0.35">
      <c r="C1037" s="13" t="s" ph="1">
        <v>5796</v>
      </c>
      <c r="D1037" s="123" ph="1">
        <v>3</v>
      </c>
      <c r="E1037" s="123" ph="1">
        <v>5</v>
      </c>
      <c r="G1037" s="13" t="s" ph="1">
        <v>1074</v>
      </c>
      <c r="H1037" s="13" t="s" ph="1">
        <v>716</v>
      </c>
      <c r="I1037" s="13" t="s" ph="1">
        <v>6137</v>
      </c>
      <c r="J1037" s="13" t="s" ph="1">
        <v>3671</v>
      </c>
      <c r="M1037" s="14" t="str" ph="1">
        <f>IFERROR(INDEX([1]!_born[生没年],
MATCH(I1037,[1]!_born[作],0)),"")</f>
        <v/>
      </c>
      <c r="N1037" s="14" t="str" ph="1">
        <f>IFERROR(INDEX([1]!_born[生没年],
MATCH(K1037,[1]!_born[作],0)),"")</f>
        <v/>
      </c>
      <c r="O1037" s="13" t="s" ph="1">
        <v>6142</v>
      </c>
      <c r="R1037" s="16" t="s" ph="1">
        <v>1087</v>
      </c>
      <c r="S1037" s="13" t="s" ph="1">
        <v>6139</v>
      </c>
      <c r="T1037" s="13" t="s" ph="1">
        <v>6140</v>
      </c>
      <c r="U1037" s="16" ph="1">
        <v>37023</v>
      </c>
      <c r="V1037" s="17" ph="1">
        <f>3000*1.05</f>
        <v>3150</v>
      </c>
      <c r="W1037" s="17" ph="1">
        <v>1500</v>
      </c>
      <c r="X1037" s="13" t="s" ph="1">
        <v>3632</v>
      </c>
      <c r="Y1037" s="13" t="s" ph="1">
        <v>4551</v>
      </c>
    </row>
    <row r="1038" spans="1:25" ht="22.5" customHeight="1" ph="1" x14ac:dyDescent="0.35">
      <c r="C1038" s="13" t="s" ph="1">
        <v>5796</v>
      </c>
      <c r="D1038" s="123" ph="1">
        <v>4</v>
      </c>
      <c r="E1038" s="123" ph="1">
        <v>5</v>
      </c>
      <c r="G1038" s="13" t="s" ph="1">
        <v>1074</v>
      </c>
      <c r="H1038" s="13" t="s" ph="1">
        <v>716</v>
      </c>
      <c r="I1038" s="13" t="s" ph="1">
        <v>6143</v>
      </c>
      <c r="J1038" s="13" t="s" ph="1">
        <v>3671</v>
      </c>
      <c r="M1038" s="14" t="str" ph="1">
        <f>IFERROR(INDEX([1]!_born[生没年],
MATCH(I1038,[1]!_born[作],0)),"")</f>
        <v/>
      </c>
      <c r="N1038" s="14" t="str" ph="1">
        <f>IFERROR(INDEX([1]!_born[生没年],
MATCH(K1038,[1]!_born[作],0)),"")</f>
        <v/>
      </c>
      <c r="O1038" s="13" t="s" ph="1">
        <v>6144</v>
      </c>
      <c r="R1038" s="16" t="s" ph="1">
        <v>1088</v>
      </c>
      <c r="S1038" s="13" t="s" ph="1">
        <v>6139</v>
      </c>
      <c r="T1038" s="13" t="s" ph="1">
        <v>6140</v>
      </c>
      <c r="U1038" s="16" ph="1">
        <v>37023</v>
      </c>
      <c r="V1038" s="17" ph="1">
        <f>3000*1.05</f>
        <v>3150</v>
      </c>
      <c r="W1038" s="17" ph="1">
        <v>1500</v>
      </c>
      <c r="X1038" s="13" t="s" ph="1">
        <v>3632</v>
      </c>
      <c r="Y1038" s="13" t="s" ph="1">
        <v>4551</v>
      </c>
    </row>
    <row r="1039" spans="1:25" ht="22.5" customHeight="1" ph="1" x14ac:dyDescent="0.35">
      <c r="C1039" s="13" t="s" ph="1">
        <v>5796</v>
      </c>
      <c r="D1039" s="123" ph="1">
        <v>5</v>
      </c>
      <c r="E1039" s="123" ph="1">
        <v>5</v>
      </c>
      <c r="G1039" s="13" t="s" ph="1">
        <v>1074</v>
      </c>
      <c r="H1039" s="13" t="s" ph="1">
        <v>716</v>
      </c>
      <c r="I1039" s="13" t="s" ph="1">
        <v>6143</v>
      </c>
      <c r="J1039" s="13" t="s" ph="1">
        <v>3671</v>
      </c>
      <c r="M1039" s="14" t="str" ph="1">
        <f>IFERROR(INDEX([1]!_born[生没年],
MATCH(I1039,[1]!_born[作],0)),"")</f>
        <v/>
      </c>
      <c r="N1039" s="14" t="str" ph="1">
        <f>IFERROR(INDEX([1]!_born[生没年],
MATCH(K1039,[1]!_born[作],0)),"")</f>
        <v/>
      </c>
      <c r="O1039" s="13" t="s" ph="1">
        <v>6145</v>
      </c>
      <c r="R1039" s="16" t="s" ph="1">
        <v>1089</v>
      </c>
      <c r="S1039" s="13" t="s" ph="1">
        <v>6139</v>
      </c>
      <c r="T1039" s="13" t="s" ph="1">
        <v>6140</v>
      </c>
      <c r="U1039" s="16" ph="1">
        <v>37023</v>
      </c>
      <c r="V1039" s="17" ph="1">
        <f>3000*1.05</f>
        <v>3150</v>
      </c>
      <c r="W1039" s="17" ph="1">
        <v>1500</v>
      </c>
      <c r="X1039" s="13" t="s" ph="1">
        <v>3632</v>
      </c>
      <c r="Y1039" s="13" t="s" ph="1">
        <v>6146</v>
      </c>
    </row>
    <row r="1040" spans="1:25" ht="22.5" customHeight="1" ph="1" x14ac:dyDescent="0.35">
      <c r="C1040" s="13" t="s" ph="1">
        <v>5796</v>
      </c>
      <c r="G1040" s="13" t="s" ph="1">
        <v>1074</v>
      </c>
      <c r="H1040" s="13" t="s" ph="1">
        <v>709</v>
      </c>
      <c r="I1040" s="13" t="s" ph="1">
        <v>96</v>
      </c>
      <c r="K1040" s="13" t="s" ph="1">
        <v>6147</v>
      </c>
      <c r="L1040" s="13" t="s" ph="1">
        <v>3628</v>
      </c>
      <c r="M1040" s="14" t="str" ph="1">
        <f>IFERROR(INDEX([1]!_born[生没年],
MATCH(I1040,[1]!_born[作],0)),"")</f>
        <v/>
      </c>
      <c r="N1040" s="14" t="str" ph="1">
        <f>IFERROR(INDEX([1]!_born[生没年],
MATCH(K1040,[1]!_born[作],0)),"")</f>
        <v/>
      </c>
      <c r="O1040" s="13" t="s" ph="1">
        <v>6148</v>
      </c>
      <c r="R1040" s="16" t="s" ph="1">
        <v>1090</v>
      </c>
      <c r="S1040" s="13" t="s" ph="1">
        <v>6149</v>
      </c>
      <c r="T1040" s="13" t="s" ph="1">
        <v>3607</v>
      </c>
      <c r="U1040" s="16" ph="1">
        <v>37023</v>
      </c>
      <c r="V1040" s="17" ph="1">
        <v>1850</v>
      </c>
      <c r="W1040" s="17" ph="1">
        <v>500</v>
      </c>
      <c r="X1040" s="13" t="s" ph="1">
        <v>4585</v>
      </c>
    </row>
    <row r="1041" spans="3:24" ht="22.5" customHeight="1" ph="1" x14ac:dyDescent="0.35">
      <c r="C1041" s="13" t="s" ph="1">
        <v>3648</v>
      </c>
      <c r="G1041" s="13" t="s" ph="1">
        <v>1074</v>
      </c>
      <c r="I1041" s="13" t="s" ph="1">
        <v>1091</v>
      </c>
      <c r="M1041" s="14" t="str" ph="1">
        <f>IFERROR(INDEX([1]!_born[生没年],
MATCH(I1041,[1]!_born[作],0)),"")</f>
        <v/>
      </c>
      <c r="N1041" s="14" t="str" ph="1">
        <f>IFERROR(INDEX([1]!_born[生没年],
MATCH(K1041,[1]!_born[作],0)),"")</f>
        <v/>
      </c>
      <c r="O1041" s="13" t="s" ph="1">
        <v>535</v>
      </c>
      <c r="R1041" s="16" t="s" ph="1">
        <v>1092</v>
      </c>
      <c r="S1041" s="13" t="s" ph="1">
        <v>1093</v>
      </c>
      <c r="T1041" s="13" t="s" ph="1">
        <v>6150</v>
      </c>
      <c r="V1041" s="17" ph="1">
        <f>880*1.05</f>
        <v>924</v>
      </c>
      <c r="W1041" s="17" ph="1">
        <v>200</v>
      </c>
      <c r="X1041" s="13" t="s" ph="1">
        <v>4848</v>
      </c>
    </row>
    <row r="1042" spans="3:24" ht="22.5" customHeight="1" ph="1" x14ac:dyDescent="0.35">
      <c r="C1042" s="13" t="s" ph="1">
        <v>3648</v>
      </c>
      <c r="G1042" s="13" t="s" ph="1">
        <v>1074</v>
      </c>
      <c r="I1042" s="13" t="s" ph="1">
        <v>1091</v>
      </c>
      <c r="M1042" s="14" t="str" ph="1">
        <f>IFERROR(INDEX([1]!_born[生没年],
MATCH(I1042,[1]!_born[作],0)),"")</f>
        <v/>
      </c>
      <c r="N1042" s="14" t="str" ph="1">
        <f>IFERROR(INDEX([1]!_born[生没年],
MATCH(K1042,[1]!_born[作],0)),"")</f>
        <v/>
      </c>
      <c r="O1042" s="13" t="s" ph="1">
        <v>535</v>
      </c>
      <c r="R1042" s="16" t="s" ph="1">
        <v>1094</v>
      </c>
      <c r="S1042" s="13" t="s" ph="1">
        <v>1095</v>
      </c>
      <c r="T1042" s="13" t="s" ph="1">
        <v>6150</v>
      </c>
      <c r="V1042" s="17" ph="1">
        <v>1260</v>
      </c>
      <c r="W1042" s="17" ph="1">
        <v>200</v>
      </c>
      <c r="X1042" s="13" t="s" ph="1">
        <v>4848</v>
      </c>
    </row>
    <row r="1043" spans="3:24" ht="22.5" customHeight="1" ph="1" x14ac:dyDescent="0.35">
      <c r="C1043" s="13" t="s" ph="1">
        <v>3648</v>
      </c>
      <c r="G1043" s="13" t="s" ph="1">
        <v>1074</v>
      </c>
      <c r="I1043" s="13" t="s" ph="1">
        <v>1091</v>
      </c>
      <c r="M1043" s="14" t="str" ph="1">
        <f>IFERROR(INDEX([1]!_born[生没年],
MATCH(I1043,[1]!_born[作],0)),"")</f>
        <v/>
      </c>
      <c r="N1043" s="14" t="str" ph="1">
        <f>IFERROR(INDEX([1]!_born[生没年],
MATCH(K1043,[1]!_born[作],0)),"")</f>
        <v/>
      </c>
      <c r="O1043" s="13" t="s" ph="1">
        <v>535</v>
      </c>
      <c r="R1043" s="16" t="s" ph="1">
        <v>1096</v>
      </c>
      <c r="S1043" s="13" t="s" ph="1">
        <v>1097</v>
      </c>
      <c r="T1043" s="13" t="s" ph="1">
        <v>6150</v>
      </c>
      <c r="V1043" s="17" ph="1">
        <v>1260</v>
      </c>
      <c r="W1043" s="17" ph="1">
        <v>200</v>
      </c>
      <c r="X1043" s="13" t="s" ph="1">
        <v>4848</v>
      </c>
    </row>
    <row r="1044" spans="3:24" ht="22.5" customHeight="1" ph="1" x14ac:dyDescent="0.35">
      <c r="C1044" s="13" t="s" ph="1">
        <v>3648</v>
      </c>
      <c r="D1044" s="123" ph="1">
        <v>1</v>
      </c>
      <c r="E1044" s="123" t="s" ph="1">
        <v>1225</v>
      </c>
      <c r="G1044" s="13" t="s" ph="1">
        <v>1074</v>
      </c>
      <c r="I1044" s="13" t="s" ph="1">
        <v>266</v>
      </c>
      <c r="M1044" s="14" t="str" ph="1">
        <f>IFERROR(INDEX([1]!_born[生没年],
MATCH(I1044,[1]!_born[作],0)),"")</f>
        <v/>
      </c>
      <c r="N1044" s="14" t="str" ph="1">
        <f>IFERROR(INDEX([1]!_born[生没年],
MATCH(K1044,[1]!_born[作],0)),"")</f>
        <v/>
      </c>
      <c r="O1044" s="13" t="s" ph="1">
        <v>692</v>
      </c>
      <c r="R1044" s="16" t="s" ph="1">
        <v>1098</v>
      </c>
      <c r="T1044" s="13" t="s" ph="1">
        <v>6151</v>
      </c>
      <c r="V1044" s="17" ph="1">
        <v>1000</v>
      </c>
      <c r="W1044" s="17" ph="1">
        <v>200</v>
      </c>
      <c r="X1044" s="13" t="s" ph="1">
        <v>4848</v>
      </c>
    </row>
    <row r="1045" spans="3:24" ht="22.5" customHeight="1" ph="1" x14ac:dyDescent="0.35">
      <c r="C1045" s="13" t="s" ph="1">
        <v>3648</v>
      </c>
      <c r="D1045" s="123" ph="1">
        <v>2</v>
      </c>
      <c r="E1045" s="123" t="s" ph="1">
        <v>1225</v>
      </c>
      <c r="G1045" s="13" t="s" ph="1">
        <v>1074</v>
      </c>
      <c r="I1045" s="13" t="s" ph="1">
        <v>266</v>
      </c>
      <c r="M1045" s="14" t="str" ph="1">
        <f>IFERROR(INDEX([1]!_born[生没年],
MATCH(I1045,[1]!_born[作],0)),"")</f>
        <v/>
      </c>
      <c r="N1045" s="14" t="str" ph="1">
        <f>IFERROR(INDEX([1]!_born[生没年],
MATCH(K1045,[1]!_born[作],0)),"")</f>
        <v/>
      </c>
      <c r="O1045" s="13" t="s" ph="1">
        <v>692</v>
      </c>
      <c r="R1045" s="16" t="s" ph="1">
        <v>1099</v>
      </c>
      <c r="T1045" s="13" t="s" ph="1">
        <v>6151</v>
      </c>
      <c r="V1045" s="17" ph="1">
        <v>1000</v>
      </c>
      <c r="W1045" s="17" ph="1">
        <v>200</v>
      </c>
      <c r="X1045" s="13" t="s" ph="1">
        <v>4848</v>
      </c>
    </row>
    <row r="1046" spans="3:24" ht="22.5" customHeight="1" ph="1" x14ac:dyDescent="0.35">
      <c r="C1046" s="13" t="s" ph="1">
        <v>3648</v>
      </c>
      <c r="D1046" s="123" ph="1">
        <v>3</v>
      </c>
      <c r="E1046" s="123" t="s" ph="1">
        <v>1225</v>
      </c>
      <c r="G1046" s="13" t="s" ph="1">
        <v>1074</v>
      </c>
      <c r="I1046" s="13" t="s" ph="1">
        <v>266</v>
      </c>
      <c r="M1046" s="14" t="str" ph="1">
        <f>IFERROR(INDEX([1]!_born[生没年],
MATCH(I1046,[1]!_born[作],0)),"")</f>
        <v/>
      </c>
      <c r="N1046" s="14" t="str" ph="1">
        <f>IFERROR(INDEX([1]!_born[生没年],
MATCH(K1046,[1]!_born[作],0)),"")</f>
        <v/>
      </c>
      <c r="O1046" s="13" t="s" ph="1">
        <v>692</v>
      </c>
      <c r="R1046" s="16" t="s" ph="1">
        <v>1100</v>
      </c>
      <c r="T1046" s="13" t="s" ph="1">
        <v>6151</v>
      </c>
      <c r="V1046" s="17" ph="1">
        <v>1000</v>
      </c>
      <c r="W1046" s="17" ph="1">
        <v>200</v>
      </c>
      <c r="X1046" s="13" t="s" ph="1">
        <v>4848</v>
      </c>
    </row>
    <row r="1047" spans="3:24" ht="22.5" customHeight="1" ph="1" x14ac:dyDescent="0.35">
      <c r="C1047" s="13" t="s" ph="1">
        <v>3648</v>
      </c>
      <c r="D1047" s="123" ph="1">
        <v>4</v>
      </c>
      <c r="E1047" s="123" t="s" ph="1">
        <v>1225</v>
      </c>
      <c r="G1047" s="13" t="s" ph="1">
        <v>1074</v>
      </c>
      <c r="I1047" s="13" t="s" ph="1">
        <v>266</v>
      </c>
      <c r="M1047" s="14" t="str" ph="1">
        <f>IFERROR(INDEX([1]!_born[生没年],
MATCH(I1047,[1]!_born[作],0)),"")</f>
        <v/>
      </c>
      <c r="N1047" s="14" t="str" ph="1">
        <f>IFERROR(INDEX([1]!_born[生没年],
MATCH(K1047,[1]!_born[作],0)),"")</f>
        <v/>
      </c>
      <c r="O1047" s="13" t="s" ph="1">
        <v>692</v>
      </c>
      <c r="R1047" s="16" t="s" ph="1">
        <v>1101</v>
      </c>
      <c r="T1047" s="13" t="s" ph="1">
        <v>6151</v>
      </c>
      <c r="V1047" s="17" ph="1">
        <v>1000</v>
      </c>
      <c r="W1047" s="17" ph="1">
        <v>200</v>
      </c>
      <c r="X1047" s="13" t="s" ph="1">
        <v>4848</v>
      </c>
    </row>
    <row r="1048" spans="3:24" ht="22.5" customHeight="1" ph="1" x14ac:dyDescent="0.35">
      <c r="C1048" s="13" t="s" ph="1">
        <v>3648</v>
      </c>
      <c r="D1048" s="123" ph="1">
        <v>5</v>
      </c>
      <c r="E1048" s="123" t="s" ph="1">
        <v>1225</v>
      </c>
      <c r="G1048" s="13" t="s" ph="1">
        <v>1074</v>
      </c>
      <c r="I1048" s="13" t="s" ph="1">
        <v>266</v>
      </c>
      <c r="M1048" s="14" t="str" ph="1">
        <f>IFERROR(INDEX([1]!_born[生没年],
MATCH(I1048,[1]!_born[作],0)),"")</f>
        <v/>
      </c>
      <c r="N1048" s="14" t="str" ph="1">
        <f>IFERROR(INDEX([1]!_born[生没年],
MATCH(K1048,[1]!_born[作],0)),"")</f>
        <v/>
      </c>
      <c r="O1048" s="13" t="s" ph="1">
        <v>692</v>
      </c>
      <c r="R1048" s="16" t="s" ph="1">
        <v>1102</v>
      </c>
      <c r="T1048" s="13" t="s" ph="1">
        <v>6151</v>
      </c>
      <c r="V1048" s="17" ph="1">
        <v>1000</v>
      </c>
      <c r="W1048" s="17" ph="1">
        <v>200</v>
      </c>
      <c r="X1048" s="13" t="s" ph="1">
        <v>4848</v>
      </c>
    </row>
    <row r="1049" spans="3:24" ht="22.5" customHeight="1" ph="1" x14ac:dyDescent="0.35">
      <c r="C1049" s="13" t="s" ph="1">
        <v>3648</v>
      </c>
      <c r="D1049" s="123" ph="1">
        <v>6</v>
      </c>
      <c r="E1049" s="123" t="s" ph="1">
        <v>1225</v>
      </c>
      <c r="G1049" s="13" t="s" ph="1">
        <v>1074</v>
      </c>
      <c r="I1049" s="13" t="s" ph="1">
        <v>266</v>
      </c>
      <c r="M1049" s="14" t="str" ph="1">
        <f>IFERROR(INDEX([1]!_born[生没年],
MATCH(I1049,[1]!_born[作],0)),"")</f>
        <v/>
      </c>
      <c r="N1049" s="14" t="str" ph="1">
        <f>IFERROR(INDEX([1]!_born[生没年],
MATCH(K1049,[1]!_born[作],0)),"")</f>
        <v/>
      </c>
      <c r="O1049" s="13" t="s" ph="1">
        <v>692</v>
      </c>
      <c r="R1049" s="16" t="s" ph="1">
        <v>1103</v>
      </c>
      <c r="T1049" s="13" t="s" ph="1">
        <v>6151</v>
      </c>
      <c r="V1049" s="17" ph="1">
        <v>1000</v>
      </c>
      <c r="W1049" s="17" ph="1">
        <v>200</v>
      </c>
      <c r="X1049" s="13" t="s" ph="1">
        <v>4848</v>
      </c>
    </row>
    <row r="1050" spans="3:24" ht="22.5" customHeight="1" ph="1" x14ac:dyDescent="0.35">
      <c r="C1050" s="13" t="s" ph="1">
        <v>3648</v>
      </c>
      <c r="D1050" s="123" ph="1">
        <v>8</v>
      </c>
      <c r="E1050" s="123" t="s" ph="1">
        <v>1225</v>
      </c>
      <c r="G1050" s="13" t="s" ph="1">
        <v>1074</v>
      </c>
      <c r="I1050" s="13" t="s" ph="1">
        <v>266</v>
      </c>
      <c r="M1050" s="14" t="str" ph="1">
        <f>IFERROR(INDEX([1]!_born[生没年],
MATCH(I1050,[1]!_born[作],0)),"")</f>
        <v/>
      </c>
      <c r="N1050" s="14" t="str" ph="1">
        <f>IFERROR(INDEX([1]!_born[生没年],
MATCH(K1050,[1]!_born[作],0)),"")</f>
        <v/>
      </c>
      <c r="O1050" s="13" t="s" ph="1">
        <v>692</v>
      </c>
      <c r="R1050" s="16" t="s" ph="1">
        <v>1104</v>
      </c>
      <c r="T1050" s="13" t="s" ph="1">
        <v>6151</v>
      </c>
      <c r="V1050" s="17" ph="1">
        <v>1000</v>
      </c>
      <c r="W1050" s="17" ph="1">
        <v>200</v>
      </c>
      <c r="X1050" s="13" t="s" ph="1">
        <v>4848</v>
      </c>
    </row>
    <row r="1051" spans="3:24" ht="22.5" customHeight="1" ph="1" x14ac:dyDescent="0.35">
      <c r="C1051" s="13" t="s" ph="1">
        <v>3648</v>
      </c>
      <c r="D1051" s="123" ph="1">
        <v>10</v>
      </c>
      <c r="E1051" s="123" t="s" ph="1">
        <v>3145</v>
      </c>
      <c r="G1051" s="13" t="s" ph="1">
        <v>1074</v>
      </c>
      <c r="I1051" s="13" t="s" ph="1">
        <v>266</v>
      </c>
      <c r="M1051" s="14" t="str" ph="1">
        <f>IFERROR(INDEX([1]!_born[生没年],
MATCH(I1051,[1]!_born[作],0)),"")</f>
        <v/>
      </c>
      <c r="N1051" s="14" t="str" ph="1">
        <f>IFERROR(INDEX([1]!_born[生没年],
MATCH(K1051,[1]!_born[作],0)),"")</f>
        <v/>
      </c>
      <c r="O1051" s="13" t="s" ph="1">
        <v>692</v>
      </c>
      <c r="R1051" s="16" t="s" ph="1">
        <v>1105</v>
      </c>
      <c r="T1051" s="13" t="s" ph="1">
        <v>6151</v>
      </c>
      <c r="V1051" s="17" ph="1">
        <v>1000</v>
      </c>
      <c r="W1051" s="17" ph="1">
        <v>200</v>
      </c>
      <c r="X1051" s="13" t="s" ph="1">
        <v>4848</v>
      </c>
    </row>
    <row r="1052" spans="3:24" ht="22.5" customHeight="1" ph="1" x14ac:dyDescent="0.35">
      <c r="C1052" s="13" t="s" ph="1">
        <v>3648</v>
      </c>
      <c r="D1052" s="123" ph="1">
        <v>11</v>
      </c>
      <c r="E1052" s="123" t="s" ph="1">
        <v>3145</v>
      </c>
      <c r="G1052" s="13" t="s" ph="1">
        <v>1074</v>
      </c>
      <c r="I1052" s="13" t="s" ph="1">
        <v>266</v>
      </c>
      <c r="M1052" s="14" t="str" ph="1">
        <f>IFERROR(INDEX([1]!_born[生没年],
MATCH(I1052,[1]!_born[作],0)),"")</f>
        <v/>
      </c>
      <c r="N1052" s="14" t="str" ph="1">
        <f>IFERROR(INDEX([1]!_born[生没年],
MATCH(K1052,[1]!_born[作],0)),"")</f>
        <v/>
      </c>
      <c r="O1052" s="13" t="s" ph="1">
        <v>692</v>
      </c>
      <c r="R1052" s="16" t="s" ph="1">
        <v>1106</v>
      </c>
      <c r="T1052" s="13" t="s" ph="1">
        <v>6151</v>
      </c>
      <c r="V1052" s="17" ph="1">
        <v>1000</v>
      </c>
      <c r="W1052" s="17" ph="1">
        <v>200</v>
      </c>
      <c r="X1052" s="13" t="s" ph="1">
        <v>4848</v>
      </c>
    </row>
    <row r="1053" spans="3:24" ht="22.5" customHeight="1" ph="1" x14ac:dyDescent="0.35">
      <c r="C1053" s="13" t="s" ph="1">
        <v>3648</v>
      </c>
      <c r="D1053" s="123" ph="1">
        <v>12</v>
      </c>
      <c r="E1053" s="123" t="s" ph="1">
        <v>3145</v>
      </c>
      <c r="G1053" s="13" t="s" ph="1">
        <v>1074</v>
      </c>
      <c r="I1053" s="13" t="s" ph="1">
        <v>266</v>
      </c>
      <c r="M1053" s="14" t="str" ph="1">
        <f>IFERROR(INDEX([1]!_born[生没年],
MATCH(I1053,[1]!_born[作],0)),"")</f>
        <v/>
      </c>
      <c r="N1053" s="14" t="str" ph="1">
        <f>IFERROR(INDEX([1]!_born[生没年],
MATCH(K1053,[1]!_born[作],0)),"")</f>
        <v/>
      </c>
      <c r="O1053" s="13" t="s" ph="1">
        <v>692</v>
      </c>
      <c r="R1053" s="16" t="s" ph="1">
        <v>1107</v>
      </c>
      <c r="T1053" s="13" t="s" ph="1">
        <v>6151</v>
      </c>
      <c r="V1053" s="17" ph="1">
        <v>1000</v>
      </c>
      <c r="W1053" s="17" ph="1">
        <v>200</v>
      </c>
      <c r="X1053" s="13" t="s" ph="1">
        <v>4848</v>
      </c>
    </row>
    <row r="1054" spans="3:24" ht="22.5" customHeight="1" ph="1" x14ac:dyDescent="0.35">
      <c r="C1054" s="13" t="s" ph="1">
        <v>3648</v>
      </c>
      <c r="D1054" s="123" ph="1">
        <v>13</v>
      </c>
      <c r="E1054" s="123" t="s" ph="1">
        <v>3145</v>
      </c>
      <c r="G1054" s="13" t="s" ph="1">
        <v>1074</v>
      </c>
      <c r="I1054" s="13" t="s" ph="1">
        <v>266</v>
      </c>
      <c r="M1054" s="14" t="str" ph="1">
        <f>IFERROR(INDEX([1]!_born[生没年],
MATCH(I1054,[1]!_born[作],0)),"")</f>
        <v/>
      </c>
      <c r="N1054" s="14" t="str" ph="1">
        <f>IFERROR(INDEX([1]!_born[生没年],
MATCH(K1054,[1]!_born[作],0)),"")</f>
        <v/>
      </c>
      <c r="O1054" s="13" t="s" ph="1">
        <v>692</v>
      </c>
      <c r="R1054" s="16" t="s" ph="1">
        <v>1108</v>
      </c>
      <c r="T1054" s="13" t="s" ph="1">
        <v>6151</v>
      </c>
      <c r="V1054" s="17" ph="1">
        <v>1000</v>
      </c>
      <c r="W1054" s="17" ph="1">
        <v>200</v>
      </c>
      <c r="X1054" s="13" t="s" ph="1">
        <v>4848</v>
      </c>
    </row>
    <row r="1055" spans="3:24" ht="22.5" customHeight="1" ph="1" x14ac:dyDescent="0.35">
      <c r="C1055" s="13" t="s" ph="1">
        <v>3648</v>
      </c>
      <c r="D1055" s="123" ph="1">
        <v>16</v>
      </c>
      <c r="E1055" s="123" t="s" ph="1">
        <v>3145</v>
      </c>
      <c r="G1055" s="13" t="s" ph="1">
        <v>1074</v>
      </c>
      <c r="I1055" s="13" t="s" ph="1">
        <v>266</v>
      </c>
      <c r="M1055" s="14" t="str" ph="1">
        <f>IFERROR(INDEX([1]!_born[生没年],
MATCH(I1055,[1]!_born[作],0)),"")</f>
        <v/>
      </c>
      <c r="N1055" s="14" t="str" ph="1">
        <f>IFERROR(INDEX([1]!_born[生没年],
MATCH(K1055,[1]!_born[作],0)),"")</f>
        <v/>
      </c>
      <c r="O1055" s="13" t="s" ph="1">
        <v>692</v>
      </c>
      <c r="R1055" s="16" t="s" ph="1">
        <v>1109</v>
      </c>
      <c r="T1055" s="13" t="s" ph="1">
        <v>6151</v>
      </c>
      <c r="V1055" s="17" ph="1">
        <v>1000</v>
      </c>
      <c r="W1055" s="17" ph="1">
        <v>200</v>
      </c>
      <c r="X1055" s="13" t="s" ph="1">
        <v>4848</v>
      </c>
    </row>
    <row r="1056" spans="3:24" ht="22.5" customHeight="1" ph="1" x14ac:dyDescent="0.35">
      <c r="C1056" s="13" t="s" ph="1">
        <v>3648</v>
      </c>
      <c r="D1056" s="123" ph="1">
        <v>21</v>
      </c>
      <c r="E1056" s="123" t="s" ph="1">
        <v>3145</v>
      </c>
      <c r="G1056" s="13" t="s" ph="1">
        <v>1074</v>
      </c>
      <c r="I1056" s="13" t="s" ph="1">
        <v>266</v>
      </c>
      <c r="M1056" s="14" t="str" ph="1">
        <f>IFERROR(INDEX([1]!_born[生没年],
MATCH(I1056,[1]!_born[作],0)),"")</f>
        <v/>
      </c>
      <c r="N1056" s="14" t="str" ph="1">
        <f>IFERROR(INDEX([1]!_born[生没年],
MATCH(K1056,[1]!_born[作],0)),"")</f>
        <v/>
      </c>
      <c r="O1056" s="13" t="s" ph="1">
        <v>692</v>
      </c>
      <c r="R1056" s="16" t="s" ph="1">
        <v>1110</v>
      </c>
      <c r="T1056" s="13" t="s" ph="1">
        <v>6151</v>
      </c>
      <c r="V1056" s="17" ph="1">
        <f>1000*1.05</f>
        <v>1050</v>
      </c>
      <c r="W1056" s="17" ph="1">
        <v>200</v>
      </c>
      <c r="X1056" s="13" t="s" ph="1">
        <v>4848</v>
      </c>
    </row>
    <row r="1057" spans="1:25" ht="22.5" customHeight="1" ph="1" x14ac:dyDescent="0.35">
      <c r="C1057" s="13" t="s" ph="1">
        <v>3648</v>
      </c>
      <c r="D1057" s="123" ph="1">
        <v>22</v>
      </c>
      <c r="E1057" s="123" t="s" ph="1">
        <v>3145</v>
      </c>
      <c r="G1057" s="13" t="s" ph="1">
        <v>1074</v>
      </c>
      <c r="I1057" s="13" t="s" ph="1">
        <v>266</v>
      </c>
      <c r="M1057" s="14" t="str" ph="1">
        <f>IFERROR(INDEX([1]!_born[生没年],
MATCH(I1057,[1]!_born[作],0)),"")</f>
        <v/>
      </c>
      <c r="N1057" s="14" t="str" ph="1">
        <f>IFERROR(INDEX([1]!_born[生没年],
MATCH(K1057,[1]!_born[作],0)),"")</f>
        <v/>
      </c>
      <c r="O1057" s="13" t="s" ph="1">
        <v>692</v>
      </c>
      <c r="R1057" s="16" t="s" ph="1">
        <v>1111</v>
      </c>
      <c r="T1057" s="13" t="s" ph="1">
        <v>6151</v>
      </c>
      <c r="V1057" s="17" ph="1">
        <f>1000*1.05</f>
        <v>1050</v>
      </c>
      <c r="W1057" s="17" ph="1">
        <v>200</v>
      </c>
      <c r="X1057" s="13" t="s" ph="1">
        <v>4848</v>
      </c>
    </row>
    <row r="1058" spans="1:25" ht="22.5" customHeight="1" ph="1" x14ac:dyDescent="0.35">
      <c r="A1058" s="106" t="s" ph="1">
        <v>1112</v>
      </c>
      <c r="B1058" s="5" t="s" ph="1">
        <v>1113</v>
      </c>
      <c r="C1058" s="13" t="s" ph="1">
        <v>3648</v>
      </c>
      <c r="G1058" s="13" t="s" ph="1">
        <v>1074</v>
      </c>
      <c r="I1058" s="13" t="s" ph="1">
        <v>1114</v>
      </c>
      <c r="M1058" s="14" t="str" ph="1">
        <f>IFERROR(INDEX([1]!_born[生没年],
MATCH(I1058,[1]!_born[作],0)),"")</f>
        <v/>
      </c>
      <c r="N1058" s="14" t="str" ph="1">
        <f>IFERROR(INDEX([1]!_born[生没年],
MATCH(K1058,[1]!_born[作],0)),"")</f>
        <v/>
      </c>
      <c r="O1058" s="13" t="s" ph="1">
        <v>6152</v>
      </c>
      <c r="R1058" s="16" t="s" ph="1">
        <v>1115</v>
      </c>
      <c r="S1058" s="13" t="s" ph="1">
        <v>6153</v>
      </c>
      <c r="T1058" s="13" t="s" ph="1">
        <v>6154</v>
      </c>
      <c r="U1058" s="16" ph="1">
        <v>39680</v>
      </c>
      <c r="V1058" s="17" ph="1">
        <f>1333*1.05</f>
        <v>1399.65</v>
      </c>
      <c r="W1058" s="17" ph="1">
        <f>1333*1.05</f>
        <v>1399.65</v>
      </c>
      <c r="X1058" s="13" t="s" ph="1">
        <v>6059</v>
      </c>
    </row>
    <row r="1059" spans="1:25" ht="22.5" customHeight="1" ph="1" x14ac:dyDescent="0.35">
      <c r="C1059" s="13" t="s" ph="1">
        <v>6155</v>
      </c>
      <c r="G1059" s="13" t="s" ph="1">
        <v>746</v>
      </c>
      <c r="H1059" s="13" t="s" ph="1">
        <v>709</v>
      </c>
      <c r="I1059" s="13" t="s" ph="1">
        <v>88</v>
      </c>
      <c r="M1059" s="14" t="str" ph="1">
        <f>IFERROR(INDEX([1]!_born[生没年],
MATCH(I1059,[1]!_born[作],0)),"")</f>
        <v/>
      </c>
      <c r="N1059" s="14" t="str" ph="1">
        <f>IFERROR(INDEX([1]!_born[生没年],
MATCH(K1059,[1]!_born[作],0)),"")</f>
        <v/>
      </c>
      <c r="O1059" s="13" t="s" ph="1">
        <v>461</v>
      </c>
      <c r="R1059" s="16" t="s" ph="1">
        <v>988</v>
      </c>
      <c r="T1059" s="13" t="s" ph="1">
        <v>457</v>
      </c>
    </row>
    <row r="1060" spans="1:25" ht="22.5" customHeight="1" ph="1" x14ac:dyDescent="0.35">
      <c r="C1060" s="13" t="s" ph="1">
        <v>5411</v>
      </c>
      <c r="G1060" s="13" t="s" ph="1">
        <v>746</v>
      </c>
      <c r="H1060" s="13" t="s" ph="1">
        <v>709</v>
      </c>
      <c r="M1060" s="14" t="str" ph="1">
        <f>IFERROR(INDEX([1]!_born[生没年],
MATCH(I1060,[1]!_born[作],0)),"")</f>
        <v/>
      </c>
      <c r="N1060" s="14" t="str" ph="1">
        <f>IFERROR(INDEX([1]!_born[生没年],
MATCH(K1060,[1]!_born[作],0)),"")</f>
        <v/>
      </c>
      <c r="O1060" s="13" t="s" ph="1">
        <v>6156</v>
      </c>
      <c r="S1060" s="13" t="s" ph="1">
        <v>459</v>
      </c>
      <c r="T1060" s="13" t="s" ph="1">
        <v>5928</v>
      </c>
      <c r="U1060" s="16" t="s" ph="1">
        <v>706</v>
      </c>
      <c r="V1060" s="17" ph="1">
        <v>2266</v>
      </c>
    </row>
    <row r="1061" spans="1:25" ht="22.5" customHeight="1" ph="1" x14ac:dyDescent="0.35">
      <c r="C1061" s="13" t="s" ph="1">
        <v>5411</v>
      </c>
      <c r="G1061" s="13" t="s" ph="1">
        <v>746</v>
      </c>
      <c r="H1061" s="13" t="s" ph="1">
        <v>716</v>
      </c>
      <c r="I1061" s="13" t="s" ph="1">
        <v>6157</v>
      </c>
      <c r="K1061" s="13" t="s" ph="1">
        <v>6158</v>
      </c>
      <c r="L1061" s="13" t="s" ph="1">
        <v>4193</v>
      </c>
      <c r="M1061" s="14" t="str" ph="1">
        <f>IFERROR(INDEX([1]!_born[生没年],
MATCH(I1061,[1]!_born[作],0)),"")</f>
        <v/>
      </c>
      <c r="N1061" s="14" t="str" ph="1">
        <f>IFERROR(INDEX([1]!_born[生没年],
MATCH(K1061,[1]!_born[作],0)),"")</f>
        <v/>
      </c>
      <c r="O1061" s="13" t="s" ph="1">
        <v>381</v>
      </c>
      <c r="S1061" s="13" t="s" ph="1">
        <v>459</v>
      </c>
      <c r="T1061" s="13" t="s" ph="1">
        <v>5928</v>
      </c>
      <c r="V1061" s="17" ph="1">
        <v>1648</v>
      </c>
    </row>
    <row r="1062" spans="1:25" ht="22.5" customHeight="1" ph="1" x14ac:dyDescent="0.35">
      <c r="C1062" s="13" t="s" ph="1">
        <v>5796</v>
      </c>
      <c r="G1062" s="13" t="s" ph="1">
        <v>1074</v>
      </c>
      <c r="H1062" s="13" t="s" ph="1">
        <v>716</v>
      </c>
      <c r="I1062" s="13" t="s" ph="1">
        <v>6159</v>
      </c>
      <c r="M1062" s="14" t="str" ph="1">
        <f>IFERROR(INDEX([1]!_born[生没年],
MATCH(I1062,[1]!_born[作],0)),"")</f>
        <v/>
      </c>
      <c r="N1062" s="14" t="str" ph="1">
        <f>IFERROR(INDEX([1]!_born[生没年],
MATCH(K1062,[1]!_born[作],0)),"")</f>
        <v/>
      </c>
      <c r="O1062" s="13" t="s" ph="1">
        <v>6160</v>
      </c>
      <c r="S1062" s="13" t="s" ph="1">
        <v>459</v>
      </c>
      <c r="T1062" s="13" t="s" ph="1">
        <v>5928</v>
      </c>
      <c r="V1062" s="17" ph="1">
        <v>3914</v>
      </c>
    </row>
    <row r="1063" spans="1:25" ht="22.5" customHeight="1" ph="1" x14ac:dyDescent="0.35">
      <c r="C1063" s="13" t="s" ph="1">
        <v>5411</v>
      </c>
      <c r="G1063" s="13" t="s" ph="1">
        <v>1074</v>
      </c>
      <c r="H1063" s="13" t="s" ph="1">
        <v>716</v>
      </c>
      <c r="I1063" s="13" t="s" ph="1">
        <v>6159</v>
      </c>
      <c r="J1063" s="13" t="s" ph="1">
        <v>4193</v>
      </c>
      <c r="K1063" s="13" t="s" ph="1">
        <v>6161</v>
      </c>
      <c r="M1063" s="14" t="str" ph="1">
        <f>IFERROR(INDEX([1]!_born[生没年],
MATCH(I1063,[1]!_born[作],0)),"")</f>
        <v/>
      </c>
      <c r="N1063" s="14" t="str" ph="1">
        <f>IFERROR(INDEX([1]!_born[生没年],
MATCH(K1063,[1]!_born[作],0)),"")</f>
        <v/>
      </c>
      <c r="O1063" s="13" t="s" ph="1">
        <v>1116</v>
      </c>
      <c r="S1063" s="13" t="s" ph="1">
        <v>459</v>
      </c>
      <c r="T1063" s="13" t="s" ph="1">
        <v>5928</v>
      </c>
      <c r="V1063" s="17" ph="1">
        <v>1854</v>
      </c>
    </row>
    <row r="1064" spans="1:25" ht="22.5" customHeight="1" ph="1" x14ac:dyDescent="0.35">
      <c r="C1064" s="13" t="s" ph="1">
        <v>5411</v>
      </c>
      <c r="G1064" s="13" t="s" ph="1">
        <v>1074</v>
      </c>
      <c r="H1064" s="13" t="s" ph="1">
        <v>716</v>
      </c>
      <c r="I1064" s="13" t="s" ph="1">
        <v>6159</v>
      </c>
      <c r="J1064" s="13" t="s" ph="1">
        <v>6162</v>
      </c>
      <c r="M1064" s="14" t="str" ph="1">
        <f>IFERROR(INDEX([1]!_born[生没年],
MATCH(I1064,[1]!_born[作],0)),"")</f>
        <v/>
      </c>
      <c r="N1064" s="14" t="str" ph="1">
        <f>IFERROR(INDEX([1]!_born[生没年],
MATCH(K1064,[1]!_born[作],0)),"")</f>
        <v/>
      </c>
      <c r="O1064" s="13" t="s" ph="1">
        <v>1117</v>
      </c>
      <c r="T1064" s="13" t="s" ph="1">
        <v>6163</v>
      </c>
      <c r="V1064" s="17" ph="1">
        <v>1500</v>
      </c>
    </row>
    <row r="1065" spans="1:25" ht="22.5" customHeight="1" ph="1" x14ac:dyDescent="0.35">
      <c r="C1065" s="13" t="s" ph="1">
        <v>5411</v>
      </c>
      <c r="G1065" s="13" t="s" ph="1">
        <v>1074</v>
      </c>
      <c r="H1065" s="13" t="s" ph="1">
        <v>716</v>
      </c>
      <c r="I1065" s="13" t="s" ph="1">
        <v>6159</v>
      </c>
      <c r="J1065" s="13" t="s" ph="1">
        <v>6162</v>
      </c>
      <c r="K1065" s="13" t="s" ph="1">
        <v>6164</v>
      </c>
      <c r="M1065" s="14" t="str" ph="1">
        <f>IFERROR(INDEX([1]!_born[生没年],
MATCH(I1065,[1]!_born[作],0)),"")</f>
        <v/>
      </c>
      <c r="N1065" s="14" t="str" ph="1">
        <f>IFERROR(INDEX([1]!_born[生没年],
MATCH(K1065,[1]!_born[作],0)),"")</f>
        <v/>
      </c>
      <c r="O1065" s="13" t="s" ph="1">
        <v>1118</v>
      </c>
      <c r="T1065" s="13" t="s" ph="1">
        <v>6163</v>
      </c>
      <c r="V1065" s="17" ph="1">
        <v>1900</v>
      </c>
    </row>
    <row r="1066" spans="1:25" ht="22.5" customHeight="1" ph="1" x14ac:dyDescent="0.35">
      <c r="C1066" s="13" t="s" ph="1">
        <v>5411</v>
      </c>
      <c r="G1066" s="13" t="s" ph="1">
        <v>1074</v>
      </c>
      <c r="H1066" s="13" t="s" ph="1">
        <v>716</v>
      </c>
      <c r="I1066" s="13" t="s" ph="1">
        <v>6159</v>
      </c>
      <c r="M1066" s="14" t="str" ph="1">
        <f>IFERROR(INDEX([1]!_born[生没年],
MATCH(I1066,[1]!_born[作],0)),"")</f>
        <v/>
      </c>
      <c r="N1066" s="14" t="str" ph="1">
        <f>IFERROR(INDEX([1]!_born[生没年],
MATCH(K1066,[1]!_born[作],0)),"")</f>
        <v/>
      </c>
      <c r="O1066" s="13" t="s" ph="1">
        <v>6165</v>
      </c>
      <c r="T1066" s="13" t="s" ph="1">
        <v>3780</v>
      </c>
      <c r="V1066" s="17" ph="1">
        <v>1900</v>
      </c>
    </row>
    <row r="1067" spans="1:25" ht="22.5" customHeight="1" ph="1" x14ac:dyDescent="0.35">
      <c r="A1067" s="106" t="s" ph="1">
        <v>3023</v>
      </c>
      <c r="B1067" s="5" t="s" ph="1">
        <v>1010</v>
      </c>
      <c r="C1067" s="13" t="s" ph="1">
        <v>5411</v>
      </c>
      <c r="G1067" s="13" t="s" ph="1">
        <v>1074</v>
      </c>
      <c r="H1067" s="13" t="s" ph="1">
        <v>61</v>
      </c>
      <c r="I1067" s="13" t="s" ph="1">
        <v>6166</v>
      </c>
      <c r="J1067" s="13" t="s" ph="1">
        <v>3915</v>
      </c>
      <c r="K1067" s="13" t="s" ph="1">
        <v>6167</v>
      </c>
      <c r="M1067" s="14" t="str" ph="1">
        <f>IFERROR(INDEX([1]!_born[生没年],
MATCH(I1067,[1]!_born[作],0)),"")</f>
        <v/>
      </c>
      <c r="N1067" s="14" t="str" ph="1">
        <f>IFERROR(INDEX([1]!_born[生没年],
MATCH(K1067,[1]!_born[作],0)),"")</f>
        <v/>
      </c>
      <c r="O1067" s="13" t="s" ph="1">
        <v>6168</v>
      </c>
      <c r="R1067" s="16" ph="1">
        <v>38462</v>
      </c>
      <c r="T1067" s="13" t="s" ph="1">
        <v>6169</v>
      </c>
      <c r="V1067" s="17" ph="1">
        <f>1300*1.05</f>
        <v>1365</v>
      </c>
      <c r="W1067" s="17" ph="1">
        <f>1300*1.08</f>
        <v>1404</v>
      </c>
      <c r="X1067" s="13" t="s" ph="1">
        <v>1225</v>
      </c>
      <c r="Y1067" s="13" t="s" ph="1">
        <v>6170</v>
      </c>
    </row>
    <row r="1068" spans="1:25" ht="22.5" customHeight="1" ph="1" x14ac:dyDescent="0.35">
      <c r="C1068" s="13" t="s" ph="1">
        <v>5411</v>
      </c>
      <c r="G1068" s="13" t="s" ph="1">
        <v>3983</v>
      </c>
      <c r="H1068" s="13" t="s" ph="1">
        <v>709</v>
      </c>
      <c r="I1068" s="13" t="s" ph="1">
        <v>1091</v>
      </c>
      <c r="M1068" s="14" t="str" ph="1">
        <f>IFERROR(INDEX([1]!_born[生没年],
MATCH(I1068,[1]!_born[作],0)),"")</f>
        <v/>
      </c>
      <c r="N1068" s="14" t="str" ph="1">
        <f>IFERROR(INDEX([1]!_born[生没年],
MATCH(K1068,[1]!_born[作],0)),"")</f>
        <v/>
      </c>
      <c r="O1068" s="13" t="s" ph="1">
        <v>6171</v>
      </c>
      <c r="R1068" s="16" t="s" ph="1">
        <v>1119</v>
      </c>
      <c r="T1068" s="13" t="s" ph="1">
        <v>6150</v>
      </c>
      <c r="U1068" s="16" ph="1">
        <v>37142</v>
      </c>
      <c r="V1068" s="17" ph="1">
        <v>1800</v>
      </c>
      <c r="W1068" s="17" ph="1">
        <v>300</v>
      </c>
      <c r="X1068" s="13" t="s" ph="1">
        <v>4848</v>
      </c>
    </row>
    <row r="1069" spans="1:25" ht="22.5" customHeight="1" ph="1" x14ac:dyDescent="0.35">
      <c r="C1069" s="13" t="s" ph="1">
        <v>5411</v>
      </c>
      <c r="G1069" s="13" t="s" ph="1">
        <v>5218</v>
      </c>
      <c r="H1069" s="13" t="s" ph="1">
        <v>709</v>
      </c>
      <c r="I1069" s="13" t="s" ph="1">
        <v>437</v>
      </c>
      <c r="J1069" s="13" t="s" ph="1">
        <v>1120</v>
      </c>
      <c r="M1069" s="14" t="str" ph="1">
        <f>IFERROR(INDEX([1]!_born[生没年],
MATCH(I1069,[1]!_born[作],0)),"")</f>
        <v/>
      </c>
      <c r="N1069" s="14" t="str" ph="1">
        <f>IFERROR(INDEX([1]!_born[生没年],
MATCH(K1069,[1]!_born[作],0)),"")</f>
        <v/>
      </c>
      <c r="O1069" s="13" t="s" ph="1">
        <v>6172</v>
      </c>
      <c r="R1069" s="16" t="s" ph="1">
        <v>966</v>
      </c>
      <c r="T1069" s="13" t="s" ph="1">
        <v>6173</v>
      </c>
      <c r="U1069" s="16" ph="1">
        <v>37580</v>
      </c>
      <c r="V1069" s="17" ph="1">
        <f>1200*1.05</f>
        <v>1260</v>
      </c>
      <c r="W1069" s="17" ph="1">
        <v>300</v>
      </c>
      <c r="X1069" s="13" t="s" ph="1">
        <v>3632</v>
      </c>
    </row>
    <row r="1070" spans="1:25" ht="22.5" customHeight="1" ph="1" x14ac:dyDescent="0.35">
      <c r="C1070" s="13" t="s" ph="1">
        <v>5411</v>
      </c>
      <c r="G1070" s="13" t="s" ph="1">
        <v>1074</v>
      </c>
      <c r="H1070" s="13" t="s" ph="1">
        <v>61</v>
      </c>
      <c r="I1070" s="13" t="s" ph="1">
        <v>6174</v>
      </c>
      <c r="J1070" s="13" t="s" ph="1">
        <v>5941</v>
      </c>
      <c r="M1070" s="14" t="str" ph="1">
        <f>IFERROR(INDEX([1]!_born[生没年],
MATCH(I1070,[1]!_born[作],0)),"")</f>
        <v/>
      </c>
      <c r="N1070" s="14" t="str" ph="1">
        <f>IFERROR(INDEX([1]!_born[生没年],
MATCH(K1070,[1]!_born[作],0)),"")</f>
        <v/>
      </c>
      <c r="O1070" s="13" t="s" ph="1">
        <v>6175</v>
      </c>
      <c r="T1070" s="13" t="s" ph="1">
        <v>3965</v>
      </c>
      <c r="V1070" s="17" ph="1">
        <f>1700*1.05</f>
        <v>1785</v>
      </c>
    </row>
    <row r="1071" spans="1:25" ht="22.5" customHeight="1" ph="1" x14ac:dyDescent="0.35">
      <c r="A1071" s="106" t="s" ph="1">
        <v>2980</v>
      </c>
      <c r="B1071" s="5" t="s" ph="1">
        <v>571</v>
      </c>
      <c r="C1071" s="13" t="s" ph="1">
        <v>5411</v>
      </c>
      <c r="G1071" s="13" t="s" ph="1">
        <v>746</v>
      </c>
      <c r="H1071" s="13" t="s" ph="1">
        <v>716</v>
      </c>
      <c r="I1071" s="13" t="s" ph="1">
        <v>6176</v>
      </c>
      <c r="J1071" s="13" t="s" ph="1">
        <v>5941</v>
      </c>
      <c r="M1071" s="14" t="str" ph="1">
        <f>IFERROR(INDEX([1]!_born[生没年],
MATCH(I1071,[1]!_born[作],0)),"")</f>
        <v/>
      </c>
      <c r="N1071" s="14" t="str" ph="1">
        <f>IFERROR(INDEX([1]!_born[生没年],
MATCH(K1071,[1]!_born[作],0)),"")</f>
        <v/>
      </c>
      <c r="O1071" s="13" t="s" ph="1">
        <v>6177</v>
      </c>
      <c r="R1071" s="16" ph="1">
        <v>42454</v>
      </c>
      <c r="T1071" s="13" t="s" ph="1">
        <v>6178</v>
      </c>
      <c r="U1071" s="16" t="s" ph="1">
        <v>2966</v>
      </c>
      <c r="V1071" s="17" ph="1">
        <f>1400*1.08</f>
        <v>1512</v>
      </c>
      <c r="W1071" s="17" ph="1">
        <v>0</v>
      </c>
      <c r="X1071" s="13" t="s" ph="1">
        <v>6179</v>
      </c>
    </row>
    <row r="1072" spans="1:25" ht="22.5" customHeight="1" ph="1" x14ac:dyDescent="0.35">
      <c r="C1072" s="13" t="s" ph="1">
        <v>5796</v>
      </c>
      <c r="G1072" s="13" t="s" ph="1">
        <v>746</v>
      </c>
      <c r="I1072" s="15" t="s" ph="1">
        <v>1121</v>
      </c>
      <c r="M1072" s="14" t="str" ph="1">
        <f>IFERROR(INDEX([1]!_born[生没年],
MATCH(I1072,[1]!_born[作],0)),"")</f>
        <v/>
      </c>
      <c r="N1072" s="14" t="str" ph="1">
        <f>IFERROR(INDEX([1]!_born[生没年],
MATCH(K1072,[1]!_born[作],0)),"")</f>
        <v/>
      </c>
      <c r="O1072" s="15" t="s" ph="1">
        <v>6180</v>
      </c>
      <c r="R1072" s="16" t="s" ph="1">
        <v>988</v>
      </c>
      <c r="T1072" s="13" t="s" ph="1">
        <v>6181</v>
      </c>
    </row>
    <row r="1073" spans="1:24" ht="22.5" customHeight="1" ph="1" x14ac:dyDescent="0.35">
      <c r="C1073" s="13" t="s" ph="1">
        <v>1122</v>
      </c>
      <c r="G1073" s="13" t="s" ph="1">
        <v>746</v>
      </c>
      <c r="H1073" s="13" t="s" ph="1">
        <v>716</v>
      </c>
      <c r="I1073" s="15" t="s" ph="1">
        <v>6182</v>
      </c>
      <c r="M1073" s="14" t="str" ph="1">
        <f>IFERROR(INDEX([1]!_born[生没年],
MATCH(I1073,[1]!_born[作],0)),"")</f>
        <v/>
      </c>
      <c r="N1073" s="14" t="str" ph="1">
        <f>IFERROR(INDEX([1]!_born[生没年],
MATCH(K1073,[1]!_born[作],0)),"")</f>
        <v/>
      </c>
      <c r="O1073" s="13" t="s" ph="1">
        <v>6183</v>
      </c>
      <c r="S1073" s="13" t="s" ph="1">
        <v>6184</v>
      </c>
      <c r="T1073" s="13" t="s" ph="1">
        <v>6185</v>
      </c>
      <c r="U1073" s="16" ph="1">
        <v>36471</v>
      </c>
      <c r="V1073" s="17" ph="1">
        <v>2800</v>
      </c>
    </row>
    <row r="1074" spans="1:24" ht="22.5" customHeight="1" ph="1" x14ac:dyDescent="0.35">
      <c r="A1074" s="106" t="s" ph="1">
        <v>2879</v>
      </c>
      <c r="C1074" s="13" t="s" ph="1">
        <v>5796</v>
      </c>
      <c r="G1074" s="13" t="s" ph="1">
        <v>2880</v>
      </c>
      <c r="H1074" s="13" t="s" ph="1">
        <v>1035</v>
      </c>
      <c r="I1074" s="13" t="s" ph="1">
        <v>2900</v>
      </c>
      <c r="M1074" s="14" t="str" ph="1">
        <f>IFERROR(INDEX([1]!_born[生没年],
MATCH(I1074,[1]!_born[作],0)),"")</f>
        <v/>
      </c>
      <c r="N1074" s="14" t="str" ph="1">
        <f>IFERROR(INDEX([1]!_born[生没年],
MATCH(K1074,[1]!_born[作],0)),"")</f>
        <v/>
      </c>
      <c r="O1074" s="13" t="s" ph="1">
        <v>2901</v>
      </c>
      <c r="S1074" s="13" t="s" ph="1">
        <v>2913</v>
      </c>
      <c r="T1074" s="13" t="s" ph="1">
        <v>2916</v>
      </c>
      <c r="U1074" s="16" ph="1">
        <v>42479</v>
      </c>
      <c r="V1074" s="17" t="s" ph="1">
        <v>2881</v>
      </c>
      <c r="X1074" s="13" t="s" ph="1">
        <v>2918</v>
      </c>
    </row>
    <row r="1075" spans="1:24" ht="22.5" customHeight="1" ph="1" x14ac:dyDescent="0.35">
      <c r="A1075" s="106" t="s" ph="1">
        <v>2882</v>
      </c>
      <c r="C1075" s="13" t="s" ph="1">
        <v>5796</v>
      </c>
      <c r="G1075" s="13" t="s" ph="1">
        <v>1074</v>
      </c>
      <c r="H1075" s="13" t="s" ph="1">
        <v>1035</v>
      </c>
      <c r="I1075" s="13" t="s" ph="1">
        <v>2902</v>
      </c>
      <c r="M1075" s="14" t="str" ph="1">
        <f>IFERROR(INDEX([1]!_born[生没年],
MATCH(I1075,[1]!_born[作],0)),"")</f>
        <v/>
      </c>
      <c r="N1075" s="14" t="str" ph="1">
        <f>IFERROR(INDEX([1]!_born[生没年],
MATCH(K1075,[1]!_born[作],0)),"")</f>
        <v/>
      </c>
      <c r="O1075" s="13" t="s" ph="1">
        <v>2911</v>
      </c>
      <c r="S1075" s="13" t="s" ph="1">
        <v>2914</v>
      </c>
      <c r="T1075" s="13" t="s" ph="1">
        <v>2916</v>
      </c>
      <c r="U1075" s="16" ph="1">
        <v>42479</v>
      </c>
      <c r="V1075" s="17" t="s" ph="1">
        <v>2883</v>
      </c>
      <c r="X1075" s="13" t="s" ph="1">
        <v>2918</v>
      </c>
    </row>
    <row r="1076" spans="1:24" ht="22.5" customHeight="1" ph="1" x14ac:dyDescent="0.35">
      <c r="A1076" s="106" t="s" ph="1">
        <v>2884</v>
      </c>
      <c r="C1076" s="13" t="s" ph="1">
        <v>5796</v>
      </c>
      <c r="G1076" s="13" t="s" ph="1">
        <v>1074</v>
      </c>
      <c r="H1076" s="13" t="s" ph="1">
        <v>1035</v>
      </c>
      <c r="I1076" s="13" t="s" ph="1">
        <v>2902</v>
      </c>
      <c r="M1076" s="14" t="str" ph="1">
        <f>IFERROR(INDEX([1]!_born[生没年],
MATCH(I1076,[1]!_born[作],0)),"")</f>
        <v/>
      </c>
      <c r="N1076" s="14" t="str" ph="1">
        <f>IFERROR(INDEX([1]!_born[生没年],
MATCH(K1076,[1]!_born[作],0)),"")</f>
        <v/>
      </c>
      <c r="O1076" s="13" t="s" ph="1">
        <v>2912</v>
      </c>
      <c r="R1076" s="16" t="s" ph="1">
        <v>2865</v>
      </c>
      <c r="S1076" s="13" t="s" ph="1">
        <v>2885</v>
      </c>
      <c r="T1076" s="13" t="s" ph="1">
        <v>2916</v>
      </c>
      <c r="U1076" s="16" ph="1">
        <v>42479</v>
      </c>
      <c r="X1076" s="13" t="s" ph="1">
        <v>2918</v>
      </c>
    </row>
    <row r="1077" spans="1:24" ht="22.5" customHeight="1" ph="1" x14ac:dyDescent="0.35">
      <c r="C1077" s="13" t="s" ph="1">
        <v>6033</v>
      </c>
      <c r="G1077" s="13" t="s" ph="1">
        <v>1074</v>
      </c>
      <c r="H1077" s="13" t="s" ph="1">
        <v>1035</v>
      </c>
      <c r="I1077" s="13" t="s" ph="1">
        <v>2886</v>
      </c>
      <c r="M1077" s="14" t="str" ph="1">
        <f>IFERROR(INDEX([1]!_born[生没年],
MATCH(I1077,[1]!_born[作],0)),"")</f>
        <v/>
      </c>
      <c r="N1077" s="14" t="str" ph="1">
        <f>IFERROR(INDEX([1]!_born[生没年],
MATCH(K1077,[1]!_born[作],0)),"")</f>
        <v/>
      </c>
      <c r="O1077" s="13" t="s" ph="1">
        <v>2887</v>
      </c>
      <c r="R1077" s="16" t="s" ph="1">
        <v>2865</v>
      </c>
      <c r="T1077" s="13" t="s" ph="1">
        <v>2886</v>
      </c>
      <c r="U1077" s="16" ph="1">
        <v>42479</v>
      </c>
      <c r="V1077" s="17" t="s" ph="1">
        <v>2888</v>
      </c>
      <c r="X1077" s="13" t="s" ph="1">
        <v>2918</v>
      </c>
    </row>
    <row r="1078" spans="1:24" ht="22.5" customHeight="1" ph="1" x14ac:dyDescent="0.25">
      <c r="C1078" s="13" t="s" ph="1">
        <v>599</v>
      </c>
      <c r="G1078" s="13" t="s" ph="1">
        <v>1074</v>
      </c>
      <c r="H1078" s="13" t="s" ph="1">
        <v>1035</v>
      </c>
      <c r="I1078" s="13" t="s" ph="1">
        <v>2904</v>
      </c>
      <c r="M1078" s="14" t="str" ph="1">
        <f>IFERROR(INDEX([1]!_born[生没年],
MATCH(I1078,[1]!_born[作],0)),"")</f>
        <v/>
      </c>
      <c r="N1078" s="14" t="str" ph="1">
        <f>IFERROR(INDEX([1]!_born[生没年],
MATCH(K1078,[1]!_born[作],0)),"")</f>
        <v/>
      </c>
      <c r="O1078" s="13" t="s" ph="1">
        <v>2889</v>
      </c>
      <c r="T1078" s="13" t="s" ph="1">
        <v>2917</v>
      </c>
      <c r="U1078" s="16" ph="1">
        <v>42481</v>
      </c>
      <c r="X1078" s="13" t="s" ph="1">
        <v>2908</v>
      </c>
    </row>
    <row r="1079" spans="1:24" ht="22.5" customHeight="1" ph="1" x14ac:dyDescent="0.35">
      <c r="C1079" s="13" t="s" ph="1">
        <v>5796</v>
      </c>
      <c r="G1079" s="13" t="s" ph="1">
        <v>1074</v>
      </c>
      <c r="H1079" s="13" t="s" ph="1">
        <v>1035</v>
      </c>
      <c r="I1079" s="13" t="s" ph="1">
        <v>2905</v>
      </c>
      <c r="M1079" s="14" t="str" ph="1">
        <f>IFERROR(INDEX([1]!_born[生没年],
MATCH(I1079,[1]!_born[作],0)),"")</f>
        <v/>
      </c>
      <c r="N1079" s="14" t="str" ph="1">
        <f>IFERROR(INDEX([1]!_born[生没年],
MATCH(K1079,[1]!_born[作],0)),"")</f>
        <v/>
      </c>
      <c r="O1079" s="13" t="s" ph="1">
        <v>2903</v>
      </c>
      <c r="S1079" s="13" t="s" ph="1">
        <v>2890</v>
      </c>
      <c r="T1079" s="13" t="s" ph="1">
        <v>2917</v>
      </c>
      <c r="U1079" s="16" ph="1">
        <v>42481</v>
      </c>
      <c r="X1079" s="13" t="s" ph="1">
        <v>2908</v>
      </c>
    </row>
    <row r="1080" spans="1:24" ht="22.5" customHeight="1" ph="1" x14ac:dyDescent="0.35">
      <c r="A1080" s="106" t="s" ph="1">
        <v>2891</v>
      </c>
      <c r="C1080" s="13" t="s" ph="1">
        <v>5796</v>
      </c>
      <c r="G1080" s="13" t="s" ph="1">
        <v>1074</v>
      </c>
      <c r="H1080" s="13" t="s" ph="1">
        <v>1035</v>
      </c>
      <c r="I1080" s="13" t="s" ph="1">
        <v>2908</v>
      </c>
      <c r="K1080" s="13" t="s" ph="1">
        <v>2909</v>
      </c>
      <c r="M1080" s="14" t="str" ph="1">
        <f>IFERROR(INDEX([1]!_born[生没年],
MATCH(I1080,[1]!_born[作],0)),"")</f>
        <v/>
      </c>
      <c r="N1080" s="14" t="str" ph="1">
        <f>IFERROR(INDEX([1]!_born[生没年],
MATCH(K1080,[1]!_born[作],0)),"")</f>
        <v/>
      </c>
      <c r="O1080" s="13" t="s" ph="1">
        <v>2906</v>
      </c>
      <c r="R1080" s="16" t="s" ph="1">
        <v>2892</v>
      </c>
      <c r="S1080" s="13" t="s" ph="1">
        <v>2893</v>
      </c>
      <c r="T1080" s="13" t="s" ph="1">
        <v>2908</v>
      </c>
      <c r="U1080" s="16" ph="1">
        <v>42481</v>
      </c>
      <c r="X1080" s="13" t="s" ph="1">
        <v>2908</v>
      </c>
    </row>
    <row r="1081" spans="1:24" ht="22.5" customHeight="1" ph="1" x14ac:dyDescent="0.35">
      <c r="A1081" s="106" t="s" ph="1">
        <v>2894</v>
      </c>
      <c r="C1081" s="13" t="s" ph="1">
        <v>5796</v>
      </c>
      <c r="G1081" s="13" t="s" ph="1">
        <v>1074</v>
      </c>
      <c r="H1081" s="13" t="s" ph="1">
        <v>1035</v>
      </c>
      <c r="I1081" s="13" t="s" ph="1">
        <v>2907</v>
      </c>
      <c r="K1081" s="13" t="s" ph="1">
        <v>2895</v>
      </c>
      <c r="M1081" s="14" t="str" ph="1">
        <f>IFERROR(INDEX([1]!_born[生没年],
MATCH(I1081,[1]!_born[作],0)),"")</f>
        <v/>
      </c>
      <c r="N1081" s="14" t="str" ph="1">
        <f>IFERROR(INDEX([1]!_born[生没年],
MATCH(K1081,[1]!_born[作],0)),"")</f>
        <v/>
      </c>
      <c r="O1081" s="13" t="s" ph="1">
        <v>2910</v>
      </c>
      <c r="R1081" s="16" t="s" ph="1">
        <v>2896</v>
      </c>
      <c r="S1081" s="13" t="s" ph="1">
        <v>2915</v>
      </c>
      <c r="T1081" s="13" t="s" ph="1">
        <v>2908</v>
      </c>
      <c r="U1081" s="16" ph="1">
        <v>42481</v>
      </c>
      <c r="X1081" s="13" t="s" ph="1">
        <v>2908</v>
      </c>
    </row>
    <row r="1082" spans="1:24" ht="22.5" customHeight="1" ph="1" x14ac:dyDescent="0.35">
      <c r="C1082" s="13" t="s" ph="1">
        <v>1122</v>
      </c>
      <c r="G1082" s="13" t="s" ph="1">
        <v>746</v>
      </c>
      <c r="H1082" s="13" t="s" ph="1">
        <v>43</v>
      </c>
      <c r="I1082" s="13" t="s" ph="1">
        <v>6195</v>
      </c>
      <c r="M1082" s="14" t="str" ph="1">
        <f>IFERROR(INDEX([1]!_born[生没年],
MATCH(I1082,[1]!_born[作],0)),"")</f>
        <v/>
      </c>
      <c r="N1082" s="14" t="str" ph="1">
        <f>IFERROR(INDEX([1]!_born[生没年],
MATCH(K1082,[1]!_born[作],0)),"")</f>
        <v/>
      </c>
      <c r="O1082" s="13" t="s" ph="1">
        <v>6196</v>
      </c>
      <c r="T1082" s="13" t="s" ph="1">
        <v>6195</v>
      </c>
      <c r="U1082" s="16" ph="1">
        <v>41499</v>
      </c>
      <c r="V1082" s="17" ph="1">
        <f>800*1.05</f>
        <v>840</v>
      </c>
      <c r="W1082" s="17" ph="1">
        <f>800*1.05</f>
        <v>840</v>
      </c>
      <c r="X1082" s="13" t="s" ph="1">
        <v>6195</v>
      </c>
    </row>
    <row r="1083" spans="1:24" s="7" customFormat="1" ht="22.5" customHeight="1" ph="1" x14ac:dyDescent="0.35">
      <c r="A1083" s="106" ph="1"/>
      <c r="B1083" s="5" ph="1"/>
      <c r="C1083" s="9" t="s" ph="1">
        <v>707</v>
      </c>
      <c r="D1083" s="122" ph="1"/>
      <c r="E1083" s="122" ph="1"/>
      <c r="G1083" s="8" t="s" ph="1">
        <v>3624</v>
      </c>
      <c r="H1083" s="9" ph="1"/>
      <c r="M1083" s="7" t="str" ph="1">
        <f>IFERROR(INDEX([1]!_born[生没年],
MATCH(I1083,[1]!_born[作],0)),"")</f>
        <v/>
      </c>
      <c r="N1083" s="7" t="str" ph="1">
        <f>IFERROR(INDEX([1]!_born[生没年],
MATCH(K1083,[1]!_born[作],0)),"")</f>
        <v/>
      </c>
      <c r="R1083" s="10" ph="1"/>
      <c r="U1083" s="10" ph="1"/>
      <c r="V1083" s="11" ph="1"/>
      <c r="W1083" s="11" ph="1"/>
    </row>
    <row r="1084" spans="1:24" ht="22.5" customHeight="1" ph="1" x14ac:dyDescent="0.35">
      <c r="C1084" s="13" t="s" ph="1">
        <v>803</v>
      </c>
      <c r="G1084" s="13" t="s" ph="1">
        <v>3624</v>
      </c>
      <c r="M1084" s="14" t="str" ph="1">
        <f>IFERROR(INDEX([1]!_born[生没年],
MATCH(I1084,[1]!_born[作],0)),"")</f>
        <v/>
      </c>
      <c r="N1084" s="14" t="str" ph="1">
        <f>IFERROR(INDEX([1]!_born[生没年],
MATCH(K1084,[1]!_born[作],0)),"")</f>
        <v/>
      </c>
      <c r="O1084" s="13" t="s" ph="1">
        <v>6197</v>
      </c>
    </row>
    <row r="1085" spans="1:24" ht="22.5" customHeight="1" ph="1" x14ac:dyDescent="0.35">
      <c r="C1085" s="13" t="s" ph="1">
        <v>803</v>
      </c>
      <c r="G1085" s="13" t="s" ph="1">
        <v>3624</v>
      </c>
      <c r="M1085" s="14" t="str" ph="1">
        <f>IFERROR(INDEX([1]!_born[生没年],
MATCH(I1085,[1]!_born[作],0)),"")</f>
        <v/>
      </c>
      <c r="N1085" s="14" t="str" ph="1">
        <f>IFERROR(INDEX([1]!_born[生没年],
MATCH(K1085,[1]!_born[作],0)),"")</f>
        <v/>
      </c>
      <c r="O1085" s="13" t="s" ph="1">
        <v>6198</v>
      </c>
    </row>
    <row r="1086" spans="1:24" ht="22.5" customHeight="1" ph="1" x14ac:dyDescent="0.35">
      <c r="A1086" s="106" t="s" ph="1">
        <v>3253</v>
      </c>
      <c r="B1086" s="5" t="s" ph="1">
        <v>3254</v>
      </c>
      <c r="C1086" s="13" t="s" ph="1">
        <v>6199</v>
      </c>
      <c r="G1086" s="13" t="s" ph="1">
        <v>3624</v>
      </c>
      <c r="I1086" s="13" t="s" ph="1">
        <v>6200</v>
      </c>
      <c r="M1086" s="14" t="str" ph="1">
        <f>IFERROR(INDEX([1]!_born[生没年],
MATCH(I1086,[1]!_born[作],0)),"")</f>
        <v/>
      </c>
      <c r="N1086" s="14" t="str" ph="1">
        <f>IFERROR(INDEX([1]!_born[生没年],
MATCH(K1086,[1]!_born[作],0)),"")</f>
        <v/>
      </c>
      <c r="O1086" s="13" t="s" ph="1">
        <v>6201</v>
      </c>
      <c r="R1086" s="16" ph="1">
        <v>45257</v>
      </c>
      <c r="S1086" s="13" t="s" ph="1">
        <v>3255</v>
      </c>
      <c r="T1086" s="13" t="s" ph="1">
        <v>3988</v>
      </c>
      <c r="U1086" s="16" ph="1">
        <v>45280</v>
      </c>
      <c r="V1086" s="17" ph="1">
        <f>2400*1.1</f>
        <v>2640</v>
      </c>
      <c r="W1086" s="17" ph="1">
        <f>2400*1.1</f>
        <v>2640</v>
      </c>
      <c r="X1086" s="13" t="s" ph="1">
        <v>2874</v>
      </c>
    </row>
    <row r="1087" spans="1:24" ht="22.5" customHeight="1" ph="1" x14ac:dyDescent="0.35">
      <c r="A1087" s="106" t="s" ph="1">
        <v>1123</v>
      </c>
      <c r="B1087" s="5" t="s" ph="1">
        <v>1124</v>
      </c>
      <c r="C1087" s="13" t="s" ph="1">
        <v>3624</v>
      </c>
      <c r="G1087" s="13" t="s" ph="1">
        <v>1125</v>
      </c>
      <c r="H1087" s="13" t="s" ph="1">
        <v>709</v>
      </c>
      <c r="I1087" s="13" t="s" ph="1">
        <v>6202</v>
      </c>
      <c r="J1087" s="13" t="s" ph="1">
        <v>3671</v>
      </c>
      <c r="M1087" s="14" t="str" ph="1">
        <f>IFERROR(INDEX([1]!_born[生没年],
MATCH(I1087,[1]!_born[作],0)),"")</f>
        <v/>
      </c>
      <c r="N1087" s="14" t="str" ph="1">
        <f>IFERROR(INDEX([1]!_born[生没年],
MATCH(K1087,[1]!_born[作],0)),"")</f>
        <v/>
      </c>
      <c r="O1087" s="29" t="s" ph="1">
        <v>6203</v>
      </c>
      <c r="R1087" s="16" t="s" ph="1">
        <v>1126</v>
      </c>
      <c r="S1087" s="13" t="s" ph="1">
        <v>6204</v>
      </c>
      <c r="T1087" s="13" t="s" ph="1">
        <v>720</v>
      </c>
      <c r="U1087" s="16" ph="1">
        <v>39074</v>
      </c>
      <c r="V1087" s="17" ph="1">
        <f>2800*1.05</f>
        <v>2940</v>
      </c>
      <c r="W1087" s="17" ph="1">
        <f>2800*1.05</f>
        <v>2940</v>
      </c>
      <c r="X1087" s="13" t="s" ph="1">
        <v>3802</v>
      </c>
    </row>
    <row r="1088" spans="1:24" ht="22.5" customHeight="1" ph="1" x14ac:dyDescent="0.35">
      <c r="A1088" s="106" t="s" ph="1">
        <v>1127</v>
      </c>
      <c r="B1088" s="5" t="s" ph="1">
        <v>1128</v>
      </c>
      <c r="C1088" s="13" t="s" ph="1">
        <v>3624</v>
      </c>
      <c r="G1088" s="13" t="s" ph="1">
        <v>1125</v>
      </c>
      <c r="H1088" s="13" t="s" ph="1">
        <v>709</v>
      </c>
      <c r="I1088" s="13" t="s" ph="1">
        <v>6205</v>
      </c>
      <c r="J1088" s="13" t="s" ph="1">
        <v>3616</v>
      </c>
      <c r="M1088" s="14" t="str" ph="1">
        <f>IFERROR(INDEX([1]!_born[生没年],
MATCH(I1088,[1]!_born[作],0)),"")</f>
        <v/>
      </c>
      <c r="N1088" s="14" t="str" ph="1">
        <f>IFERROR(INDEX([1]!_born[生没年],
MATCH(K1088,[1]!_born[作],0)),"")</f>
        <v/>
      </c>
      <c r="O1088" s="13" t="s" ph="1">
        <v>6206</v>
      </c>
      <c r="T1088" s="13" t="s" ph="1">
        <v>6207</v>
      </c>
      <c r="U1088" s="16" t="s" ph="1">
        <v>1129</v>
      </c>
      <c r="V1088" s="17" ph="1">
        <f>500*1.05</f>
        <v>525</v>
      </c>
      <c r="W1088" s="17" ph="1">
        <f>500*1.05</f>
        <v>525</v>
      </c>
      <c r="X1088" s="13" t="s" ph="1">
        <v>6208</v>
      </c>
    </row>
    <row r="1089" spans="1:25" ht="22.5" customHeight="1" ph="1" x14ac:dyDescent="0.35">
      <c r="C1089" s="13" t="s" ph="1">
        <v>3624</v>
      </c>
      <c r="G1089" s="13" t="s" ph="1">
        <v>746</v>
      </c>
      <c r="H1089" s="13" t="s" ph="1">
        <v>716</v>
      </c>
      <c r="I1089" s="13" t="s" ph="1">
        <v>6209</v>
      </c>
      <c r="M1089" s="14" t="str" ph="1">
        <f>IFERROR(INDEX([1]!_born[生没年],
MATCH(I1089,[1]!_born[作],0)),"")</f>
        <v/>
      </c>
      <c r="N1089" s="14" t="str" ph="1">
        <f>IFERROR(INDEX([1]!_born[生没年],
MATCH(K1089,[1]!_born[作],0)),"")</f>
        <v/>
      </c>
      <c r="O1089" s="13" t="s" ph="1">
        <v>6210</v>
      </c>
      <c r="V1089" s="17" ph="1">
        <v>2400</v>
      </c>
    </row>
    <row r="1090" spans="1:25" ht="22.5" customHeight="1" ph="1" x14ac:dyDescent="0.35">
      <c r="C1090" s="13" t="s" ph="1">
        <v>3624</v>
      </c>
      <c r="G1090" s="13" t="s" ph="1">
        <v>46</v>
      </c>
      <c r="H1090" s="13" t="s" ph="1">
        <v>61</v>
      </c>
      <c r="I1090" s="13" t="s" ph="1">
        <v>6211</v>
      </c>
      <c r="J1090" s="13" t="s" ph="1">
        <v>3616</v>
      </c>
      <c r="M1090" s="14" t="str" ph="1">
        <f>IFERROR(INDEX([1]!_born[生没年],
MATCH(I1090,[1]!_born[作],0)),"")</f>
        <v/>
      </c>
      <c r="N1090" s="14" t="str" ph="1">
        <f>IFERROR(INDEX([1]!_born[生没年],
MATCH(K1090,[1]!_born[作],0)),"")</f>
        <v/>
      </c>
      <c r="O1090" s="13" t="s" ph="1">
        <v>6212</v>
      </c>
      <c r="R1090" s="16" t="s" ph="1">
        <v>3170</v>
      </c>
      <c r="T1090" s="13" t="s" ph="1">
        <v>6213</v>
      </c>
      <c r="U1090" s="16" ph="1">
        <v>44888</v>
      </c>
      <c r="V1090" s="17" ph="1">
        <v>2400</v>
      </c>
      <c r="W1090" s="17" ph="1">
        <v>2400</v>
      </c>
      <c r="X1090" s="13" t="s" ph="1">
        <v>6214</v>
      </c>
    </row>
    <row r="1091" spans="1:25" ht="22.5" customHeight="1" ph="1" x14ac:dyDescent="0.35">
      <c r="C1091" s="13" t="s" ph="1">
        <v>3624</v>
      </c>
      <c r="G1091" s="13" t="s" ph="1">
        <v>746</v>
      </c>
      <c r="H1091" s="13" t="s" ph="1">
        <v>716</v>
      </c>
      <c r="I1091" s="13" t="s" ph="1">
        <v>6215</v>
      </c>
      <c r="J1091" s="13" t="s" ph="1">
        <v>6216</v>
      </c>
      <c r="M1091" s="14" t="str" ph="1">
        <f>IFERROR(INDEX([1]!_born[生没年],
MATCH(I1091,[1]!_born[作],0)),"")</f>
        <v/>
      </c>
      <c r="N1091" s="14" t="str" ph="1">
        <f>IFERROR(INDEX([1]!_born[生没年],
MATCH(K1091,[1]!_born[作],0)),"")</f>
        <v/>
      </c>
      <c r="O1091" s="13" t="s" ph="1">
        <v>6217</v>
      </c>
      <c r="T1091" s="13" t="s" ph="1">
        <v>6218</v>
      </c>
      <c r="V1091" s="17" ph="1">
        <f>3800*1.05</f>
        <v>3990</v>
      </c>
    </row>
    <row r="1092" spans="1:25" ht="22.5" customHeight="1" ph="1" x14ac:dyDescent="0.35">
      <c r="C1092" s="13" t="s" ph="1">
        <v>3624</v>
      </c>
      <c r="G1092" s="13" t="s" ph="1">
        <v>746</v>
      </c>
      <c r="H1092" s="13" t="s" ph="1">
        <v>61</v>
      </c>
      <c r="I1092" s="13" t="s" ph="1">
        <v>6219</v>
      </c>
      <c r="J1092" s="13" t="s" ph="1">
        <v>5941</v>
      </c>
      <c r="M1092" s="14" t="str" ph="1">
        <f>IFERROR(INDEX([1]!_born[生没年],
MATCH(I1092,[1]!_born[作],0)),"")</f>
        <v/>
      </c>
      <c r="N1092" s="14" t="str" ph="1">
        <f>IFERROR(INDEX([1]!_born[生没年],
MATCH(K1092,[1]!_born[作],0)),"")</f>
        <v/>
      </c>
      <c r="O1092" s="13" t="s" ph="1">
        <v>6220</v>
      </c>
      <c r="T1092" s="13" t="s" ph="1">
        <v>6221</v>
      </c>
      <c r="V1092" s="17" ph="1">
        <v>2000</v>
      </c>
    </row>
    <row r="1093" spans="1:25" ht="22.5" customHeight="1" ph="1" x14ac:dyDescent="0.35">
      <c r="A1093" s="106" t="s" ph="1">
        <v>10101</v>
      </c>
      <c r="B1093" s="5" t="s" ph="1">
        <v>3017</v>
      </c>
      <c r="C1093" s="13" t="s" ph="1">
        <v>3624</v>
      </c>
      <c r="G1093" s="13" t="s" ph="1">
        <v>746</v>
      </c>
      <c r="H1093" s="13" t="s" ph="1">
        <v>61</v>
      </c>
      <c r="I1093" s="13" t="s" ph="1">
        <v>6222</v>
      </c>
      <c r="M1093" s="14" t="str" ph="1">
        <f>IFERROR(INDEX([1]!_born[生没年],
MATCH(I1093,[1]!_born[作],0)),"")</f>
        <v/>
      </c>
      <c r="N1093" s="14" t="str" ph="1">
        <f>IFERROR(INDEX([1]!_born[生没年],
MATCH(K1093,[1]!_born[作],0)),"")</f>
        <v/>
      </c>
      <c r="O1093" s="13" t="s" ph="1">
        <v>6223</v>
      </c>
      <c r="R1093" s="16" ph="1">
        <v>38148</v>
      </c>
      <c r="T1093" s="13" t="s" ph="1">
        <v>6224</v>
      </c>
      <c r="U1093" s="16" ph="1">
        <v>43659</v>
      </c>
      <c r="V1093" s="17" ph="1">
        <f>1886*1.05</f>
        <v>1980.3000000000002</v>
      </c>
      <c r="W1093" s="17" ph="1">
        <f>51+350</f>
        <v>401</v>
      </c>
      <c r="X1093" s="13" t="s" ph="1">
        <v>2874</v>
      </c>
      <c r="Y1093" s="13" t="s" ph="1">
        <v>6225</v>
      </c>
    </row>
    <row r="1094" spans="1:25" ht="22.5" customHeight="1" ph="1" x14ac:dyDescent="0.35">
      <c r="A1094" s="106" t="s" ph="1">
        <v>3018</v>
      </c>
      <c r="B1094" s="5" t="s" ph="1">
        <v>2518</v>
      </c>
      <c r="C1094" s="13" t="s" ph="1">
        <v>3624</v>
      </c>
      <c r="G1094" s="13" t="s" ph="1">
        <v>3624</v>
      </c>
      <c r="H1094" s="13" t="s" ph="1">
        <v>61</v>
      </c>
      <c r="I1094" s="13" t="s" ph="1">
        <v>10193</v>
      </c>
      <c r="M1094" s="14" t="str" ph="1">
        <f>IFERROR(INDEX([1]!_born[生没年],
MATCH(I1094,[1]!_born[作],0)),"")</f>
        <v/>
      </c>
      <c r="N1094" s="14" t="str" ph="1">
        <f>IFERROR(INDEX([1]!_born[生没年],
MATCH(K1094,[1]!_born[作],0)),"")</f>
        <v/>
      </c>
      <c r="O1094" s="13" t="s" ph="1">
        <v>10194</v>
      </c>
      <c r="R1094" s="16" ph="1">
        <v>45115</v>
      </c>
      <c r="S1094" s="13" t="s" ph="1">
        <v>10195</v>
      </c>
      <c r="T1094" s="13" t="s" ph="1">
        <v>10193</v>
      </c>
      <c r="U1094" s="16" ph="1">
        <v>45788</v>
      </c>
      <c r="V1094" s="17" ph="1">
        <v>610</v>
      </c>
      <c r="W1094" s="17" ph="1">
        <v>610</v>
      </c>
      <c r="X1094" s="13" t="s" ph="1">
        <v>10196</v>
      </c>
    </row>
    <row r="1095" spans="1:25" ht="22.5" customHeight="1" ph="1" x14ac:dyDescent="0.35">
      <c r="A1095" s="106" t="s" ph="1">
        <v>10098</v>
      </c>
      <c r="B1095" s="5" t="s" ph="1">
        <v>142</v>
      </c>
      <c r="C1095" s="13" t="s" ph="1">
        <v>3624</v>
      </c>
      <c r="G1095" s="13" t="s" ph="1">
        <v>746</v>
      </c>
      <c r="H1095" s="13" t="s" ph="1">
        <v>4423</v>
      </c>
      <c r="I1095" s="13" t="s" ph="1">
        <v>10197</v>
      </c>
      <c r="M1095" s="14" t="str" ph="1">
        <f>IFERROR(INDEX([1]!_born[生没年],
MATCH(I1095,[1]!_born[作],0)),"")</f>
        <v/>
      </c>
      <c r="N1095" s="14" t="str" ph="1">
        <f>IFERROR(INDEX([1]!_born[生没年],
MATCH(K1095,[1]!_born[作],0)),"")</f>
        <v/>
      </c>
      <c r="O1095" s="13" t="s" ph="1">
        <v>10198</v>
      </c>
      <c r="R1095" s="16" ph="1">
        <v>45361</v>
      </c>
      <c r="S1095" s="13" t="s" ph="1">
        <v>10199</v>
      </c>
      <c r="T1095" s="13" t="s" ph="1">
        <v>10200</v>
      </c>
      <c r="U1095" s="16" t="s" ph="1">
        <v>10097</v>
      </c>
      <c r="V1095" s="17" ph="1">
        <f>2900*1.1</f>
        <v>3190.0000000000005</v>
      </c>
      <c r="W1095" s="17" ph="1">
        <v>3000</v>
      </c>
      <c r="X1095" s="13" t="s" ph="1">
        <v>10201</v>
      </c>
    </row>
    <row r="1096" spans="1:25" ht="22.5" customHeight="1" ph="1" x14ac:dyDescent="0.35">
      <c r="C1096" s="13" t="s" ph="1">
        <v>5796</v>
      </c>
      <c r="G1096" s="13" t="s" ph="1">
        <v>746</v>
      </c>
      <c r="H1096" s="13" t="s" ph="1">
        <v>716</v>
      </c>
      <c r="I1096" s="13" t="s" ph="1">
        <v>6226</v>
      </c>
      <c r="M1096" s="14" t="str" ph="1">
        <f>IFERROR(INDEX([1]!_born[生没年],
MATCH(I1096,[1]!_born[作],0)),"")</f>
        <v/>
      </c>
      <c r="N1096" s="14" t="str" ph="1">
        <f>IFERROR(INDEX([1]!_born[生没年],
MATCH(K1096,[1]!_born[作],0)),"")</f>
        <v/>
      </c>
      <c r="O1096" s="15" t="s" ph="1">
        <v>6227</v>
      </c>
      <c r="R1096" s="16" t="s" ph="1">
        <v>743</v>
      </c>
      <c r="T1096" s="13" t="s" ph="1">
        <v>458</v>
      </c>
      <c r="V1096" s="17" ph="1">
        <f>2400*1.05</f>
        <v>2520</v>
      </c>
    </row>
    <row r="1097" spans="1:25" ht="22.5" customHeight="1" ph="1" x14ac:dyDescent="0.35">
      <c r="C1097" s="13" t="s" ph="1">
        <v>3624</v>
      </c>
      <c r="G1097" s="13" t="s" ph="1">
        <v>708</v>
      </c>
      <c r="H1097" s="13" t="s" ph="1">
        <v>716</v>
      </c>
      <c r="M1097" s="14" t="str" ph="1">
        <f>IFERROR(INDEX([1]!_born[生没年],
MATCH(I1097,[1]!_born[作],0)),"")</f>
        <v/>
      </c>
      <c r="N1097" s="14" t="str" ph="1">
        <f>IFERROR(INDEX([1]!_born[生没年],
MATCH(K1097,[1]!_born[作],0)),"")</f>
        <v/>
      </c>
      <c r="O1097" s="15" t="s" ph="1">
        <v>6228</v>
      </c>
      <c r="T1097" s="13" t="s" ph="1">
        <v>6229</v>
      </c>
    </row>
    <row r="1098" spans="1:25" ht="22.5" customHeight="1" ph="1" x14ac:dyDescent="0.35">
      <c r="C1098" s="13" t="s" ph="1">
        <v>3624</v>
      </c>
      <c r="G1098" s="13" t="s" ph="1">
        <v>708</v>
      </c>
      <c r="H1098" s="13" t="s" ph="1">
        <v>716</v>
      </c>
      <c r="M1098" s="14" t="str" ph="1">
        <f>IFERROR(INDEX([1]!_born[生没年],
MATCH(I1098,[1]!_born[作],0)),"")</f>
        <v/>
      </c>
      <c r="N1098" s="14" t="str" ph="1">
        <f>IFERROR(INDEX([1]!_born[生没年],
MATCH(K1098,[1]!_born[作],0)),"")</f>
        <v/>
      </c>
      <c r="O1098" s="15" t="s" ph="1">
        <v>6230</v>
      </c>
      <c r="T1098" s="13" t="s" ph="1">
        <v>6229</v>
      </c>
    </row>
    <row r="1099" spans="1:25" ht="22.5" customHeight="1" ph="1" x14ac:dyDescent="0.35">
      <c r="C1099" s="13" t="s" ph="1">
        <v>3624</v>
      </c>
      <c r="G1099" s="13" t="s" ph="1">
        <v>708</v>
      </c>
      <c r="H1099" s="13" t="s" ph="1">
        <v>716</v>
      </c>
      <c r="M1099" s="14" t="str" ph="1">
        <f>IFERROR(INDEX([1]!_born[生没年],
MATCH(I1099,[1]!_born[作],0)),"")</f>
        <v/>
      </c>
      <c r="N1099" s="14" t="str" ph="1">
        <f>IFERROR(INDEX([1]!_born[生没年],
MATCH(K1099,[1]!_born[作],0)),"")</f>
        <v/>
      </c>
      <c r="O1099" s="15" t="s" ph="1">
        <v>6231</v>
      </c>
      <c r="T1099" s="13" t="s" ph="1">
        <v>6229</v>
      </c>
    </row>
    <row r="1100" spans="1:25" ht="22.5" customHeight="1" ph="1" x14ac:dyDescent="0.35">
      <c r="C1100" s="13" t="s" ph="1">
        <v>3624</v>
      </c>
      <c r="G1100" s="13" t="s" ph="1">
        <v>746</v>
      </c>
      <c r="H1100" s="13" t="s" ph="1">
        <v>4423</v>
      </c>
      <c r="I1100" s="13" t="s" ph="1">
        <v>10100</v>
      </c>
      <c r="M1100" s="14" t="str" ph="1">
        <f>IFERROR(INDEX([1]!_born[生没年],
MATCH(I1100,[1]!_born[作],0)),"")</f>
        <v/>
      </c>
      <c r="N1100" s="14" t="str" ph="1">
        <f>IFERROR(INDEX([1]!_born[生没年],
MATCH(K1100,[1]!_born[作],0)),"")</f>
        <v/>
      </c>
      <c r="O1100" s="13" t="s" ph="1">
        <v>10202</v>
      </c>
      <c r="R1100" s="16" t="s" ph="1">
        <v>10099</v>
      </c>
      <c r="T1100" s="13" t="s" ph="1">
        <v>10203</v>
      </c>
      <c r="U1100" s="16" ph="1">
        <v>45767</v>
      </c>
      <c r="V1100" s="17" ph="1">
        <v>1000</v>
      </c>
      <c r="W1100" s="17" ph="1">
        <v>1000</v>
      </c>
      <c r="X1100" s="13" t="s" ph="1">
        <v>2874</v>
      </c>
    </row>
    <row r="1101" spans="1:25" ht="22.5" customHeight="1" ph="1" x14ac:dyDescent="0.35">
      <c r="C1101" s="13" t="s" ph="1">
        <v>5796</v>
      </c>
      <c r="G1101" s="13" t="s" ph="1">
        <v>746</v>
      </c>
      <c r="H1101" s="13" t="s" ph="1">
        <v>4423</v>
      </c>
      <c r="M1101" s="14" t="str" ph="1">
        <f>IFERROR(INDEX([1]!_born[生没年],
MATCH(I1101,[1]!_born[作],0)),"")</f>
        <v/>
      </c>
      <c r="N1101" s="14" t="str" ph="1">
        <f>IFERROR(INDEX([1]!_born[生没年],
MATCH(K1101,[1]!_born[作],0)),"")</f>
        <v/>
      </c>
      <c r="O1101" s="15" t="s" ph="1">
        <v>6232</v>
      </c>
      <c r="U1101" s="16" t="s" ph="1">
        <v>706</v>
      </c>
      <c r="W1101" s="17" ph="1">
        <v>0</v>
      </c>
    </row>
    <row r="1102" spans="1:25" ht="22.5" customHeight="1" ph="1" x14ac:dyDescent="0.35">
      <c r="C1102" s="13" t="s" ph="1">
        <v>3624</v>
      </c>
      <c r="D1102" s="123" ph="1">
        <v>4</v>
      </c>
      <c r="E1102" s="123" t="s" ph="1">
        <v>1225</v>
      </c>
      <c r="G1102" s="13" t="s" ph="1">
        <v>746</v>
      </c>
      <c r="H1102" s="13" t="s" ph="1">
        <v>716</v>
      </c>
      <c r="I1102" s="13" t="s" ph="1">
        <v>6233</v>
      </c>
      <c r="J1102" s="13" t="s" ph="1">
        <v>3616</v>
      </c>
      <c r="M1102" s="14" t="str" ph="1">
        <f>IFERROR(INDEX([1]!_born[生没年],
MATCH(I1102,[1]!_born[作],0)),"")</f>
        <v/>
      </c>
      <c r="N1102" s="14" t="str" ph="1">
        <f>IFERROR(INDEX([1]!_born[生没年],
MATCH(K1102,[1]!_born[作],0)),"")</f>
        <v/>
      </c>
      <c r="O1102" s="13" t="s" ph="1">
        <v>6234</v>
      </c>
      <c r="R1102" s="16" t="s" ph="1">
        <v>1130</v>
      </c>
      <c r="S1102" s="13" t="s" ph="1">
        <v>6235</v>
      </c>
      <c r="T1102" s="13" t="s" ph="1">
        <v>6236</v>
      </c>
      <c r="U1102" s="16" ph="1">
        <v>38038</v>
      </c>
      <c r="V1102" s="17" ph="1">
        <f>2524*1.03</f>
        <v>2599.7200000000003</v>
      </c>
      <c r="W1102" s="17" ph="1">
        <f>2524*1.03</f>
        <v>2599.7200000000003</v>
      </c>
    </row>
    <row r="1103" spans="1:25" ht="22.5" customHeight="1" ph="1" x14ac:dyDescent="0.35">
      <c r="A1103" s="106" t="s" ph="1">
        <v>1131</v>
      </c>
      <c r="B1103" s="5" t="s" ph="1">
        <v>1132</v>
      </c>
      <c r="C1103" s="13" t="s" ph="1">
        <v>3624</v>
      </c>
      <c r="G1103" s="13" t="s" ph="1">
        <v>746</v>
      </c>
      <c r="H1103" s="13" t="s" ph="1">
        <v>716</v>
      </c>
      <c r="I1103" s="13" t="s" ph="1">
        <v>224</v>
      </c>
      <c r="J1103" s="13" t="s" ph="1">
        <v>3664</v>
      </c>
      <c r="M1103" s="14" t="str" ph="1">
        <f>IFERROR(INDEX([1]!_born[生没年],
MATCH(I1103,[1]!_born[作],0)),"")</f>
        <v/>
      </c>
      <c r="N1103" s="14" t="str" ph="1">
        <f>IFERROR(INDEX([1]!_born[生没年],
MATCH(K1103,[1]!_born[作],0)),"")</f>
        <v/>
      </c>
      <c r="O1103" s="13" t="s" ph="1">
        <v>6237</v>
      </c>
      <c r="R1103" s="16" t="s" ph="1">
        <v>774</v>
      </c>
      <c r="T1103" s="13" t="s" ph="1">
        <v>6236</v>
      </c>
      <c r="U1103" s="16" ph="1">
        <v>38998</v>
      </c>
      <c r="V1103" s="17" ph="1">
        <f>1800*1.03</f>
        <v>1854</v>
      </c>
      <c r="W1103" s="13" ph="1"/>
      <c r="X1103" s="5" t="s" ph="1">
        <v>4045</v>
      </c>
      <c r="Y1103" s="5" ph="1"/>
    </row>
    <row r="1104" spans="1:25" ht="22.5" customHeight="1" ph="1" x14ac:dyDescent="0.35">
      <c r="C1104" s="13" t="s" ph="1">
        <v>3624</v>
      </c>
      <c r="G1104" s="13" t="s" ph="1">
        <v>746</v>
      </c>
      <c r="H1104" s="13" t="s" ph="1">
        <v>716</v>
      </c>
      <c r="I1104" s="13" t="s" ph="1">
        <v>4083</v>
      </c>
      <c r="J1104" s="13" t="s" ph="1">
        <v>3616</v>
      </c>
      <c r="M1104" s="14" t="str" ph="1">
        <f>IFERROR(INDEX([1]!_born[生没年],
MATCH(I1104,[1]!_born[作],0)),"")</f>
        <v/>
      </c>
      <c r="N1104" s="14" t="str" ph="1">
        <f>IFERROR(INDEX([1]!_born[生没年],
MATCH(K1104,[1]!_born[作],0)),"")</f>
        <v/>
      </c>
      <c r="O1104" s="13" t="s" ph="1">
        <v>6238</v>
      </c>
      <c r="S1104" s="13" t="s" ph="1">
        <v>6239</v>
      </c>
      <c r="T1104" s="13" t="s" ph="1">
        <v>6240</v>
      </c>
      <c r="V1104" s="17" ph="1">
        <v>2580</v>
      </c>
    </row>
    <row r="1105" spans="1:25" ht="22.5" customHeight="1" ph="1" x14ac:dyDescent="0.35">
      <c r="A1105" s="106" t="s" ph="1">
        <v>1133</v>
      </c>
      <c r="B1105" s="5" t="s" ph="1">
        <v>1134</v>
      </c>
      <c r="C1105" s="13" t="s" ph="1">
        <v>3624</v>
      </c>
      <c r="G1105" s="13" t="s" ph="1">
        <v>746</v>
      </c>
      <c r="H1105" s="13" t="s" ph="1">
        <v>716</v>
      </c>
      <c r="I1105" s="13" t="s" ph="1">
        <v>4083</v>
      </c>
      <c r="J1105" s="13" t="s" ph="1">
        <v>3616</v>
      </c>
      <c r="M1105" s="14" t="str" ph="1">
        <f>IFERROR(INDEX([1]!_born[生没年],
MATCH(I1105,[1]!_born[作],0)),"")</f>
        <v/>
      </c>
      <c r="N1105" s="14" t="str" ph="1">
        <f>IFERROR(INDEX([1]!_born[生没年],
MATCH(K1105,[1]!_born[作],0)),"")</f>
        <v/>
      </c>
      <c r="O1105" s="13" t="s" ph="1">
        <v>217</v>
      </c>
      <c r="S1105" s="13" t="s" ph="1">
        <v>6239</v>
      </c>
      <c r="T1105" s="13" t="s" ph="1">
        <v>6240</v>
      </c>
      <c r="U1105" s="16" t="s" ph="1">
        <v>1135</v>
      </c>
      <c r="V1105" s="17" ph="1">
        <f>3000*1.05</f>
        <v>3150</v>
      </c>
      <c r="W1105" s="17" ph="1">
        <f>3000*1.05</f>
        <v>3150</v>
      </c>
    </row>
    <row r="1106" spans="1:25" ht="22.5" customHeight="1" ph="1" x14ac:dyDescent="0.35">
      <c r="A1106" s="106" t="s" ph="1">
        <v>1136</v>
      </c>
      <c r="B1106" s="5" t="s" ph="1">
        <v>1137</v>
      </c>
      <c r="C1106" s="13" t="s" ph="1">
        <v>3624</v>
      </c>
      <c r="G1106" s="13" t="s" ph="1">
        <v>746</v>
      </c>
      <c r="H1106" s="13" t="s" ph="1">
        <v>716</v>
      </c>
      <c r="I1106" s="13" t="s" ph="1">
        <v>6241</v>
      </c>
      <c r="J1106" s="13" t="s" ph="1">
        <v>3616</v>
      </c>
      <c r="M1106" s="14" t="str" ph="1">
        <f>IFERROR(INDEX([1]!_born[生没年],
MATCH(I1106,[1]!_born[作],0)),"")</f>
        <v/>
      </c>
      <c r="N1106" s="14" t="str" ph="1">
        <f>IFERROR(INDEX([1]!_born[生没年],
MATCH(K1106,[1]!_born[作],0)),"")</f>
        <v/>
      </c>
      <c r="O1106" s="13" t="s" ph="1">
        <v>6242</v>
      </c>
      <c r="R1106" s="16" ph="1">
        <v>35789</v>
      </c>
      <c r="S1106" s="13" t="s" ph="1">
        <v>6243</v>
      </c>
      <c r="T1106" s="13" t="s" ph="1">
        <v>6244</v>
      </c>
      <c r="U1106" s="16" ph="1">
        <v>38423</v>
      </c>
      <c r="V1106" s="17" ph="1">
        <f>3200*1.05</f>
        <v>3360</v>
      </c>
    </row>
    <row r="1107" spans="1:25" ht="22.5" customHeight="1" ph="1" x14ac:dyDescent="0.35">
      <c r="A1107" s="106" t="s" ph="1">
        <v>1138</v>
      </c>
      <c r="B1107" s="5" t="s" ph="1">
        <v>1139</v>
      </c>
      <c r="C1107" s="13" t="s" ph="1">
        <v>5796</v>
      </c>
      <c r="G1107" s="13" t="s" ph="1">
        <v>746</v>
      </c>
      <c r="H1107" s="13" t="s" ph="1">
        <v>716</v>
      </c>
      <c r="I1107" s="13" t="s" ph="1">
        <v>6245</v>
      </c>
      <c r="J1107" s="13" t="s" ph="1">
        <v>3671</v>
      </c>
      <c r="K1107" s="13" t="s" ph="1">
        <v>6246</v>
      </c>
      <c r="L1107" s="13" t="s" ph="1">
        <v>6122</v>
      </c>
      <c r="M1107" s="14" t="str" ph="1">
        <f>IFERROR(INDEX([1]!_born[生没年],
MATCH(I1107,[1]!_born[作],0)),"")</f>
        <v/>
      </c>
      <c r="N1107" s="14" t="str" ph="1">
        <f>IFERROR(INDEX([1]!_born[生没年],
MATCH(K1107,[1]!_born[作],0)),"")</f>
        <v/>
      </c>
      <c r="O1107" s="13" t="s" ph="1">
        <v>6247</v>
      </c>
      <c r="R1107" s="16" ph="1">
        <v>35789</v>
      </c>
      <c r="S1107" s="13" t="s" ph="1">
        <v>6248</v>
      </c>
      <c r="T1107" s="13" t="s" ph="1">
        <v>6244</v>
      </c>
      <c r="U1107" s="16" t="s" ph="1">
        <v>887</v>
      </c>
      <c r="V1107" s="17" ph="1">
        <f>2500*1.05</f>
        <v>2625</v>
      </c>
      <c r="W1107" s="17" ph="1">
        <f>2500*1.05</f>
        <v>2625</v>
      </c>
      <c r="Y1107" s="13" t="s" ph="1">
        <v>6118</v>
      </c>
    </row>
    <row r="1108" spans="1:25" ht="22.5" customHeight="1" ph="1" x14ac:dyDescent="0.35">
      <c r="A1108" s="106" t="s" ph="1">
        <v>1140</v>
      </c>
      <c r="B1108" s="5" t="s" ph="1">
        <v>1132</v>
      </c>
      <c r="C1108" s="13" t="s" ph="1">
        <v>3624</v>
      </c>
      <c r="G1108" s="13" t="s" ph="1">
        <v>746</v>
      </c>
      <c r="H1108" s="13" t="s" ph="1">
        <v>716</v>
      </c>
      <c r="I1108" s="13" t="s" ph="1">
        <v>6249</v>
      </c>
      <c r="J1108" s="13" t="s" ph="1">
        <v>3664</v>
      </c>
      <c r="M1108" s="14" t="str" ph="1">
        <f>IFERROR(INDEX([1]!_born[生没年],
MATCH(I1108,[1]!_born[作],0)),"")</f>
        <v/>
      </c>
      <c r="N1108" s="14" t="str" ph="1">
        <f>IFERROR(INDEX([1]!_born[生没年],
MATCH(K1108,[1]!_born[作],0)),"")</f>
        <v/>
      </c>
      <c r="O1108" s="13" t="s" ph="1">
        <v>6250</v>
      </c>
      <c r="R1108" s="16" ph="1">
        <v>33592</v>
      </c>
      <c r="T1108" s="13" t="s" ph="1">
        <v>6236</v>
      </c>
      <c r="U1108" s="16" t="s" ph="1">
        <v>1008</v>
      </c>
      <c r="V1108" s="17" ph="1">
        <f>1165*1.03</f>
        <v>1199.95</v>
      </c>
      <c r="W1108" s="17" ph="1">
        <f>1165*1.05</f>
        <v>1223.25</v>
      </c>
      <c r="Y1108" s="13" t="s" ph="1">
        <v>6118</v>
      </c>
    </row>
    <row r="1109" spans="1:25" ht="22.5" customHeight="1" ph="1" x14ac:dyDescent="0.35">
      <c r="A1109" s="106" t="s" ph="1">
        <v>1141</v>
      </c>
      <c r="B1109" s="5" t="s" ph="1">
        <v>1142</v>
      </c>
      <c r="C1109" s="13" t="s" ph="1">
        <v>3624</v>
      </c>
      <c r="D1109" s="123" ph="1">
        <v>1</v>
      </c>
      <c r="E1109" s="123" t="s" ph="1">
        <v>1225</v>
      </c>
      <c r="G1109" s="13" t="s" ph="1">
        <v>746</v>
      </c>
      <c r="H1109" s="13" t="s" ph="1">
        <v>716</v>
      </c>
      <c r="I1109" s="13" t="s" ph="1">
        <v>6251</v>
      </c>
      <c r="K1109" s="13" t="s" ph="1">
        <v>6233</v>
      </c>
      <c r="M1109" s="14" t="str" ph="1">
        <f>IFERROR(INDEX([1]!_born[生没年],
MATCH(I1109,[1]!_born[作],0)),"")</f>
        <v/>
      </c>
      <c r="N1109" s="14" t="str" ph="1">
        <f>IFERROR(INDEX([1]!_born[生没年],
MATCH(K1109,[1]!_born[作],0)),"")</f>
        <v/>
      </c>
      <c r="O1109" s="13" t="s" ph="1">
        <v>6252</v>
      </c>
      <c r="R1109" s="16" ph="1">
        <v>34639</v>
      </c>
      <c r="S1109" s="13" t="s" ph="1">
        <v>6253</v>
      </c>
      <c r="T1109" s="13" t="s" ph="1">
        <v>6236</v>
      </c>
      <c r="U1109" s="16" t="s" ph="1">
        <v>1143</v>
      </c>
      <c r="V1109" s="17" ph="1">
        <f>291*1.05</f>
        <v>305.55</v>
      </c>
      <c r="W1109" s="17" ph="1">
        <f>291*1.05</f>
        <v>305.55</v>
      </c>
      <c r="X1109" s="13" t="s" ph="1">
        <v>3802</v>
      </c>
      <c r="Y1109" s="13" t="s" ph="1">
        <v>6254</v>
      </c>
    </row>
    <row r="1110" spans="1:25" ht="22.5" customHeight="1" ph="1" x14ac:dyDescent="0.35">
      <c r="A1110" s="106" t="s" ph="1">
        <v>3172</v>
      </c>
      <c r="B1110" s="5" t="s" ph="1">
        <v>2336</v>
      </c>
      <c r="C1110" s="13" t="s" ph="1">
        <v>6255</v>
      </c>
      <c r="G1110" s="13" t="s" ph="1">
        <v>6255</v>
      </c>
      <c r="H1110" s="13" t="s" ph="1">
        <v>1324</v>
      </c>
      <c r="I1110" s="13" t="s" ph="1">
        <v>6256</v>
      </c>
      <c r="J1110" s="13" t="s" ph="1">
        <v>4246</v>
      </c>
      <c r="M1110" s="14" t="str" ph="1">
        <f>IFERROR(INDEX([1]!_born[生没年],
MATCH(I1110,[1]!_born[作],0)),"")</f>
        <v/>
      </c>
      <c r="N1110" s="14" t="str" ph="1">
        <f>IFERROR(INDEX([1]!_born[生没年],
MATCH(K1110,[1]!_born[作],0)),"")</f>
        <v/>
      </c>
      <c r="O1110" s="13" t="s" ph="1">
        <v>6257</v>
      </c>
      <c r="R1110" s="16" ph="1">
        <v>34639</v>
      </c>
      <c r="S1110" s="13" t="s" ph="1">
        <v>6258</v>
      </c>
      <c r="T1110" s="13" t="s" ph="1">
        <v>6259</v>
      </c>
      <c r="U1110" s="16" ph="1">
        <v>44921</v>
      </c>
      <c r="V1110" s="17" ph="1">
        <f>1980*1.1</f>
        <v>2178</v>
      </c>
      <c r="W1110" s="17" ph="1">
        <v>173</v>
      </c>
      <c r="X1110" s="13" t="s" ph="1">
        <v>6260</v>
      </c>
    </row>
    <row r="1111" spans="1:25" ht="22.5" customHeight="1" ph="1" x14ac:dyDescent="0.35">
      <c r="C1111" s="13" t="s" ph="1">
        <v>3970</v>
      </c>
      <c r="G1111" s="13" t="s" ph="1">
        <v>3624</v>
      </c>
      <c r="H1111" s="13" t="s" ph="1">
        <v>716</v>
      </c>
      <c r="I1111" s="13" t="s" ph="1">
        <v>6261</v>
      </c>
      <c r="J1111" s="13" t="s" ph="1">
        <v>6262</v>
      </c>
      <c r="K1111" s="13" t="s" ph="1">
        <v>6263</v>
      </c>
      <c r="L1111" s="13" t="s" ph="1">
        <v>4049</v>
      </c>
      <c r="M1111" s="14" t="str" ph="1">
        <f>IFERROR(INDEX([1]!_born[生没年],
MATCH(I1111,[1]!_born[作],0)),"")</f>
        <v/>
      </c>
      <c r="N1111" s="14" t="str" ph="1">
        <f>IFERROR(INDEX([1]!_born[生没年],
MATCH(K1111,[1]!_born[作],0)),"")</f>
        <v/>
      </c>
      <c r="O1111" s="15" t="s" ph="1">
        <v>6264</v>
      </c>
      <c r="R1111" s="16" ph="1">
        <v>34298</v>
      </c>
      <c r="T1111" s="13" t="s" ph="1">
        <v>6265</v>
      </c>
      <c r="U1111" s="16" ph="1">
        <v>37492</v>
      </c>
      <c r="V1111" s="17" ph="1">
        <v>10094</v>
      </c>
      <c r="W1111" s="17" ph="1">
        <v>4800</v>
      </c>
      <c r="X1111" s="13" t="s" ph="1">
        <v>4034</v>
      </c>
    </row>
    <row r="1112" spans="1:25" ht="22.5" customHeight="1" ph="1" x14ac:dyDescent="0.35">
      <c r="A1112" s="106" t="s" ph="1">
        <v>1144</v>
      </c>
      <c r="B1112" s="5" t="s" ph="1">
        <v>1145</v>
      </c>
      <c r="C1112" s="13" t="s" ph="1">
        <v>707</v>
      </c>
      <c r="G1112" s="13" t="s" ph="1">
        <v>3624</v>
      </c>
      <c r="I1112" s="13" t="s" ph="1">
        <v>672</v>
      </c>
      <c r="K1112" s="13" t="s" ph="1">
        <v>6266</v>
      </c>
      <c r="M1112" s="14" t="str" ph="1">
        <f>IFERROR(INDEX([1]!_born[生没年],
MATCH(I1112,[1]!_born[作],0)),"")</f>
        <v/>
      </c>
      <c r="N1112" s="14" t="str" ph="1">
        <f>IFERROR(INDEX([1]!_born[生没年],
MATCH(K1112,[1]!_born[作],0)),"")</f>
        <v/>
      </c>
      <c r="O1112" s="13" t="s" ph="1">
        <v>6267</v>
      </c>
      <c r="R1112" s="16" ph="1">
        <v>39416</v>
      </c>
      <c r="T1112" s="13" t="s" ph="1">
        <v>6268</v>
      </c>
      <c r="U1112" s="16" t="s" ph="1">
        <v>887</v>
      </c>
      <c r="V1112" s="17" ph="1">
        <f>2200*1.05</f>
        <v>2310</v>
      </c>
      <c r="W1112" s="17" ph="1">
        <f>2200*1.05</f>
        <v>2310</v>
      </c>
    </row>
    <row r="1113" spans="1:25" ht="22.5" customHeight="1" ph="1" x14ac:dyDescent="0.35">
      <c r="C1113" s="13" t="s" ph="1">
        <v>5796</v>
      </c>
      <c r="G1113" s="13" t="s" ph="1">
        <v>746</v>
      </c>
      <c r="I1113" s="13" t="s" ph="1">
        <v>6269</v>
      </c>
      <c r="M1113" s="14" t="str" ph="1">
        <f>IFERROR(INDEX([1]!_born[生没年],
MATCH(I1113,[1]!_born[作],0)),"")</f>
        <v/>
      </c>
      <c r="N1113" s="14" t="str" ph="1">
        <f>IFERROR(INDEX([1]!_born[生没年],
MATCH(K1113,[1]!_born[作],0)),"")</f>
        <v/>
      </c>
      <c r="O1113" s="15" t="s" ph="1">
        <v>6270</v>
      </c>
      <c r="R1113" s="16" t="s" ph="1">
        <v>3173</v>
      </c>
      <c r="T1113" s="13" t="s" ph="1">
        <v>3607</v>
      </c>
      <c r="V1113" s="17" ph="1">
        <f>2100*1.05</f>
        <v>2205</v>
      </c>
    </row>
    <row r="1114" spans="1:25" ht="22.5" customHeight="1" ph="1" x14ac:dyDescent="0.35">
      <c r="C1114" s="13" t="s" ph="1">
        <v>5796</v>
      </c>
      <c r="G1114" s="13" t="s" ph="1">
        <v>746</v>
      </c>
      <c r="I1114" s="13" t="s" ph="1">
        <v>6271</v>
      </c>
      <c r="M1114" s="14" t="str" ph="1">
        <f>IFERROR(INDEX([1]!_born[生没年],
MATCH(I1114,[1]!_born[作],0)),"")</f>
        <v/>
      </c>
      <c r="N1114" s="14" t="str" ph="1">
        <f>IFERROR(INDEX([1]!_born[生没年],
MATCH(K1114,[1]!_born[作],0)),"")</f>
        <v/>
      </c>
      <c r="O1114" s="13" t="s" ph="1">
        <v>6272</v>
      </c>
      <c r="R1114" s="16" ph="1">
        <v>36677</v>
      </c>
      <c r="T1114" s="13" t="s" ph="1">
        <v>4626</v>
      </c>
      <c r="U1114" s="16" ph="1">
        <v>36716</v>
      </c>
      <c r="V1114" s="17" ph="1">
        <f>1200*1.05</f>
        <v>1260</v>
      </c>
      <c r="W1114" s="17" ph="1">
        <f>1200*1.05</f>
        <v>1260</v>
      </c>
      <c r="X1114" s="13" t="s" ph="1">
        <v>3802</v>
      </c>
    </row>
    <row r="1115" spans="1:25" ht="22.5" customHeight="1" ph="1" x14ac:dyDescent="0.35">
      <c r="A1115" s="106" t="s" ph="1">
        <v>1146</v>
      </c>
      <c r="B1115" s="5" t="s" ph="1">
        <v>1147</v>
      </c>
      <c r="C1115" s="13" t="s" ph="1">
        <v>5796</v>
      </c>
      <c r="G1115" s="13" t="s" ph="1">
        <v>746</v>
      </c>
      <c r="I1115" s="13" t="s" ph="1">
        <v>6273</v>
      </c>
      <c r="J1115" s="13" t="s" ph="1">
        <v>3664</v>
      </c>
      <c r="K1115" s="13" t="s" ph="1">
        <v>6274</v>
      </c>
      <c r="L1115" s="13" t="s" ph="1">
        <v>6275</v>
      </c>
      <c r="M1115" s="14" t="str" ph="1">
        <f>IFERROR(INDEX([1]!_born[生没年],
MATCH(I1115,[1]!_born[作],0)),"")</f>
        <v/>
      </c>
      <c r="N1115" s="14" t="str" ph="1">
        <f>IFERROR(INDEX([1]!_born[生没年],
MATCH(K1115,[1]!_born[作],0)),"")</f>
        <v/>
      </c>
      <c r="O1115" s="13" t="s" ph="1">
        <v>6276</v>
      </c>
      <c r="R1115" s="16" ph="1">
        <v>36668</v>
      </c>
      <c r="S1115" s="13" t="s" ph="1">
        <v>360</v>
      </c>
      <c r="T1115" s="13" t="s" ph="1">
        <v>6277</v>
      </c>
      <c r="U1115" s="16" ph="1">
        <v>37023</v>
      </c>
      <c r="V1115" s="17" ph="1">
        <f>3200*1.05</f>
        <v>3360</v>
      </c>
      <c r="W1115" s="17" ph="1">
        <f>2000*1.05</f>
        <v>2100</v>
      </c>
      <c r="X1115" s="13" t="s" ph="1">
        <v>3632</v>
      </c>
      <c r="Y1115" s="13" t="s" ph="1">
        <v>6146</v>
      </c>
    </row>
    <row r="1116" spans="1:25" ht="22.5" customHeight="1" ph="1" x14ac:dyDescent="0.35">
      <c r="C1116" s="13" t="s" ph="1">
        <v>1122</v>
      </c>
      <c r="G1116" s="13" t="s" ph="1">
        <v>708</v>
      </c>
      <c r="H1116" s="13" t="s" ph="1">
        <v>709</v>
      </c>
      <c r="M1116" s="14" t="str" ph="1">
        <f>IFERROR(INDEX([1]!_born[生没年],
MATCH(I1116,[1]!_born[作],0)),"")</f>
        <v/>
      </c>
      <c r="N1116" s="14" t="str" ph="1">
        <f>IFERROR(INDEX([1]!_born[生没年],
MATCH(K1116,[1]!_born[作],0)),"")</f>
        <v/>
      </c>
      <c r="O1116" s="13" t="s" ph="1">
        <v>6278</v>
      </c>
      <c r="U1116" s="16" t="s" ph="1">
        <v>706</v>
      </c>
    </row>
    <row r="1117" spans="1:25" ht="22.5" customHeight="1" ph="1" x14ac:dyDescent="0.35">
      <c r="C1117" s="13" t="s" ph="1">
        <v>3970</v>
      </c>
      <c r="G1117" s="13" t="s" ph="1">
        <v>746</v>
      </c>
      <c r="I1117" s="13" t="s" ph="1">
        <v>6279</v>
      </c>
      <c r="J1117" s="13" t="s" ph="1">
        <v>3752</v>
      </c>
      <c r="K1117" s="13" t="s" ph="1">
        <v>6280</v>
      </c>
      <c r="L1117" s="13" t="s" ph="1">
        <v>3628</v>
      </c>
      <c r="M1117" s="14" t="str" ph="1">
        <f>IFERROR(INDEX([1]!_born[生没年],
MATCH(I1117,[1]!_born[作],0)),"")</f>
        <v/>
      </c>
      <c r="N1117" s="14" t="str" ph="1">
        <f>IFERROR(INDEX([1]!_born[生没年],
MATCH(K1117,[1]!_born[作],0)),"")</f>
        <v/>
      </c>
      <c r="O1117" s="13" t="s" ph="1">
        <v>6281</v>
      </c>
      <c r="T1117" s="13" t="s" ph="1">
        <v>1148</v>
      </c>
      <c r="V1117" s="17" ph="1">
        <v>2472</v>
      </c>
    </row>
    <row r="1118" spans="1:25" ht="22.5" customHeight="1" ph="1" x14ac:dyDescent="0.35">
      <c r="A1118" s="106" t="s" ph="1">
        <v>1149</v>
      </c>
      <c r="C1118" s="13" t="s" ph="1">
        <v>6282</v>
      </c>
      <c r="G1118" s="13" t="s" ph="1">
        <v>746</v>
      </c>
      <c r="I1118" s="13" t="s" ph="1">
        <v>6283</v>
      </c>
      <c r="J1118" s="13" t="s" ph="1">
        <v>6284</v>
      </c>
      <c r="M1118" s="14" t="str" ph="1">
        <f>IFERROR(INDEX([1]!_born[生没年],
MATCH(I1118,[1]!_born[作],0)),"")</f>
        <v/>
      </c>
      <c r="N1118" s="14" t="str" ph="1">
        <f>IFERROR(INDEX([1]!_born[生没年],
MATCH(K1118,[1]!_born[作],0)),"")</f>
        <v/>
      </c>
      <c r="O1118" s="13" t="s" ph="1">
        <v>6285</v>
      </c>
      <c r="S1118" s="13" t="s" ph="1">
        <v>1150</v>
      </c>
      <c r="T1118" s="13" t="s" ph="1">
        <v>6286</v>
      </c>
      <c r="U1118" s="16" t="s" ph="1">
        <v>1151</v>
      </c>
      <c r="V1118" s="17" ph="1">
        <f>1715*1.05</f>
        <v>1800.75</v>
      </c>
    </row>
    <row r="1119" spans="1:25" ht="22.5" customHeight="1" ph="1" x14ac:dyDescent="0.35">
      <c r="A1119" s="106" t="s" ph="1">
        <v>1152</v>
      </c>
      <c r="C1119" s="13" t="s" ph="1">
        <v>6282</v>
      </c>
      <c r="G1119" s="13" t="s" ph="1">
        <v>746</v>
      </c>
      <c r="I1119" s="13" t="s" ph="1">
        <v>6283</v>
      </c>
      <c r="J1119" s="13" t="s" ph="1">
        <v>6284</v>
      </c>
      <c r="M1119" s="14" t="str" ph="1">
        <f>IFERROR(INDEX([1]!_born[生没年],
MATCH(I1119,[1]!_born[作],0)),"")</f>
        <v/>
      </c>
      <c r="N1119" s="14" t="str" ph="1">
        <f>IFERROR(INDEX([1]!_born[生没年],
MATCH(K1119,[1]!_born[作],0)),"")</f>
        <v/>
      </c>
      <c r="O1119" s="13" t="s" ph="1">
        <v>6287</v>
      </c>
      <c r="S1119" s="13" t="s" ph="1">
        <v>1150</v>
      </c>
      <c r="T1119" s="13" t="s" ph="1">
        <v>6286</v>
      </c>
      <c r="U1119" s="16" t="s" ph="1">
        <v>1151</v>
      </c>
      <c r="V1119" s="17" ph="1">
        <f>1715*1.05</f>
        <v>1800.75</v>
      </c>
    </row>
    <row r="1120" spans="1:25" ht="22.5" customHeight="1" ph="1" x14ac:dyDescent="0.35">
      <c r="A1120" s="109"/>
      <c r="C1120" s="13" t="s" ph="1">
        <v>3970</v>
      </c>
      <c r="G1120" s="13" t="s" ph="1">
        <v>3624</v>
      </c>
      <c r="I1120" s="13" t="s" ph="1">
        <v>6288</v>
      </c>
      <c r="J1120" s="13" t="s" ph="1">
        <v>3671</v>
      </c>
      <c r="K1120" s="13" t="s" ph="1">
        <v>6289</v>
      </c>
      <c r="L1120" s="13" t="s" ph="1">
        <v>6290</v>
      </c>
      <c r="M1120" s="14" t="str" ph="1">
        <f>IFERROR(INDEX([1]!_born[生没年],
MATCH(I1120,[1]!_born[作],0)),"")</f>
        <v/>
      </c>
      <c r="N1120" s="14" t="str" ph="1">
        <f>IFERROR(INDEX([1]!_born[生没年],
MATCH(K1120,[1]!_born[作],0)),"")</f>
        <v/>
      </c>
      <c r="O1120" s="15" t="s" ph="1">
        <v>6291</v>
      </c>
      <c r="R1120" s="16" ph="1">
        <v>37884</v>
      </c>
      <c r="T1120" s="13" t="s" ph="1">
        <v>6292</v>
      </c>
      <c r="U1120" s="16" ph="1">
        <v>37920</v>
      </c>
      <c r="V1120" s="17" ph="1">
        <f>2800*1.05</f>
        <v>2940</v>
      </c>
      <c r="W1120" s="17" ph="1">
        <f>2800*1.05</f>
        <v>2940</v>
      </c>
      <c r="X1120" s="13" t="s" ph="1">
        <v>3802</v>
      </c>
    </row>
    <row r="1121" spans="3:25" ht="22.5" customHeight="1" ph="1" x14ac:dyDescent="0.35">
      <c r="C1121" s="13" t="s" ph="1">
        <v>3648</v>
      </c>
      <c r="G1121" s="13" t="s" ph="1">
        <v>3624</v>
      </c>
      <c r="I1121" s="13" t="s" ph="1">
        <v>6293</v>
      </c>
      <c r="M1121" s="14" t="str" ph="1">
        <f>IFERROR(INDEX([1]!_born[生没年],
MATCH(I1121,[1]!_born[作],0)),"")</f>
        <v/>
      </c>
      <c r="N1121" s="14" t="str" ph="1">
        <f>IFERROR(INDEX([1]!_born[生没年],
MATCH(K1121,[1]!_born[作],0)),"")</f>
        <v/>
      </c>
      <c r="O1121" s="13" t="s" ph="1">
        <v>6294</v>
      </c>
      <c r="S1121" s="13" t="s" ph="1">
        <v>680</v>
      </c>
      <c r="T1121" s="13" t="s" ph="1">
        <v>119</v>
      </c>
      <c r="U1121" s="16" ph="1">
        <v>36923</v>
      </c>
      <c r="V1121" s="17" ph="1">
        <f>2000*1.05</f>
        <v>2100</v>
      </c>
      <c r="W1121" s="17" ph="1">
        <f>2000*1.05</f>
        <v>2100</v>
      </c>
    </row>
    <row r="1122" spans="3:25" ht="22.5" customHeight="1" ph="1" x14ac:dyDescent="0.35">
      <c r="C1122" s="13" t="s" ph="1">
        <v>3648</v>
      </c>
      <c r="G1122" s="13" t="s" ph="1">
        <v>3624</v>
      </c>
      <c r="I1122" s="13" t="s" ph="1">
        <v>6295</v>
      </c>
      <c r="K1122" s="13" t="s" ph="1">
        <v>6296</v>
      </c>
      <c r="M1122" s="14" t="str" ph="1">
        <f>IFERROR(INDEX([1]!_born[生没年],
MATCH(I1122,[1]!_born[作],0)),"")</f>
        <v/>
      </c>
      <c r="N1122" s="14" t="str" ph="1">
        <f>IFERROR(INDEX([1]!_born[生没年],
MATCH(K1122,[1]!_born[作],0)),"")</f>
        <v/>
      </c>
      <c r="O1122" s="13" t="s" ph="1">
        <v>6297</v>
      </c>
      <c r="S1122" s="13" t="s" ph="1">
        <v>6298</v>
      </c>
      <c r="T1122" s="13" t="s" ph="1">
        <v>6071</v>
      </c>
      <c r="U1122" s="16" ph="1">
        <v>37017</v>
      </c>
      <c r="V1122" s="17" ph="1">
        <v>560</v>
      </c>
      <c r="W1122" s="17" ph="1">
        <v>560</v>
      </c>
    </row>
    <row r="1123" spans="3:25" ht="22.5" customHeight="1" ph="1" x14ac:dyDescent="0.35">
      <c r="C1123" s="13" t="s" ph="1">
        <v>3648</v>
      </c>
      <c r="G1123" s="13" t="s" ph="1">
        <v>3624</v>
      </c>
      <c r="I1123" s="13" t="s" ph="1">
        <v>6295</v>
      </c>
      <c r="M1123" s="14" t="str" ph="1">
        <f>IFERROR(INDEX([1]!_born[生没年],
MATCH(I1123,[1]!_born[作],0)),"")</f>
        <v/>
      </c>
      <c r="N1123" s="14" t="str" ph="1">
        <f>IFERROR(INDEX([1]!_born[生没年],
MATCH(K1123,[1]!_born[作],0)),"")</f>
        <v/>
      </c>
      <c r="O1123" s="13" t="s" ph="1">
        <v>6299</v>
      </c>
      <c r="S1123" s="13" t="s" ph="1">
        <v>6298</v>
      </c>
      <c r="T1123" s="13" t="s" ph="1">
        <v>6071</v>
      </c>
      <c r="U1123" s="16" ph="1">
        <v>36718</v>
      </c>
      <c r="V1123" s="17" ph="1">
        <v>560</v>
      </c>
      <c r="W1123" s="17" ph="1">
        <v>560</v>
      </c>
    </row>
    <row r="1124" spans="3:25" ht="22.5" customHeight="1" ph="1" x14ac:dyDescent="0.35">
      <c r="C1124" s="13" t="s" ph="1">
        <v>3648</v>
      </c>
      <c r="G1124" s="13" t="s" ph="1">
        <v>3624</v>
      </c>
      <c r="I1124" s="13" t="s" ph="1">
        <v>6295</v>
      </c>
      <c r="M1124" s="14" t="str" ph="1">
        <f>IFERROR(INDEX([1]!_born[生没年],
MATCH(I1124,[1]!_born[作],0)),"")</f>
        <v/>
      </c>
      <c r="N1124" s="14" t="str" ph="1">
        <f>IFERROR(INDEX([1]!_born[生没年],
MATCH(K1124,[1]!_born[作],0)),"")</f>
        <v/>
      </c>
      <c r="O1124" s="13" t="s" ph="1">
        <v>6300</v>
      </c>
      <c r="S1124" s="13" t="s" ph="1">
        <v>6298</v>
      </c>
      <c r="T1124" s="13" t="s" ph="1">
        <v>6071</v>
      </c>
      <c r="U1124" s="16" ph="1">
        <v>36718</v>
      </c>
      <c r="V1124" s="17" ph="1">
        <v>560</v>
      </c>
      <c r="W1124" s="17" ph="1">
        <v>560</v>
      </c>
    </row>
    <row r="1125" spans="3:25" ht="22.5" customHeight="1" ph="1" x14ac:dyDescent="0.35">
      <c r="C1125" s="13" t="s" ph="1">
        <v>3648</v>
      </c>
      <c r="G1125" s="13" t="s" ph="1">
        <v>3624</v>
      </c>
      <c r="I1125" s="13" t="s" ph="1">
        <v>6301</v>
      </c>
      <c r="M1125" s="14" t="str" ph="1">
        <f>IFERROR(INDEX([1]!_born[生没年],
MATCH(I1125,[1]!_born[作],0)),"")</f>
        <v/>
      </c>
      <c r="N1125" s="14" t="str" ph="1">
        <f>IFERROR(INDEX([1]!_born[生没年],
MATCH(K1125,[1]!_born[作],0)),"")</f>
        <v/>
      </c>
      <c r="O1125" s="13" t="s" ph="1">
        <v>6302</v>
      </c>
      <c r="S1125" s="13" t="s" ph="1">
        <v>6298</v>
      </c>
      <c r="T1125" s="13" t="s" ph="1">
        <v>6071</v>
      </c>
      <c r="V1125" s="17" ph="1">
        <v>400</v>
      </c>
      <c r="W1125" s="17" ph="1">
        <v>100</v>
      </c>
    </row>
    <row r="1126" spans="3:25" ht="22.5" customHeight="1" ph="1" x14ac:dyDescent="0.35">
      <c r="C1126" s="13" t="s" ph="1">
        <v>3648</v>
      </c>
      <c r="G1126" s="13" t="s" ph="1">
        <v>3624</v>
      </c>
      <c r="I1126" s="13" t="s" ph="1">
        <v>6303</v>
      </c>
      <c r="M1126" s="14" t="str" ph="1">
        <f>IFERROR(INDEX([1]!_born[生没年],
MATCH(I1126,[1]!_born[作],0)),"")</f>
        <v/>
      </c>
      <c r="N1126" s="14" t="str" ph="1">
        <f>IFERROR(INDEX([1]!_born[生没年],
MATCH(K1126,[1]!_born[作],0)),"")</f>
        <v/>
      </c>
      <c r="O1126" s="13" t="s" ph="1">
        <v>6304</v>
      </c>
      <c r="S1126" s="13" t="s" ph="1">
        <v>6298</v>
      </c>
      <c r="T1126" s="13" t="s" ph="1">
        <v>6071</v>
      </c>
      <c r="V1126" s="17" ph="1">
        <v>520</v>
      </c>
      <c r="W1126" s="17" ph="1">
        <v>200</v>
      </c>
    </row>
    <row r="1127" spans="3:25" ht="22.5" customHeight="1" ph="1" x14ac:dyDescent="0.35">
      <c r="C1127" s="13" t="s" ph="1">
        <v>3648</v>
      </c>
      <c r="G1127" s="13" t="s" ph="1">
        <v>3624</v>
      </c>
      <c r="I1127" s="13" t="s" ph="1">
        <v>6303</v>
      </c>
      <c r="M1127" s="14" t="str" ph="1">
        <f>IFERROR(INDEX([1]!_born[生没年],
MATCH(I1127,[1]!_born[作],0)),"")</f>
        <v/>
      </c>
      <c r="N1127" s="14" t="str" ph="1">
        <f>IFERROR(INDEX([1]!_born[生没年],
MATCH(K1127,[1]!_born[作],0)),"")</f>
        <v/>
      </c>
      <c r="O1127" s="13" t="s" ph="1">
        <v>6305</v>
      </c>
      <c r="S1127" s="13" t="s" ph="1">
        <v>6298</v>
      </c>
      <c r="T1127" s="13" t="s" ph="1">
        <v>6071</v>
      </c>
      <c r="V1127" s="17" ph="1">
        <v>520</v>
      </c>
      <c r="W1127" s="17" ph="1">
        <v>100</v>
      </c>
    </row>
    <row r="1128" spans="3:25" ht="22.5" customHeight="1" ph="1" x14ac:dyDescent="0.35">
      <c r="C1128" s="13" t="s" ph="1">
        <v>3648</v>
      </c>
      <c r="G1128" s="13" t="s" ph="1">
        <v>3624</v>
      </c>
      <c r="I1128" s="13" t="s" ph="1">
        <v>6303</v>
      </c>
      <c r="M1128" s="14" t="str" ph="1">
        <f>IFERROR(INDEX([1]!_born[生没年],
MATCH(I1128,[1]!_born[作],0)),"")</f>
        <v/>
      </c>
      <c r="N1128" s="14" t="str" ph="1">
        <f>IFERROR(INDEX([1]!_born[生没年],
MATCH(K1128,[1]!_born[作],0)),"")</f>
        <v/>
      </c>
      <c r="O1128" s="13" t="s" ph="1">
        <v>6306</v>
      </c>
      <c r="S1128" s="13" t="s" ph="1">
        <v>6298</v>
      </c>
      <c r="T1128" s="13" t="s" ph="1">
        <v>6071</v>
      </c>
      <c r="V1128" s="17" ph="1">
        <v>520</v>
      </c>
      <c r="W1128" s="17" ph="1">
        <v>100</v>
      </c>
    </row>
    <row r="1129" spans="3:25" ht="22.5" customHeight="1" ph="1" x14ac:dyDescent="0.35">
      <c r="C1129" s="13" t="s" ph="1">
        <v>3648</v>
      </c>
      <c r="G1129" s="13" t="s" ph="1">
        <v>3624</v>
      </c>
      <c r="I1129" s="13" t="s" ph="1">
        <v>6307</v>
      </c>
      <c r="M1129" s="14" t="str" ph="1">
        <f>IFERROR(INDEX([1]!_born[生没年],
MATCH(I1129,[1]!_born[作],0)),"")</f>
        <v/>
      </c>
      <c r="N1129" s="14" t="str" ph="1">
        <f>IFERROR(INDEX([1]!_born[生没年],
MATCH(K1129,[1]!_born[作],0)),"")</f>
        <v/>
      </c>
      <c r="O1129" s="13" t="s" ph="1">
        <v>1153</v>
      </c>
      <c r="S1129" s="13" t="s" ph="1">
        <v>6308</v>
      </c>
      <c r="T1129" s="13" t="s" ph="1">
        <v>6071</v>
      </c>
      <c r="V1129" s="17" ph="1">
        <v>220</v>
      </c>
      <c r="W1129" s="17" ph="1">
        <v>100</v>
      </c>
    </row>
    <row r="1130" spans="3:25" ht="22.5" customHeight="1" ph="1" x14ac:dyDescent="0.35">
      <c r="C1130" s="13" t="s" ph="1">
        <v>3648</v>
      </c>
      <c r="G1130" s="13" t="s" ph="1">
        <v>3624</v>
      </c>
      <c r="I1130" s="13" t="s" ph="1">
        <v>6307</v>
      </c>
      <c r="M1130" s="14" t="str" ph="1">
        <f>IFERROR(INDEX([1]!_born[生没年],
MATCH(I1130,[1]!_born[作],0)),"")</f>
        <v/>
      </c>
      <c r="N1130" s="14" t="str" ph="1">
        <f>IFERROR(INDEX([1]!_born[生没年],
MATCH(K1130,[1]!_born[作],0)),"")</f>
        <v/>
      </c>
      <c r="O1130" s="13" t="s" ph="1">
        <v>1154</v>
      </c>
      <c r="S1130" s="13" t="s" ph="1">
        <v>6308</v>
      </c>
      <c r="T1130" s="13" t="s" ph="1">
        <v>6071</v>
      </c>
      <c r="V1130" s="17" ph="1">
        <v>220</v>
      </c>
      <c r="W1130" s="17" ph="1">
        <v>100</v>
      </c>
    </row>
    <row r="1131" spans="3:25" ht="22.5" customHeight="1" ph="1" x14ac:dyDescent="0.35">
      <c r="C1131" s="13" t="s" ph="1">
        <v>3648</v>
      </c>
      <c r="G1131" s="13" t="s" ph="1">
        <v>3624</v>
      </c>
      <c r="I1131" s="13" t="s" ph="1">
        <v>6307</v>
      </c>
      <c r="M1131" s="14" t="str" ph="1">
        <f>IFERROR(INDEX([1]!_born[生没年],
MATCH(I1131,[1]!_born[作],0)),"")</f>
        <v/>
      </c>
      <c r="N1131" s="14" t="str" ph="1">
        <f>IFERROR(INDEX([1]!_born[生没年],
MATCH(K1131,[1]!_born[作],0)),"")</f>
        <v/>
      </c>
      <c r="O1131" s="13" t="s" ph="1">
        <v>1155</v>
      </c>
      <c r="S1131" s="13" t="s" ph="1">
        <v>6308</v>
      </c>
      <c r="T1131" s="13" t="s" ph="1">
        <v>6071</v>
      </c>
      <c r="V1131" s="17" ph="1">
        <v>220</v>
      </c>
      <c r="W1131" s="17" ph="1">
        <v>100</v>
      </c>
    </row>
    <row r="1132" spans="3:25" ht="22.5" customHeight="1" ph="1" x14ac:dyDescent="0.35">
      <c r="C1132" s="13" t="s" ph="1">
        <v>3970</v>
      </c>
      <c r="G1132" s="13" t="s" ph="1">
        <v>3624</v>
      </c>
      <c r="M1132" s="14" t="str" ph="1">
        <f>IFERROR(INDEX([1]!_born[生没年],
MATCH(I1132,[1]!_born[作],0)),"")</f>
        <v/>
      </c>
      <c r="N1132" s="14" t="str" ph="1">
        <f>IFERROR(INDEX([1]!_born[生没年],
MATCH(K1132,[1]!_born[作],0)),"")</f>
        <v/>
      </c>
      <c r="O1132" s="13" t="s" ph="1">
        <v>6309</v>
      </c>
      <c r="S1132" s="13" t="s" ph="1">
        <v>6310</v>
      </c>
      <c r="T1132" s="13" t="s" ph="1">
        <v>3995</v>
      </c>
      <c r="V1132" s="17" ph="1">
        <f>1460*1.05</f>
        <v>1533</v>
      </c>
    </row>
    <row r="1133" spans="3:25" ht="22.5" customHeight="1" ph="1" x14ac:dyDescent="0.35">
      <c r="C1133" s="13" t="s" ph="1">
        <v>3970</v>
      </c>
      <c r="G1133" s="13" t="s" ph="1">
        <v>3624</v>
      </c>
      <c r="M1133" s="14" t="str" ph="1">
        <f>IFERROR(INDEX([1]!_born[生没年],
MATCH(I1133,[1]!_born[作],0)),"")</f>
        <v/>
      </c>
      <c r="N1133" s="14" t="str" ph="1">
        <f>IFERROR(INDEX([1]!_born[生没年],
MATCH(K1133,[1]!_born[作],0)),"")</f>
        <v/>
      </c>
      <c r="O1133" s="13" t="s" ph="1">
        <v>6311</v>
      </c>
      <c r="S1133" s="13" t="s" ph="1">
        <v>6310</v>
      </c>
      <c r="T1133" s="13" t="s" ph="1">
        <v>3995</v>
      </c>
      <c r="V1133" s="17" ph="1">
        <f>1460*1.05</f>
        <v>1533</v>
      </c>
    </row>
    <row r="1134" spans="3:25" ht="22.5" customHeight="1" ph="1" x14ac:dyDescent="0.35">
      <c r="C1134" s="13" t="s" ph="1">
        <v>3970</v>
      </c>
      <c r="G1134" s="13" t="s" ph="1">
        <v>3624</v>
      </c>
      <c r="M1134" s="14" t="str" ph="1">
        <f>IFERROR(INDEX([1]!_born[生没年],
MATCH(I1134,[1]!_born[作],0)),"")</f>
        <v/>
      </c>
      <c r="N1134" s="14" t="str" ph="1">
        <f>IFERROR(INDEX([1]!_born[生没年],
MATCH(K1134,[1]!_born[作],0)),"")</f>
        <v/>
      </c>
      <c r="O1134" s="13" t="s" ph="1">
        <v>6312</v>
      </c>
      <c r="S1134" s="13" t="s" ph="1">
        <v>6313</v>
      </c>
      <c r="T1134" s="13" t="s" ph="1">
        <v>3995</v>
      </c>
      <c r="U1134" s="16" ph="1">
        <v>36543</v>
      </c>
      <c r="V1134" s="17" ph="1">
        <f>2000*1.05</f>
        <v>2100</v>
      </c>
      <c r="W1134" s="17" ph="1">
        <v>0</v>
      </c>
      <c r="X1134" s="13" t="s" ph="1">
        <v>6314</v>
      </c>
      <c r="Y1134" s="13" t="s" ph="1">
        <v>6315</v>
      </c>
    </row>
    <row r="1135" spans="3:25" ht="22.5" customHeight="1" ph="1" x14ac:dyDescent="0.35">
      <c r="C1135" s="13" t="s" ph="1">
        <v>3970</v>
      </c>
      <c r="G1135" s="13" t="s" ph="1">
        <v>3624</v>
      </c>
      <c r="I1135" s="13" t="s" ph="1">
        <v>6316</v>
      </c>
      <c r="J1135" s="13" t="s" ph="1">
        <v>3664</v>
      </c>
      <c r="K1135" s="13" t="s" ph="1">
        <v>6317</v>
      </c>
      <c r="L1135" s="13" t="s" ph="1">
        <v>6318</v>
      </c>
      <c r="M1135" s="14" t="str" ph="1">
        <f>IFERROR(INDEX([1]!_born[生没年],
MATCH(I1135,[1]!_born[作],0)),"")</f>
        <v/>
      </c>
      <c r="N1135" s="14" t="str" ph="1">
        <f>IFERROR(INDEX([1]!_born[生没年],
MATCH(K1135,[1]!_born[作],0)),"")</f>
        <v/>
      </c>
      <c r="O1135" s="13" t="s" ph="1">
        <v>6319</v>
      </c>
      <c r="S1135" s="13" t="s" ph="1">
        <v>6320</v>
      </c>
      <c r="T1135" s="13" t="s" ph="1">
        <v>3995</v>
      </c>
      <c r="V1135" s="17" ph="1">
        <v>78000</v>
      </c>
      <c r="W1135" s="17" ph="1">
        <v>500</v>
      </c>
    </row>
    <row r="1136" spans="3:25" ht="22.5" customHeight="1" ph="1" x14ac:dyDescent="0.35">
      <c r="C1136" s="13" t="s" ph="1">
        <v>3648</v>
      </c>
      <c r="G1136" s="13" t="s" ph="1">
        <v>3624</v>
      </c>
      <c r="I1136" s="13" t="s" ph="1">
        <v>6321</v>
      </c>
      <c r="J1136" s="13" t="s" ph="1">
        <v>3616</v>
      </c>
      <c r="M1136" s="14" t="str" ph="1">
        <f>IFERROR(INDEX([1]!_born[生没年],
MATCH(I1136,[1]!_born[作],0)),"")</f>
        <v/>
      </c>
      <c r="N1136" s="14" t="str" ph="1">
        <f>IFERROR(INDEX([1]!_born[生没年],
MATCH(K1136,[1]!_born[作],0)),"")</f>
        <v/>
      </c>
      <c r="O1136" s="13" t="s" ph="1">
        <v>6322</v>
      </c>
      <c r="R1136" s="16" t="s" ph="1">
        <v>1156</v>
      </c>
      <c r="S1136" s="13" t="s" ph="1">
        <v>1157</v>
      </c>
      <c r="T1136" s="13" t="s" ph="1">
        <v>6323</v>
      </c>
      <c r="V1136" s="17" ph="1">
        <v>330</v>
      </c>
    </row>
    <row r="1137" spans="1:25" ht="22.5" customHeight="1" ph="1" x14ac:dyDescent="0.35">
      <c r="A1137" s="106" t="s" ph="1">
        <v>3138</v>
      </c>
      <c r="B1137" s="5" t="s" ph="1">
        <v>1060</v>
      </c>
      <c r="C1137" s="13" t="s" ph="1">
        <v>3970</v>
      </c>
      <c r="G1137" s="13" t="s" ph="1">
        <v>3624</v>
      </c>
      <c r="I1137" s="13" t="s" ph="1">
        <v>6324</v>
      </c>
      <c r="J1137" s="13" t="s" ph="1">
        <v>4193</v>
      </c>
      <c r="M1137" s="14" t="str" ph="1">
        <f>IFERROR(INDEX([1]!_born[生没年],
MATCH(I1137,[1]!_born[作],0)),"")</f>
        <v/>
      </c>
      <c r="N1137" s="14" t="str" ph="1">
        <f>IFERROR(INDEX([1]!_born[生没年],
MATCH(K1137,[1]!_born[作],0)),"")</f>
        <v/>
      </c>
      <c r="O1137" s="13" t="s" ph="1">
        <v>6325</v>
      </c>
      <c r="R1137" s="16" ph="1">
        <v>40466</v>
      </c>
      <c r="S1137" s="13" t="s" ph="1">
        <v>6326</v>
      </c>
      <c r="T1137" s="13" t="s" ph="1">
        <v>3139</v>
      </c>
      <c r="U1137" s="16" ph="1">
        <v>44599</v>
      </c>
      <c r="V1137" s="17" ph="1">
        <f>2200*1.05</f>
        <v>2310</v>
      </c>
      <c r="W1137" s="17" ph="1">
        <f>849+220-10</f>
        <v>1059</v>
      </c>
      <c r="X1137" s="13" t="s" ph="1">
        <v>2874</v>
      </c>
    </row>
    <row r="1138" spans="1:25" ht="22.5" customHeight="1" ph="1" x14ac:dyDescent="0.35">
      <c r="A1138" s="106" t="s" ph="1">
        <v>1158</v>
      </c>
      <c r="B1138" s="5" t="s" ph="1">
        <v>1145</v>
      </c>
      <c r="C1138" s="13" t="s" ph="1">
        <v>3970</v>
      </c>
      <c r="G1138" s="13" t="s" ph="1">
        <v>3624</v>
      </c>
      <c r="I1138" s="13" t="s" ph="1">
        <v>6327</v>
      </c>
      <c r="M1138" s="14" t="str" ph="1">
        <f>IFERROR(INDEX([1]!_born[生没年],
MATCH(I1138,[1]!_born[作],0)),"")</f>
        <v/>
      </c>
      <c r="N1138" s="14" t="str" ph="1">
        <f>IFERROR(INDEX([1]!_born[生没年],
MATCH(K1138,[1]!_born[作],0)),"")</f>
        <v/>
      </c>
      <c r="O1138" s="13" t="s" ph="1">
        <v>6328</v>
      </c>
      <c r="S1138" s="13" t="s" ph="1">
        <v>675</v>
      </c>
      <c r="T1138" s="13" t="s" ph="1">
        <v>3607</v>
      </c>
      <c r="V1138" s="17" ph="1">
        <f>1524*1.05</f>
        <v>1600.2</v>
      </c>
      <c r="W1138" s="17" t="s" ph="1">
        <v>3635</v>
      </c>
      <c r="X1138" s="13" t="s" ph="1">
        <v>3792</v>
      </c>
    </row>
    <row r="1139" spans="1:25" ht="22.5" customHeight="1" ph="1" x14ac:dyDescent="0.35">
      <c r="C1139" s="13" t="s" ph="1">
        <v>3970</v>
      </c>
      <c r="G1139" s="13" t="s" ph="1">
        <v>3624</v>
      </c>
      <c r="M1139" s="14" t="str" ph="1">
        <f>IFERROR(INDEX([1]!_born[生没年],
MATCH(I1139,[1]!_born[作],0)),"")</f>
        <v/>
      </c>
      <c r="N1139" s="14" t="str" ph="1">
        <f>IFERROR(INDEX([1]!_born[生没年],
MATCH(K1139,[1]!_born[作],0)),"")</f>
        <v/>
      </c>
      <c r="O1139" s="13" t="s" ph="1">
        <v>6329</v>
      </c>
      <c r="S1139" s="13" t="s" ph="1">
        <v>6330</v>
      </c>
      <c r="T1139" s="13" t="s" ph="1">
        <v>6071</v>
      </c>
      <c r="V1139" s="17" ph="1">
        <f>3800*1.05</f>
        <v>3990</v>
      </c>
    </row>
    <row r="1140" spans="1:25" ht="22.5" customHeight="1" ph="1" x14ac:dyDescent="0.35">
      <c r="C1140" s="13" t="s" ph="1">
        <v>6331</v>
      </c>
      <c r="G1140" s="13" t="s" ph="1">
        <v>3624</v>
      </c>
      <c r="H1140" s="13" t="s" ph="1">
        <v>4423</v>
      </c>
      <c r="I1140" s="13" t="s" ph="1">
        <v>6332</v>
      </c>
      <c r="M1140" s="14" t="str" ph="1">
        <f>IFERROR(INDEX([1]!_born[生没年],
MATCH(I1140,[1]!_born[作],0)),"")</f>
        <v/>
      </c>
      <c r="N1140" s="14" t="str" ph="1">
        <f>IFERROR(INDEX([1]!_born[生没年],
MATCH(K1140,[1]!_born[作],0)),"")</f>
        <v/>
      </c>
      <c r="O1140" s="13" t="s" ph="1">
        <v>6333</v>
      </c>
      <c r="T1140" s="13" t="s" ph="1">
        <v>6334</v>
      </c>
      <c r="V1140" s="17" ph="1">
        <v>2300</v>
      </c>
    </row>
    <row r="1141" spans="1:25" ht="22.5" customHeight="1" ph="1" x14ac:dyDescent="0.35">
      <c r="C1141" s="13" t="s" ph="1">
        <v>6331</v>
      </c>
      <c r="G1141" s="13" t="s" ph="1">
        <v>3624</v>
      </c>
      <c r="I1141" s="13" t="s" ph="1">
        <v>6335</v>
      </c>
      <c r="J1141" s="13" t="s" ph="1">
        <v>4193</v>
      </c>
      <c r="K1141" s="13" t="s" ph="1">
        <v>6336</v>
      </c>
      <c r="L1141" s="13" t="s" ph="1">
        <v>4543</v>
      </c>
      <c r="M1141" s="14" t="str" ph="1">
        <f>IFERROR(INDEX([1]!_born[生没年],
MATCH(I1141,[1]!_born[作],0)),"")</f>
        <v/>
      </c>
      <c r="N1141" s="14" t="str" ph="1">
        <f>IFERROR(INDEX([1]!_born[生没年],
MATCH(K1141,[1]!_born[作],0)),"")</f>
        <v/>
      </c>
      <c r="O1141" s="13" t="s" ph="1">
        <v>6337</v>
      </c>
      <c r="T1141" s="13" t="s" ph="1">
        <v>4902</v>
      </c>
      <c r="V1141" s="17" ph="1">
        <v>1442</v>
      </c>
    </row>
    <row r="1142" spans="1:25" ht="22.5" customHeight="1" ph="1" x14ac:dyDescent="0.35">
      <c r="C1142" s="13" t="s" ph="1">
        <v>6331</v>
      </c>
      <c r="D1142" s="123" ph="1">
        <v>1</v>
      </c>
      <c r="E1142" s="123" ph="1">
        <v>7</v>
      </c>
      <c r="G1142" s="13" t="s" ph="1">
        <v>3624</v>
      </c>
      <c r="I1142" s="13" t="s" ph="1">
        <v>6311</v>
      </c>
      <c r="M1142" s="14" t="str" ph="1">
        <f>IFERROR(INDEX([1]!_born[生没年],
MATCH(I1142,[1]!_born[作],0)),"")</f>
        <v/>
      </c>
      <c r="N1142" s="14" t="str" ph="1">
        <f>IFERROR(INDEX([1]!_born[生没年],
MATCH(K1142,[1]!_born[作],0)),"")</f>
        <v/>
      </c>
      <c r="O1142" s="13" t="s" ph="1">
        <v>6338</v>
      </c>
      <c r="S1142" s="13" t="s" ph="1">
        <v>6339</v>
      </c>
      <c r="T1142" s="13" t="s" ph="1">
        <v>6340</v>
      </c>
      <c r="U1142" s="16" ph="1">
        <v>37542</v>
      </c>
      <c r="V1142" s="17" ph="1">
        <f>743*1.05</f>
        <v>780.15</v>
      </c>
      <c r="X1142" s="13" t="s" ph="1">
        <v>6059</v>
      </c>
    </row>
    <row r="1143" spans="1:25" ht="22.5" customHeight="1" ph="1" x14ac:dyDescent="0.35">
      <c r="A1143" s="106" t="s" ph="1">
        <v>1159</v>
      </c>
      <c r="C1143" s="13" t="s" ph="1">
        <v>6331</v>
      </c>
      <c r="D1143" s="123" ph="1">
        <v>2</v>
      </c>
      <c r="E1143" s="123" ph="1">
        <v>7</v>
      </c>
      <c r="G1143" s="13" t="s" ph="1">
        <v>3624</v>
      </c>
      <c r="I1143" s="13" t="s" ph="1">
        <v>6341</v>
      </c>
      <c r="M1143" s="14" t="str" ph="1">
        <f>IFERROR(INDEX([1]!_born[生没年],
MATCH(I1143,[1]!_born[作],0)),"")</f>
        <v/>
      </c>
      <c r="N1143" s="14" t="str" ph="1">
        <f>IFERROR(INDEX([1]!_born[生没年],
MATCH(K1143,[1]!_born[作],0)),"")</f>
        <v/>
      </c>
      <c r="O1143" s="13" t="s" ph="1">
        <v>6342</v>
      </c>
      <c r="S1143" s="13" t="s" ph="1">
        <v>6343</v>
      </c>
      <c r="T1143" s="13" t="s" ph="1">
        <v>6340</v>
      </c>
      <c r="V1143" s="17" ph="1">
        <f t="shared" ref="V1143:V1148" si="1">743*1.05</f>
        <v>780.15</v>
      </c>
    </row>
    <row r="1144" spans="1:25" ht="22.5" customHeight="1" ph="1" x14ac:dyDescent="0.35">
      <c r="A1144" s="106" t="s" ph="1">
        <v>1160</v>
      </c>
      <c r="C1144" s="13" t="s" ph="1">
        <v>6331</v>
      </c>
      <c r="D1144" s="123" ph="1">
        <v>3</v>
      </c>
      <c r="E1144" s="123" ph="1">
        <v>7</v>
      </c>
      <c r="G1144" s="13" t="s" ph="1">
        <v>3624</v>
      </c>
      <c r="I1144" s="13" t="s" ph="1">
        <v>6344</v>
      </c>
      <c r="M1144" s="14" t="str" ph="1">
        <f>IFERROR(INDEX([1]!_born[生没年],
MATCH(I1144,[1]!_born[作],0)),"")</f>
        <v/>
      </c>
      <c r="N1144" s="14" t="str" ph="1">
        <f>IFERROR(INDEX([1]!_born[生没年],
MATCH(K1144,[1]!_born[作],0)),"")</f>
        <v/>
      </c>
      <c r="O1144" s="13" t="s" ph="1">
        <v>6345</v>
      </c>
      <c r="S1144" s="13" t="s" ph="1">
        <v>6346</v>
      </c>
      <c r="T1144" s="13" t="s" ph="1">
        <v>6340</v>
      </c>
      <c r="V1144" s="17" ph="1">
        <f t="shared" si="1"/>
        <v>780.15</v>
      </c>
      <c r="Y1144" s="13" t="s" ph="1">
        <v>1161</v>
      </c>
    </row>
    <row r="1145" spans="1:25" ht="22.5" customHeight="1" ph="1" x14ac:dyDescent="0.35">
      <c r="A1145" s="106" t="s" ph="1">
        <v>1162</v>
      </c>
      <c r="C1145" s="13" t="s" ph="1">
        <v>6331</v>
      </c>
      <c r="D1145" s="123" ph="1">
        <v>4</v>
      </c>
      <c r="E1145" s="123" ph="1">
        <v>7</v>
      </c>
      <c r="G1145" s="13" t="s" ph="1">
        <v>3624</v>
      </c>
      <c r="I1145" s="13" t="s" ph="1">
        <v>6347</v>
      </c>
      <c r="M1145" s="14" t="str" ph="1">
        <f>IFERROR(INDEX([1]!_born[生没年],
MATCH(I1145,[1]!_born[作],0)),"")</f>
        <v/>
      </c>
      <c r="N1145" s="14" t="str" ph="1">
        <f>IFERROR(INDEX([1]!_born[生没年],
MATCH(K1145,[1]!_born[作],0)),"")</f>
        <v/>
      </c>
      <c r="O1145" s="13" t="s" ph="1">
        <v>6348</v>
      </c>
      <c r="S1145" s="13" t="s" ph="1">
        <v>6349</v>
      </c>
      <c r="T1145" s="13" t="s" ph="1">
        <v>6340</v>
      </c>
      <c r="V1145" s="17" ph="1">
        <f t="shared" si="1"/>
        <v>780.15</v>
      </c>
    </row>
    <row r="1146" spans="1:25" ht="22.5" customHeight="1" ph="1" x14ac:dyDescent="0.35">
      <c r="A1146" s="106" t="s" ph="1">
        <v>1163</v>
      </c>
      <c r="C1146" s="13" t="s" ph="1">
        <v>6331</v>
      </c>
      <c r="D1146" s="123" ph="1">
        <v>5</v>
      </c>
      <c r="E1146" s="123" ph="1">
        <v>7</v>
      </c>
      <c r="G1146" s="13" t="s" ph="1">
        <v>3624</v>
      </c>
      <c r="I1146" s="13" t="s" ph="1">
        <v>6350</v>
      </c>
      <c r="M1146" s="14" t="str" ph="1">
        <f>IFERROR(INDEX([1]!_born[生没年],
MATCH(I1146,[1]!_born[作],0)),"")</f>
        <v/>
      </c>
      <c r="N1146" s="14" t="str" ph="1">
        <f>IFERROR(INDEX([1]!_born[生没年],
MATCH(K1146,[1]!_born[作],0)),"")</f>
        <v/>
      </c>
      <c r="O1146" s="13" t="s" ph="1">
        <v>6351</v>
      </c>
      <c r="S1146" s="13" t="s" ph="1">
        <v>6352</v>
      </c>
      <c r="T1146" s="13" t="s" ph="1">
        <v>6340</v>
      </c>
      <c r="V1146" s="17" ph="1">
        <f t="shared" si="1"/>
        <v>780.15</v>
      </c>
      <c r="Y1146" s="13" t="s" ph="1">
        <v>1164</v>
      </c>
    </row>
    <row r="1147" spans="1:25" ht="22.5" customHeight="1" ph="1" x14ac:dyDescent="0.35">
      <c r="A1147" s="106" t="s" ph="1">
        <v>1165</v>
      </c>
      <c r="C1147" s="13" t="s" ph="1">
        <v>6331</v>
      </c>
      <c r="D1147" s="123" ph="1">
        <v>6</v>
      </c>
      <c r="E1147" s="123" ph="1">
        <v>7</v>
      </c>
      <c r="G1147" s="13" t="s" ph="1">
        <v>3624</v>
      </c>
      <c r="I1147" s="13" t="s" ph="1">
        <v>6353</v>
      </c>
      <c r="M1147" s="14" t="str" ph="1">
        <f>IFERROR(INDEX([1]!_born[生没年],
MATCH(I1147,[1]!_born[作],0)),"")</f>
        <v/>
      </c>
      <c r="N1147" s="14" t="str" ph="1">
        <f>IFERROR(INDEX([1]!_born[生没年],
MATCH(K1147,[1]!_born[作],0)),"")</f>
        <v/>
      </c>
      <c r="O1147" s="13" t="s" ph="1">
        <v>6354</v>
      </c>
      <c r="S1147" s="13" t="s" ph="1">
        <v>6355</v>
      </c>
      <c r="T1147" s="13" t="s" ph="1">
        <v>6340</v>
      </c>
      <c r="V1147" s="17" ph="1">
        <f t="shared" si="1"/>
        <v>780.15</v>
      </c>
      <c r="Y1147" s="13" t="s" ph="1">
        <v>1164</v>
      </c>
    </row>
    <row r="1148" spans="1:25" ht="22.5" customHeight="1" ph="1" x14ac:dyDescent="0.35">
      <c r="C1148" s="13" t="s" ph="1">
        <v>6331</v>
      </c>
      <c r="D1148" s="123" ph="1">
        <v>7</v>
      </c>
      <c r="E1148" s="123" ph="1">
        <v>7</v>
      </c>
      <c r="G1148" s="13" t="s" ph="1">
        <v>3624</v>
      </c>
      <c r="I1148" s="13" t="s" ph="1">
        <v>6356</v>
      </c>
      <c r="M1148" s="14" t="str" ph="1">
        <f>IFERROR(INDEX([1]!_born[生没年],
MATCH(I1148,[1]!_born[作],0)),"")</f>
        <v/>
      </c>
      <c r="N1148" s="14" t="str" ph="1">
        <f>IFERROR(INDEX([1]!_born[生没年],
MATCH(K1148,[1]!_born[作],0)),"")</f>
        <v/>
      </c>
      <c r="O1148" s="13" t="s" ph="1">
        <v>6357</v>
      </c>
      <c r="S1148" s="13" t="s" ph="1">
        <v>6358</v>
      </c>
      <c r="T1148" s="13" t="s" ph="1">
        <v>6340</v>
      </c>
      <c r="U1148" s="16" ph="1">
        <v>37542</v>
      </c>
      <c r="V1148" s="17" ph="1">
        <f t="shared" si="1"/>
        <v>780.15</v>
      </c>
      <c r="X1148" s="13" t="s" ph="1">
        <v>6059</v>
      </c>
      <c r="Y1148" s="13" t="s" ph="1">
        <v>592</v>
      </c>
    </row>
    <row r="1149" spans="1:25" ht="22.5" customHeight="1" ph="1" x14ac:dyDescent="0.35">
      <c r="C1149" s="13" t="s" ph="1">
        <v>6331</v>
      </c>
      <c r="G1149" s="13" t="s" ph="1">
        <v>3624</v>
      </c>
      <c r="I1149" s="13" t="s" ph="1">
        <v>6359</v>
      </c>
      <c r="J1149" s="13" t="s" ph="1">
        <v>6360</v>
      </c>
      <c r="K1149" s="13" t="s" ph="1">
        <v>6361</v>
      </c>
      <c r="L1149" s="13" t="s" ph="1">
        <v>1166</v>
      </c>
      <c r="M1149" s="14" t="str" ph="1">
        <f>IFERROR(INDEX([1]!_born[生没年],
MATCH(I1149,[1]!_born[作],0)),"")</f>
        <v/>
      </c>
      <c r="N1149" s="14" t="str" ph="1">
        <f>IFERROR(INDEX([1]!_born[生没年],
MATCH(K1149,[1]!_born[作],0)),"")</f>
        <v/>
      </c>
      <c r="O1149" s="13" t="s" ph="1">
        <v>6362</v>
      </c>
      <c r="R1149" s="16" t="s" ph="1">
        <v>774</v>
      </c>
      <c r="S1149" s="13" t="s" ph="1">
        <v>6363</v>
      </c>
      <c r="T1149" s="13" t="s" ph="1">
        <v>3607</v>
      </c>
      <c r="U1149" s="16" ph="1">
        <v>37492</v>
      </c>
      <c r="V1149" s="17" ph="1">
        <v>550</v>
      </c>
      <c r="W1149" s="17" ph="1">
        <v>200</v>
      </c>
      <c r="X1149" s="13" t="s" ph="1">
        <v>4034</v>
      </c>
      <c r="Y1149" s="13" t="s" ph="1">
        <v>6364</v>
      </c>
    </row>
    <row r="1150" spans="1:25" ht="22.5" customHeight="1" ph="1" x14ac:dyDescent="0.35">
      <c r="C1150" s="13" t="s" ph="1">
        <v>4106</v>
      </c>
      <c r="G1150" s="13" t="s" ph="1">
        <v>3624</v>
      </c>
      <c r="H1150" s="13" t="s" ph="1">
        <v>716</v>
      </c>
      <c r="I1150" s="13" t="s" ph="1">
        <v>6365</v>
      </c>
      <c r="M1150" s="14" t="str" ph="1">
        <f>IFERROR(INDEX([1]!_born[生没年],
MATCH(I1150,[1]!_born[作],0)),"")</f>
        <v/>
      </c>
      <c r="N1150" s="14" t="str" ph="1">
        <f>IFERROR(INDEX([1]!_born[生没年],
MATCH(K1150,[1]!_born[作],0)),"")</f>
        <v/>
      </c>
      <c r="O1150" s="15" t="s" ph="1">
        <v>6366</v>
      </c>
      <c r="S1150" s="13" t="s" ph="1">
        <v>6367</v>
      </c>
      <c r="T1150" s="13" t="s" ph="1">
        <v>3938</v>
      </c>
      <c r="V1150" s="17" ph="1">
        <v>100</v>
      </c>
    </row>
    <row r="1151" spans="1:25" ht="22.5" customHeight="1" ph="1" x14ac:dyDescent="0.35">
      <c r="C1151" s="13" t="s" ph="1">
        <v>4106</v>
      </c>
      <c r="G1151" s="13" t="s" ph="1">
        <v>3624</v>
      </c>
      <c r="H1151" s="13" t="s" ph="1">
        <v>716</v>
      </c>
      <c r="I1151" s="13" t="s" ph="1">
        <v>6368</v>
      </c>
      <c r="J1151" s="13" t="s" ph="1">
        <v>3671</v>
      </c>
      <c r="M1151" s="14" t="str" ph="1">
        <f>IFERROR(INDEX([1]!_born[生没年],
MATCH(I1151,[1]!_born[作],0)),"")</f>
        <v/>
      </c>
      <c r="N1151" s="14" t="str" ph="1">
        <f>IFERROR(INDEX([1]!_born[生没年],
MATCH(K1151,[1]!_born[作],0)),"")</f>
        <v/>
      </c>
      <c r="O1151" s="13" t="s" ph="1">
        <v>6369</v>
      </c>
      <c r="R1151" s="16" t="s" ph="1">
        <v>764</v>
      </c>
      <c r="S1151" s="13" t="s" ph="1">
        <v>6370</v>
      </c>
      <c r="T1151" s="13" t="s" ph="1">
        <v>6371</v>
      </c>
      <c r="U1151" s="16" ph="1">
        <v>37492</v>
      </c>
      <c r="V1151" s="17" ph="1">
        <v>150</v>
      </c>
      <c r="W1151" s="17" ph="1">
        <v>100</v>
      </c>
      <c r="X1151" s="13" t="s" ph="1">
        <v>4034</v>
      </c>
    </row>
    <row r="1152" spans="1:25" ht="22.5" customHeight="1" ph="1" x14ac:dyDescent="0.35">
      <c r="C1152" s="13" t="s" ph="1">
        <v>4106</v>
      </c>
      <c r="G1152" s="13" t="s" ph="1">
        <v>3624</v>
      </c>
      <c r="H1152" s="13" t="s" ph="1">
        <v>716</v>
      </c>
      <c r="I1152" s="13" t="s" ph="1">
        <v>6368</v>
      </c>
      <c r="J1152" s="13" t="s" ph="1">
        <v>3671</v>
      </c>
      <c r="M1152" s="14" t="str" ph="1">
        <f>IFERROR(INDEX([1]!_born[生没年],
MATCH(I1152,[1]!_born[作],0)),"")</f>
        <v/>
      </c>
      <c r="N1152" s="14" t="str" ph="1">
        <f>IFERROR(INDEX([1]!_born[生没年],
MATCH(K1152,[1]!_born[作],0)),"")</f>
        <v/>
      </c>
      <c r="O1152" s="13" t="s" ph="1">
        <v>6372</v>
      </c>
      <c r="R1152" s="16" t="s" ph="1">
        <v>802</v>
      </c>
      <c r="S1152" s="13" t="s" ph="1">
        <v>6373</v>
      </c>
      <c r="T1152" s="13" t="s" ph="1">
        <v>6371</v>
      </c>
      <c r="U1152" s="16" ph="1">
        <v>37492</v>
      </c>
      <c r="V1152" s="17" ph="1">
        <v>150</v>
      </c>
      <c r="W1152" s="17" ph="1">
        <v>100</v>
      </c>
      <c r="X1152" s="13" t="s" ph="1">
        <v>4034</v>
      </c>
    </row>
    <row r="1153" spans="1:25" ht="22.5" customHeight="1" ph="1" x14ac:dyDescent="0.35">
      <c r="C1153" s="13" t="s" ph="1">
        <v>4106</v>
      </c>
      <c r="G1153" s="13" t="s" ph="1">
        <v>3624</v>
      </c>
      <c r="H1153" s="13" t="s" ph="1">
        <v>61</v>
      </c>
      <c r="I1153" s="13" t="s" ph="1">
        <v>6368</v>
      </c>
      <c r="J1153" s="13" t="s" ph="1">
        <v>3671</v>
      </c>
      <c r="M1153" s="14" t="str" ph="1">
        <f>IFERROR(INDEX([1]!_born[生没年],
MATCH(I1153,[1]!_born[作],0)),"")</f>
        <v/>
      </c>
      <c r="N1153" s="14" t="str" ph="1">
        <f>IFERROR(INDEX([1]!_born[生没年],
MATCH(K1153,[1]!_born[作],0)),"")</f>
        <v/>
      </c>
      <c r="O1153" s="13" t="s" ph="1">
        <v>6374</v>
      </c>
      <c r="R1153" s="16" t="s" ph="1">
        <v>774</v>
      </c>
      <c r="S1153" s="13" t="s" ph="1">
        <v>6375</v>
      </c>
      <c r="T1153" s="13" t="s" ph="1">
        <v>6371</v>
      </c>
      <c r="U1153" s="16" ph="1">
        <v>37492</v>
      </c>
      <c r="V1153" s="17" ph="1">
        <v>150</v>
      </c>
      <c r="W1153" s="17" ph="1">
        <v>100</v>
      </c>
      <c r="X1153" s="13" t="s" ph="1">
        <v>4034</v>
      </c>
    </row>
    <row r="1154" spans="1:25" ht="22.5" customHeight="1" ph="1" x14ac:dyDescent="0.35">
      <c r="C1154" s="13" t="s" ph="1">
        <v>4106</v>
      </c>
      <c r="G1154" s="13" t="s" ph="1">
        <v>3624</v>
      </c>
      <c r="H1154" s="13" t="s" ph="1">
        <v>716</v>
      </c>
      <c r="I1154" s="13" t="s" ph="1">
        <v>6376</v>
      </c>
      <c r="M1154" s="14" t="str" ph="1">
        <f>IFERROR(INDEX([1]!_born[生没年],
MATCH(I1154,[1]!_born[作],0)),"")</f>
        <v/>
      </c>
      <c r="N1154" s="14" t="str" ph="1">
        <f>IFERROR(INDEX([1]!_born[生没年],
MATCH(K1154,[1]!_born[作],0)),"")</f>
        <v/>
      </c>
      <c r="O1154" s="13" t="s" ph="1">
        <v>6377</v>
      </c>
      <c r="R1154" s="16" t="s" ph="1">
        <v>3024</v>
      </c>
      <c r="S1154" s="13" t="s" ph="1">
        <v>3026</v>
      </c>
      <c r="T1154" s="13" t="s" ph="1">
        <v>3988</v>
      </c>
      <c r="U1154" s="16" t="s" ph="1">
        <v>3025</v>
      </c>
      <c r="V1154" s="17" ph="1">
        <v>0</v>
      </c>
      <c r="W1154" s="17" ph="1">
        <v>0</v>
      </c>
      <c r="X1154" s="13" t="s" ph="1">
        <v>6378</v>
      </c>
    </row>
    <row r="1155" spans="1:25" ht="22.5" customHeight="1" ph="1" x14ac:dyDescent="0.35">
      <c r="C1155" s="13" t="s" ph="1">
        <v>3970</v>
      </c>
      <c r="G1155" s="13" t="s" ph="1">
        <v>6379</v>
      </c>
      <c r="I1155" s="13" t="s" ph="1">
        <v>6380</v>
      </c>
      <c r="J1155" s="13" t="s" ph="1">
        <v>3616</v>
      </c>
      <c r="M1155" s="14" t="str" ph="1">
        <f>IFERROR(INDEX([1]!_born[生没年],
MATCH(I1155,[1]!_born[作],0)),"")</f>
        <v/>
      </c>
      <c r="N1155" s="14" t="str" ph="1">
        <f>IFERROR(INDEX([1]!_born[生没年],
MATCH(K1155,[1]!_born[作],0)),"")</f>
        <v/>
      </c>
      <c r="O1155" s="13" t="s" ph="1">
        <v>6381</v>
      </c>
      <c r="T1155" s="13" t="s" ph="1">
        <v>3823</v>
      </c>
      <c r="V1155" s="17" ph="1">
        <v>2800</v>
      </c>
      <c r="W1155" s="17" ph="1">
        <v>1200</v>
      </c>
    </row>
    <row r="1156" spans="1:25" s="19" customFormat="1" ht="22.5" customHeight="1" ph="1" x14ac:dyDescent="0.35">
      <c r="A1156" s="107" ph="1"/>
      <c r="B1156" s="18" ph="1"/>
      <c r="C1156" s="19" t="s" ph="1">
        <v>1122</v>
      </c>
      <c r="D1156" s="124" ph="1"/>
      <c r="E1156" s="124" ph="1"/>
      <c r="G1156" s="19" t="s" ph="1">
        <v>6382</v>
      </c>
      <c r="I1156" s="19" t="s" ph="1">
        <v>6383</v>
      </c>
      <c r="M1156" s="27" t="str" ph="1">
        <f>IFERROR(INDEX([1]!_born[生没年],
MATCH(I1156,[1]!_born[作],0)),"")</f>
        <v/>
      </c>
      <c r="N1156" s="27" t="str" ph="1">
        <f>IFERROR(INDEX([1]!_born[生没年],
MATCH(K1156,[1]!_born[作],0)),"")</f>
        <v/>
      </c>
      <c r="O1156" s="19" t="s" ph="1">
        <v>6384</v>
      </c>
      <c r="R1156" s="20" ph="1"/>
      <c r="T1156" s="19" t="s" ph="1">
        <v>6385</v>
      </c>
      <c r="U1156" s="20" ph="1"/>
      <c r="V1156" s="21" t="s" ph="1">
        <v>6386</v>
      </c>
      <c r="W1156" s="21" ph="1"/>
    </row>
    <row r="1157" spans="1:25" s="19" customFormat="1" ht="22.5" customHeight="1" ph="1" x14ac:dyDescent="0.35">
      <c r="A1157" s="107" ph="1"/>
      <c r="B1157" s="18" ph="1"/>
      <c r="C1157" s="19" t="s" ph="1">
        <v>1122</v>
      </c>
      <c r="D1157" s="124" ph="1"/>
      <c r="E1157" s="124" ph="1"/>
      <c r="G1157" s="19" t="s" ph="1">
        <v>6382</v>
      </c>
      <c r="I1157" s="19" t="s" ph="1">
        <v>6383</v>
      </c>
      <c r="M1157" s="27" t="str" ph="1">
        <f>IFERROR(INDEX([1]!_born[生没年],
MATCH(I1157,[1]!_born[作],0)),"")</f>
        <v/>
      </c>
      <c r="N1157" s="27" t="str" ph="1">
        <f>IFERROR(INDEX([1]!_born[生没年],
MATCH(K1157,[1]!_born[作],0)),"")</f>
        <v/>
      </c>
      <c r="O1157" s="19" t="s" ph="1">
        <v>6387</v>
      </c>
      <c r="R1157" s="20" ph="1"/>
      <c r="T1157" s="19" t="s" ph="1">
        <v>6385</v>
      </c>
      <c r="U1157" s="20" ph="1"/>
      <c r="V1157" s="21" t="s" ph="1">
        <v>6386</v>
      </c>
      <c r="W1157" s="21" ph="1"/>
    </row>
    <row r="1158" spans="1:25" ht="22.5" customHeight="1" ph="1" x14ac:dyDescent="0.35">
      <c r="A1158" s="106" t="s" ph="1">
        <v>1167</v>
      </c>
      <c r="B1158" s="5" t="s" ph="1">
        <v>1168</v>
      </c>
      <c r="C1158" s="13" t="s" ph="1">
        <v>3970</v>
      </c>
      <c r="G1158" s="13" t="s" ph="1">
        <v>3624</v>
      </c>
      <c r="I1158" s="13" t="s" ph="1">
        <v>6388</v>
      </c>
      <c r="J1158" s="13" t="s" ph="1">
        <v>3752</v>
      </c>
      <c r="M1158" s="14" t="str" ph="1">
        <f>IFERROR(INDEX([1]!_born[生没年],
MATCH(I1158,[1]!_born[作],0)),"")</f>
        <v/>
      </c>
      <c r="N1158" s="14" t="str" ph="1">
        <f>IFERROR(INDEX([1]!_born[生没年],
MATCH(K1158,[1]!_born[作],0)),"")</f>
        <v/>
      </c>
      <c r="O1158" s="13" t="s" ph="1">
        <v>6389</v>
      </c>
      <c r="R1158" s="16" t="s" ph="1">
        <v>1169</v>
      </c>
      <c r="S1158" s="13" t="s" ph="1">
        <v>1170</v>
      </c>
      <c r="T1158" s="13" t="s" ph="1">
        <v>5730</v>
      </c>
      <c r="U1158" s="16" t="s" ph="1">
        <v>1171</v>
      </c>
      <c r="V1158" s="17" ph="1">
        <f>980*1.05</f>
        <v>1029</v>
      </c>
      <c r="W1158" s="17" ph="1">
        <f>980*1.05</f>
        <v>1029</v>
      </c>
    </row>
    <row r="1159" spans="1:25" ht="22.5" customHeight="1" ph="1" x14ac:dyDescent="0.35">
      <c r="C1159" s="13" t="s" ph="1">
        <v>3970</v>
      </c>
      <c r="G1159" s="13" t="s" ph="1">
        <v>6390</v>
      </c>
      <c r="I1159" s="13" t="s" ph="1">
        <v>6391</v>
      </c>
      <c r="M1159" s="14" t="str" ph="1">
        <f>IFERROR(INDEX([1]!_born[生没年],
MATCH(I1159,[1]!_born[作],0)),"")</f>
        <v/>
      </c>
      <c r="N1159" s="14" t="str" ph="1">
        <f>IFERROR(INDEX([1]!_born[生没年],
MATCH(K1159,[1]!_born[作],0)),"")</f>
        <v/>
      </c>
      <c r="O1159" s="13" t="s" ph="1">
        <v>6391</v>
      </c>
      <c r="S1159" s="13" t="s" ph="1">
        <v>6392</v>
      </c>
      <c r="T1159" s="13" t="s" ph="1">
        <v>3926</v>
      </c>
      <c r="U1159" s="16" ph="1">
        <v>36795</v>
      </c>
      <c r="V1159" s="17" ph="1">
        <f>760*1.05</f>
        <v>798</v>
      </c>
      <c r="W1159" s="17" ph="1">
        <f>760*1.05</f>
        <v>798</v>
      </c>
    </row>
    <row r="1160" spans="1:25" ht="22.5" customHeight="1" ph="1" x14ac:dyDescent="0.35">
      <c r="C1160" s="13" t="s" ph="1">
        <v>1172</v>
      </c>
      <c r="G1160" s="13" t="s" ph="1">
        <v>1125</v>
      </c>
      <c r="H1160" s="13" t="s" ph="1">
        <v>709</v>
      </c>
      <c r="I1160" s="13" t="s" ph="1">
        <v>6393</v>
      </c>
      <c r="J1160" s="13" t="s" ph="1">
        <v>3671</v>
      </c>
      <c r="K1160" s="13" t="s" ph="1">
        <v>6394</v>
      </c>
      <c r="L1160" s="13" t="s" ph="1">
        <v>1173</v>
      </c>
      <c r="M1160" s="14" t="str" ph="1">
        <f>IFERROR(INDEX([1]!_born[生没年],
MATCH(I1160,[1]!_born[作],0)),"")</f>
        <v/>
      </c>
      <c r="N1160" s="14" t="str" ph="1">
        <f>IFERROR(INDEX([1]!_born[生没年],
MATCH(K1160,[1]!_born[作],0)),"")</f>
        <v/>
      </c>
      <c r="O1160" s="13" t="s" ph="1">
        <v>6395</v>
      </c>
      <c r="R1160" s="16" t="s" ph="1">
        <v>1174</v>
      </c>
      <c r="T1160" s="13" t="s" ph="1">
        <v>1175</v>
      </c>
      <c r="U1160" s="16" ph="1">
        <v>38949</v>
      </c>
      <c r="X1160" s="13" t="s" ph="1">
        <v>373</v>
      </c>
    </row>
    <row r="1161" spans="1:25" ht="22.5" customHeight="1" ph="1" x14ac:dyDescent="0.35">
      <c r="C1161" s="13" t="s" ph="1">
        <v>1172</v>
      </c>
      <c r="G1161" s="13" t="s" ph="1">
        <v>1125</v>
      </c>
      <c r="H1161" s="13" t="s" ph="1">
        <v>709</v>
      </c>
      <c r="I1161" s="13" t="s" ph="1">
        <v>6396</v>
      </c>
      <c r="J1161" s="13" t="s" ph="1">
        <v>3671</v>
      </c>
      <c r="M1161" s="14" t="str" ph="1">
        <f>IFERROR(INDEX([1]!_born[生没年],
MATCH(I1161,[1]!_born[作],0)),"")</f>
        <v/>
      </c>
      <c r="N1161" s="14" t="str" ph="1">
        <f>IFERROR(INDEX([1]!_born[生没年],
MATCH(K1161,[1]!_born[作],0)),"")</f>
        <v/>
      </c>
      <c r="O1161" s="13" t="s" ph="1">
        <v>6397</v>
      </c>
      <c r="R1161" s="16" t="s" ph="1">
        <v>1176</v>
      </c>
      <c r="T1161" s="13" t="s" ph="1">
        <v>6398</v>
      </c>
      <c r="U1161" s="16" ph="1">
        <v>38949</v>
      </c>
      <c r="V1161" s="17" ph="1">
        <v>720</v>
      </c>
      <c r="X1161" s="13" t="s" ph="1">
        <v>373</v>
      </c>
    </row>
    <row r="1162" spans="1:25" ht="22.5" customHeight="1" ph="1" x14ac:dyDescent="0.35">
      <c r="C1162" s="13" t="s" ph="1">
        <v>1172</v>
      </c>
      <c r="G1162" s="13" t="s" ph="1">
        <v>708</v>
      </c>
      <c r="H1162" s="13" t="s" ph="1">
        <v>716</v>
      </c>
      <c r="I1162" s="13" t="s" ph="1">
        <v>6399</v>
      </c>
      <c r="M1162" s="14" t="str" ph="1">
        <f>IFERROR(INDEX([1]!_born[生没年],
MATCH(I1162,[1]!_born[作],0)),"")</f>
        <v/>
      </c>
      <c r="N1162" s="14" t="str" ph="1">
        <f>IFERROR(INDEX([1]!_born[生没年],
MATCH(K1162,[1]!_born[作],0)),"")</f>
        <v/>
      </c>
      <c r="O1162" s="13" t="s" ph="1">
        <v>6400</v>
      </c>
    </row>
    <row r="1163" spans="1:25" ht="22.5" customHeight="1" ph="1" x14ac:dyDescent="0.35">
      <c r="C1163" s="13" t="s" ph="1">
        <v>1172</v>
      </c>
      <c r="G1163" s="13" t="s" ph="1">
        <v>1177</v>
      </c>
      <c r="H1163" s="13" t="s" ph="1">
        <v>709</v>
      </c>
      <c r="I1163" s="13" t="s" ph="1">
        <v>6401</v>
      </c>
      <c r="M1163" s="14" t="str" ph="1">
        <f>IFERROR(INDEX([1]!_born[生没年],
MATCH(I1163,[1]!_born[作],0)),"")</f>
        <v/>
      </c>
      <c r="N1163" s="14" t="str" ph="1">
        <f>IFERROR(INDEX([1]!_born[生没年],
MATCH(K1163,[1]!_born[作],0)),"")</f>
        <v/>
      </c>
      <c r="O1163" s="13" t="s" ph="1">
        <v>6402</v>
      </c>
      <c r="R1163" s="16" t="s" ph="1">
        <v>987</v>
      </c>
      <c r="T1163" s="13" t="s" ph="1">
        <v>6403</v>
      </c>
      <c r="X1163" s="13" t="s" ph="1">
        <v>6404</v>
      </c>
    </row>
    <row r="1164" spans="1:25" ht="22.5" customHeight="1" ph="1" x14ac:dyDescent="0.35">
      <c r="C1164" s="13" t="s" ph="1">
        <v>1172</v>
      </c>
      <c r="G1164" s="13" t="s" ph="1">
        <v>1177</v>
      </c>
      <c r="H1164" s="13" t="s" ph="1">
        <v>709</v>
      </c>
      <c r="I1164" s="13" t="s" ph="1">
        <v>1178</v>
      </c>
      <c r="M1164" s="14" t="str" ph="1">
        <f>IFERROR(INDEX([1]!_born[生没年],
MATCH(I1164,[1]!_born[作],0)),"")</f>
        <v/>
      </c>
      <c r="N1164" s="14" t="str" ph="1">
        <f>IFERROR(INDEX([1]!_born[生没年],
MATCH(K1164,[1]!_born[作],0)),"")</f>
        <v/>
      </c>
      <c r="O1164" s="13" t="s" ph="1">
        <v>6405</v>
      </c>
      <c r="R1164" s="16" t="s" ph="1">
        <v>791</v>
      </c>
      <c r="T1164" s="13" t="s" ph="1">
        <v>6406</v>
      </c>
      <c r="Y1164" s="13" t="s" ph="1">
        <v>4724</v>
      </c>
    </row>
    <row r="1165" spans="1:25" ht="22.5" customHeight="1" ph="1" x14ac:dyDescent="0.35">
      <c r="C1165" s="13" t="s" ph="1">
        <v>1172</v>
      </c>
      <c r="G1165" s="13" t="s" ph="1">
        <v>1177</v>
      </c>
      <c r="H1165" s="13" t="s" ph="1">
        <v>709</v>
      </c>
      <c r="M1165" s="14" t="str" ph="1">
        <f>IFERROR(INDEX([1]!_born[生没年],
MATCH(I1165,[1]!_born[作],0)),"")</f>
        <v/>
      </c>
      <c r="N1165" s="14" t="str" ph="1">
        <f>IFERROR(INDEX([1]!_born[生没年],
MATCH(K1165,[1]!_born[作],0)),"")</f>
        <v/>
      </c>
      <c r="O1165" s="13" t="s" ph="1">
        <v>6407</v>
      </c>
      <c r="R1165" s="16" t="s" ph="1">
        <v>1179</v>
      </c>
      <c r="S1165" s="13" t="s" ph="1">
        <v>6408</v>
      </c>
      <c r="T1165" s="13" t="s" ph="1">
        <v>6409</v>
      </c>
      <c r="U1165" s="13" ph="1"/>
      <c r="Y1165" s="13" t="s" ph="1">
        <v>4724</v>
      </c>
    </row>
    <row r="1166" spans="1:25" ht="22.5" customHeight="1" ph="1" x14ac:dyDescent="0.35">
      <c r="C1166" s="13" t="s" ph="1">
        <v>391</v>
      </c>
      <c r="G1166" s="13" t="s" ph="1">
        <v>1177</v>
      </c>
      <c r="H1166" s="13" t="s" ph="1">
        <v>61</v>
      </c>
      <c r="I1166" s="13" t="s" ph="1">
        <v>6410</v>
      </c>
      <c r="M1166" s="14" t="str" ph="1">
        <f>IFERROR(INDEX([1]!_born[生没年],
MATCH(I1166,[1]!_born[作],0)),"")</f>
        <v/>
      </c>
      <c r="N1166" s="14" t="str" ph="1">
        <f>IFERROR(INDEX([1]!_born[生没年],
MATCH(K1166,[1]!_born[作],0)),"")</f>
        <v/>
      </c>
      <c r="O1166" s="13" t="s" ph="1">
        <v>6411</v>
      </c>
      <c r="R1166" s="16" ph="1">
        <v>34463</v>
      </c>
      <c r="V1166" s="17" ph="1">
        <v>300</v>
      </c>
      <c r="W1166" s="17" ph="1">
        <v>0</v>
      </c>
      <c r="X1166" s="13" t="s" ph="1">
        <v>6410</v>
      </c>
      <c r="Y1166" s="13" t="s" ph="1">
        <v>3640</v>
      </c>
    </row>
    <row r="1167" spans="1:25" ht="22.5" customHeight="1" ph="1" x14ac:dyDescent="0.35">
      <c r="C1167" s="13" t="s" ph="1">
        <v>1172</v>
      </c>
      <c r="G1167" s="13" t="s" ph="1">
        <v>1177</v>
      </c>
      <c r="H1167" s="13" t="s" ph="1">
        <v>716</v>
      </c>
      <c r="I1167" s="13" t="s" ph="1">
        <v>6412</v>
      </c>
      <c r="M1167" s="14" t="str" ph="1">
        <f>IFERROR(INDEX([1]!_born[生没年],
MATCH(I1167,[1]!_born[作],0)),"")</f>
        <v/>
      </c>
      <c r="N1167" s="14" t="str" ph="1">
        <f>IFERROR(INDEX([1]!_born[生没年],
MATCH(K1167,[1]!_born[作],0)),"")</f>
        <v/>
      </c>
      <c r="O1167" s="13" t="s" ph="1">
        <v>6413</v>
      </c>
      <c r="R1167" s="16" t="s" ph="1">
        <v>804</v>
      </c>
      <c r="T1167" s="13" t="s" ph="1">
        <v>6412</v>
      </c>
      <c r="V1167" s="17" ph="1">
        <v>300</v>
      </c>
      <c r="X1167" s="13" t="s" ph="1">
        <v>6412</v>
      </c>
      <c r="Y1167" s="13" t="s" ph="1">
        <v>4724</v>
      </c>
    </row>
    <row r="1168" spans="1:25" ht="22.5" customHeight="1" ph="1" x14ac:dyDescent="0.35">
      <c r="C1168" s="13" t="s" ph="1">
        <v>1172</v>
      </c>
      <c r="G1168" s="13" t="s" ph="1">
        <v>1177</v>
      </c>
      <c r="H1168" s="13" t="s" ph="1">
        <v>716</v>
      </c>
      <c r="M1168" s="14" t="str" ph="1">
        <f>IFERROR(INDEX([1]!_born[生没年],
MATCH(I1168,[1]!_born[作],0)),"")</f>
        <v/>
      </c>
      <c r="N1168" s="14" t="str" ph="1">
        <f>IFERROR(INDEX([1]!_born[生没年],
MATCH(K1168,[1]!_born[作],0)),"")</f>
        <v/>
      </c>
      <c r="O1168" s="13" t="s" ph="1">
        <v>6414</v>
      </c>
      <c r="R1168" s="16" t="s" ph="1">
        <v>802</v>
      </c>
      <c r="V1168" s="17" ph="1">
        <v>300</v>
      </c>
      <c r="X1168" s="13" t="s" ph="1">
        <v>6412</v>
      </c>
      <c r="Y1168" s="13" t="s" ph="1">
        <v>4724</v>
      </c>
    </row>
    <row r="1169" spans="1:25" ht="22.5" customHeight="1" ph="1" x14ac:dyDescent="0.35">
      <c r="C1169" s="13" t="s" ph="1">
        <v>1172</v>
      </c>
      <c r="G1169" s="13" t="s" ph="1">
        <v>1125</v>
      </c>
      <c r="H1169" s="13" t="s" ph="1">
        <v>709</v>
      </c>
      <c r="I1169" s="13" t="s" ph="1">
        <v>6415</v>
      </c>
      <c r="M1169" s="14" t="str" ph="1">
        <f>IFERROR(INDEX([1]!_born[生没年],
MATCH(I1169,[1]!_born[作],0)),"")</f>
        <v/>
      </c>
      <c r="N1169" s="14" t="str" ph="1">
        <f>IFERROR(INDEX([1]!_born[生没年],
MATCH(K1169,[1]!_born[作],0)),"")</f>
        <v/>
      </c>
      <c r="O1169" s="13" t="s" ph="1">
        <v>6416</v>
      </c>
      <c r="R1169" s="16" t="s" ph="1">
        <v>1180</v>
      </c>
      <c r="T1169" s="13" t="s" ph="1">
        <v>6417</v>
      </c>
      <c r="W1169" s="17" ph="1">
        <v>0</v>
      </c>
    </row>
    <row r="1170" spans="1:25" ht="22.5" customHeight="1" ph="1" x14ac:dyDescent="0.35">
      <c r="C1170" s="13" t="s" ph="1">
        <v>1172</v>
      </c>
      <c r="G1170" s="13" t="s" ph="1">
        <v>1125</v>
      </c>
      <c r="H1170" s="13" t="s" ph="1">
        <v>716</v>
      </c>
      <c r="I1170" s="13" t="s" ph="1">
        <v>6418</v>
      </c>
      <c r="J1170" s="13" t="s" ph="1">
        <v>6419</v>
      </c>
      <c r="M1170" s="14" t="str" ph="1">
        <f>IFERROR(INDEX([1]!_born[生没年],
MATCH(I1170,[1]!_born[作],0)),"")</f>
        <v/>
      </c>
      <c r="N1170" s="14" t="str" ph="1">
        <f>IFERROR(INDEX([1]!_born[生没年],
MATCH(K1170,[1]!_born[作],0)),"")</f>
        <v/>
      </c>
      <c r="O1170" s="13" t="s" ph="1">
        <v>1181</v>
      </c>
      <c r="Y1170" s="13" t="s" ph="1">
        <v>6420</v>
      </c>
    </row>
    <row r="1171" spans="1:25" ht="22.5" customHeight="1" ph="1" x14ac:dyDescent="0.35">
      <c r="C1171" s="13" t="s" ph="1">
        <v>391</v>
      </c>
      <c r="G1171" s="13" t="s" ph="1">
        <v>130</v>
      </c>
      <c r="H1171" s="13" t="s" ph="1">
        <v>61</v>
      </c>
      <c r="M1171" s="14" t="str" ph="1">
        <f>IFERROR(INDEX([1]!_born[生没年],
MATCH(I1171,[1]!_born[作],0)),"")</f>
        <v/>
      </c>
      <c r="N1171" s="14" t="str" ph="1">
        <f>IFERROR(INDEX([1]!_born[生没年],
MATCH(K1171,[1]!_born[作],0)),"")</f>
        <v/>
      </c>
      <c r="O1171" s="13" t="s" ph="1">
        <v>6421</v>
      </c>
    </row>
    <row r="1172" spans="1:25" ht="22.5" customHeight="1" ph="1" x14ac:dyDescent="0.35">
      <c r="C1172" s="13" t="s" ph="1">
        <v>391</v>
      </c>
      <c r="G1172" s="13" t="s" ph="1">
        <v>130</v>
      </c>
      <c r="H1172" s="13" t="s" ph="1">
        <v>61</v>
      </c>
      <c r="I1172" s="13" t="s" ph="1">
        <v>6422</v>
      </c>
      <c r="M1172" s="14" t="str" ph="1">
        <f>IFERROR(INDEX([1]!_born[生没年],
MATCH(I1172,[1]!_born[作],0)),"")</f>
        <v/>
      </c>
      <c r="N1172" s="14" t="str" ph="1">
        <f>IFERROR(INDEX([1]!_born[生没年],
MATCH(K1172,[1]!_born[作],0)),"")</f>
        <v/>
      </c>
      <c r="O1172" s="13" t="s" ph="1">
        <v>6422</v>
      </c>
      <c r="U1172" s="16" ph="1">
        <v>40051</v>
      </c>
    </row>
    <row r="1173" spans="1:25" ht="22.5" customHeight="1" ph="1" x14ac:dyDescent="0.35">
      <c r="C1173" s="13" t="s" ph="1">
        <v>1172</v>
      </c>
      <c r="G1173" s="13" t="s" ph="1">
        <v>1125</v>
      </c>
      <c r="H1173" s="13" t="s" ph="1">
        <v>716</v>
      </c>
      <c r="I1173" s="13" t="s" ph="1">
        <v>6423</v>
      </c>
      <c r="M1173" s="14" t="str" ph="1">
        <f>IFERROR(INDEX([1]!_born[生没年],
MATCH(I1173,[1]!_born[作],0)),"")</f>
        <v/>
      </c>
      <c r="N1173" s="14" t="str" ph="1">
        <f>IFERROR(INDEX([1]!_born[生没年],
MATCH(K1173,[1]!_born[作],0)),"")</f>
        <v/>
      </c>
      <c r="O1173" s="13" t="s" ph="1">
        <v>6424</v>
      </c>
      <c r="U1173" s="16" ph="1">
        <v>40052</v>
      </c>
    </row>
    <row r="1174" spans="1:25" ht="22.5" customHeight="1" ph="1" x14ac:dyDescent="0.35">
      <c r="C1174" s="13" t="s" ph="1">
        <v>1172</v>
      </c>
      <c r="G1174" s="13" t="s" ph="1">
        <v>1182</v>
      </c>
      <c r="H1174" s="13" t="s" ph="1">
        <v>709</v>
      </c>
      <c r="I1174" s="13" t="s" ph="1">
        <v>1183</v>
      </c>
      <c r="J1174" s="30" t="s" ph="1">
        <v>1184</v>
      </c>
      <c r="K1174" s="13" t="s" ph="1">
        <v>1185</v>
      </c>
      <c r="L1174" s="13" t="s" ph="1">
        <v>1186</v>
      </c>
      <c r="M1174" s="14" t="str" ph="1">
        <f>IFERROR(INDEX([1]!_born[生没年],
MATCH(I1174,[1]!_born[作],0)),"")</f>
        <v/>
      </c>
      <c r="N1174" s="14" t="str" ph="1">
        <f>IFERROR(INDEX([1]!_born[生没年],
MATCH(K1174,[1]!_born[作],0)),"")</f>
        <v/>
      </c>
      <c r="O1174" s="13" t="s" ph="1">
        <v>422</v>
      </c>
      <c r="S1174" s="13" t="s" ph="1">
        <v>1187</v>
      </c>
      <c r="T1174" s="13" t="s" ph="1">
        <v>1188</v>
      </c>
      <c r="Y1174" s="13" t="s" ph="1">
        <v>4724</v>
      </c>
    </row>
    <row r="1175" spans="1:25" s="19" customFormat="1" ht="22.5" customHeight="1" ph="1" x14ac:dyDescent="0.35">
      <c r="A1175" s="107" ph="1"/>
      <c r="B1175" s="18" ph="1"/>
      <c r="C1175" s="19" t="s" ph="1">
        <v>1172</v>
      </c>
      <c r="D1175" s="124" ph="1"/>
      <c r="E1175" s="124" ph="1"/>
      <c r="G1175" s="19" t="s" ph="1">
        <v>1182</v>
      </c>
      <c r="H1175" s="19" t="s" ph="1">
        <v>709</v>
      </c>
      <c r="I1175" s="19" t="s" ph="1">
        <v>6425</v>
      </c>
      <c r="J1175" s="112" t="s" ph="1">
        <v>1184</v>
      </c>
      <c r="K1175" s="19" t="s" ph="1">
        <v>427</v>
      </c>
      <c r="L1175" s="19" t="s" ph="1">
        <v>1186</v>
      </c>
      <c r="M1175" s="27" t="str" ph="1">
        <f>IFERROR(INDEX([1]!_born[生没年],
MATCH(I1175,[1]!_born[作],0)),"")</f>
        <v/>
      </c>
      <c r="N1175" s="27" t="str" ph="1">
        <f>IFERROR(INDEX([1]!_born[生没年],
MATCH(K1175,[1]!_born[作],0)),"")</f>
        <v/>
      </c>
      <c r="O1175" s="19" t="s" ph="1">
        <v>426</v>
      </c>
      <c r="R1175" s="20" ph="1"/>
      <c r="T1175" s="19" t="s" ph="1">
        <v>6426</v>
      </c>
      <c r="U1175" s="20" ph="1"/>
      <c r="V1175" s="21" ph="1">
        <v>250</v>
      </c>
      <c r="W1175" s="21" ph="1"/>
      <c r="Y1175" s="19" t="s" ph="1">
        <v>5689</v>
      </c>
    </row>
    <row r="1176" spans="1:25" s="19" customFormat="1" ht="22.5" customHeight="1" ph="1" x14ac:dyDescent="0.35">
      <c r="A1176" s="107" ph="1"/>
      <c r="B1176" s="18" ph="1"/>
      <c r="C1176" s="19" t="s" ph="1">
        <v>1172</v>
      </c>
      <c r="D1176" s="124" ph="1"/>
      <c r="E1176" s="124" ph="1"/>
      <c r="G1176" s="19" t="s" ph="1">
        <v>1182</v>
      </c>
      <c r="H1176" s="19" t="s" ph="1">
        <v>716</v>
      </c>
      <c r="I1176" s="19" t="s" ph="1">
        <v>6427</v>
      </c>
      <c r="J1176" s="112" t="s" ph="1">
        <v>1184</v>
      </c>
      <c r="K1176" s="19" t="s" ph="1">
        <v>6428</v>
      </c>
      <c r="L1176" s="19" t="s" ph="1">
        <v>1186</v>
      </c>
      <c r="M1176" s="27" t="str" ph="1">
        <f>IFERROR(INDEX([1]!_born[生没年],
MATCH(I1176,[1]!_born[作],0)),"")</f>
        <v/>
      </c>
      <c r="N1176" s="27" t="str" ph="1">
        <f>IFERROR(INDEX([1]!_born[生没年],
MATCH(K1176,[1]!_born[作],0)),"")</f>
        <v/>
      </c>
      <c r="O1176" s="19" t="s" ph="1">
        <v>6429</v>
      </c>
      <c r="R1176" s="20" ph="1"/>
      <c r="S1176" s="19" t="s" ph="1">
        <v>6430</v>
      </c>
      <c r="T1176" s="19" t="s" ph="1">
        <v>6431</v>
      </c>
      <c r="U1176" s="20" t="s" ph="1">
        <v>1189</v>
      </c>
      <c r="V1176" s="21" ph="1">
        <v>300</v>
      </c>
      <c r="W1176" s="21" ph="1"/>
      <c r="Y1176" s="19" t="s" ph="1">
        <v>5689</v>
      </c>
    </row>
    <row r="1177" spans="1:25" s="19" customFormat="1" ht="22.5" customHeight="1" ph="1" x14ac:dyDescent="0.35">
      <c r="A1177" s="107" ph="1"/>
      <c r="B1177" s="18" ph="1"/>
      <c r="C1177" s="19" t="s" ph="1">
        <v>1172</v>
      </c>
      <c r="D1177" s="124" ph="1"/>
      <c r="E1177" s="124" ph="1"/>
      <c r="G1177" s="19" t="s" ph="1">
        <v>1182</v>
      </c>
      <c r="H1177" s="19" t="s" ph="1">
        <v>709</v>
      </c>
      <c r="I1177" s="19" t="s" ph="1">
        <v>6425</v>
      </c>
      <c r="J1177" s="112" t="s" ph="1">
        <v>1184</v>
      </c>
      <c r="K1177" s="19" t="s" ph="1">
        <v>428</v>
      </c>
      <c r="L1177" s="19" t="s" ph="1">
        <v>1186</v>
      </c>
      <c r="M1177" s="27" t="str" ph="1">
        <f>IFERROR(INDEX([1]!_born[生没年],
MATCH(I1177,[1]!_born[作],0)),"")</f>
        <v/>
      </c>
      <c r="N1177" s="27" t="str" ph="1">
        <f>IFERROR(INDEX([1]!_born[生没年],
MATCH(K1177,[1]!_born[作],0)),"")</f>
        <v/>
      </c>
      <c r="O1177" s="19" t="s" ph="1">
        <v>423</v>
      </c>
      <c r="R1177" s="20" ph="1"/>
      <c r="T1177" s="19" t="s" ph="1">
        <v>6432</v>
      </c>
      <c r="U1177" s="20" t="s" ph="1">
        <v>1189</v>
      </c>
      <c r="V1177" s="21" ph="1">
        <v>250</v>
      </c>
      <c r="W1177" s="21" ph="1"/>
      <c r="Y1177" s="19" t="s" ph="1">
        <v>5689</v>
      </c>
    </row>
    <row r="1178" spans="1:25" s="19" customFormat="1" ht="22.5" customHeight="1" ph="1" x14ac:dyDescent="0.35">
      <c r="A1178" s="107" ph="1"/>
      <c r="B1178" s="18" ph="1"/>
      <c r="C1178" s="19" t="s" ph="1">
        <v>1172</v>
      </c>
      <c r="D1178" s="124" ph="1"/>
      <c r="E1178" s="124" ph="1"/>
      <c r="G1178" s="19" t="s" ph="1">
        <v>1182</v>
      </c>
      <c r="H1178" s="19" t="s" ph="1">
        <v>709</v>
      </c>
      <c r="I1178" s="19" t="s" ph="1">
        <v>424</v>
      </c>
      <c r="J1178" s="112" t="s" ph="1">
        <v>1184</v>
      </c>
      <c r="K1178" s="19" t="s" ph="1">
        <v>1190</v>
      </c>
      <c r="L1178" s="19" t="s" ph="1">
        <v>1186</v>
      </c>
      <c r="M1178" s="27" t="str" ph="1">
        <f>IFERROR(INDEX([1]!_born[生没年],
MATCH(I1178,[1]!_born[作],0)),"")</f>
        <v/>
      </c>
      <c r="N1178" s="27" t="str" ph="1">
        <f>IFERROR(INDEX([1]!_born[生没年],
MATCH(K1178,[1]!_born[作],0)),"")</f>
        <v/>
      </c>
      <c r="O1178" s="19" t="s" ph="1">
        <v>6433</v>
      </c>
      <c r="R1178" s="20" ph="1"/>
      <c r="T1178" s="19" t="s" ph="1">
        <v>6434</v>
      </c>
      <c r="U1178" s="20" t="s" ph="1">
        <v>1191</v>
      </c>
      <c r="V1178" s="21" ph="1">
        <v>300</v>
      </c>
      <c r="W1178" s="21" ph="1"/>
      <c r="Y1178" s="19" t="s" ph="1">
        <v>5689</v>
      </c>
    </row>
    <row r="1179" spans="1:25" s="19" customFormat="1" ht="22.5" customHeight="1" ph="1" x14ac:dyDescent="0.35">
      <c r="A1179" s="107" ph="1"/>
      <c r="B1179" s="18" ph="1"/>
      <c r="C1179" s="19" t="s" ph="1">
        <v>1172</v>
      </c>
      <c r="D1179" s="124" ph="1"/>
      <c r="E1179" s="124" ph="1"/>
      <c r="G1179" s="19" t="s" ph="1">
        <v>1182</v>
      </c>
      <c r="H1179" s="19" t="s" ph="1">
        <v>709</v>
      </c>
      <c r="I1179" s="19" t="s" ph="1">
        <v>430</v>
      </c>
      <c r="J1179" s="112" t="s" ph="1">
        <v>1184</v>
      </c>
      <c r="K1179" s="19" t="s" ph="1">
        <v>429</v>
      </c>
      <c r="L1179" s="19" t="s" ph="1">
        <v>1186</v>
      </c>
      <c r="M1179" s="27" t="str" ph="1">
        <f>IFERROR(INDEX([1]!_born[生没年],
MATCH(I1179,[1]!_born[作],0)),"")</f>
        <v/>
      </c>
      <c r="N1179" s="27" t="str" ph="1">
        <f>IFERROR(INDEX([1]!_born[生没年],
MATCH(K1179,[1]!_born[作],0)),"")</f>
        <v/>
      </c>
      <c r="O1179" s="19" t="s" ph="1">
        <v>425</v>
      </c>
      <c r="R1179" s="20" ph="1"/>
      <c r="T1179" s="19" t="s" ph="1">
        <v>6432</v>
      </c>
      <c r="U1179" s="20" t="s" ph="1">
        <v>1191</v>
      </c>
      <c r="V1179" s="21" ph="1">
        <v>300</v>
      </c>
      <c r="W1179" s="21" ph="1"/>
      <c r="Y1179" s="19" t="s" ph="1">
        <v>5689</v>
      </c>
    </row>
    <row r="1180" spans="1:25" ht="22.5" customHeight="1" ph="1" x14ac:dyDescent="0.35">
      <c r="C1180" s="13" t="s" ph="1">
        <v>1172</v>
      </c>
      <c r="G1180" s="13" t="s" ph="1">
        <v>1182</v>
      </c>
      <c r="H1180" s="13" t="s" ph="1">
        <v>709</v>
      </c>
      <c r="M1180" s="14" t="str" ph="1">
        <f>IFERROR(INDEX([1]!_born[生没年],
MATCH(I1180,[1]!_born[作],0)),"")</f>
        <v/>
      </c>
      <c r="N1180" s="14" t="str" ph="1">
        <f>IFERROR(INDEX([1]!_born[生没年],
MATCH(K1180,[1]!_born[作],0)),"")</f>
        <v/>
      </c>
      <c r="O1180" s="13" t="s" ph="1">
        <v>1192</v>
      </c>
      <c r="T1180" s="13" t="s" ph="1">
        <v>6435</v>
      </c>
      <c r="U1180" s="16" ph="1">
        <v>39850</v>
      </c>
      <c r="V1180" s="17" ph="1">
        <v>700</v>
      </c>
      <c r="W1180" s="17" ph="1">
        <v>700</v>
      </c>
      <c r="X1180" s="13" t="s" ph="1">
        <v>6436</v>
      </c>
    </row>
    <row r="1181" spans="1:25" ht="22.5" customHeight="1" ph="1" x14ac:dyDescent="0.35">
      <c r="C1181" s="13" t="s" ph="1">
        <v>1172</v>
      </c>
      <c r="G1181" s="13" t="s" ph="1">
        <v>1182</v>
      </c>
      <c r="H1181" s="13" t="s" ph="1">
        <v>709</v>
      </c>
      <c r="M1181" s="14" t="str" ph="1">
        <f>IFERROR(INDEX([1]!_born[生没年],
MATCH(I1181,[1]!_born[作],0)),"")</f>
        <v/>
      </c>
      <c r="N1181" s="14" t="str" ph="1">
        <f>IFERROR(INDEX([1]!_born[生没年],
MATCH(K1181,[1]!_born[作],0)),"")</f>
        <v/>
      </c>
      <c r="O1181" s="13" t="s" ph="1">
        <v>6437</v>
      </c>
      <c r="T1181" s="13" t="s" ph="1">
        <v>6438</v>
      </c>
      <c r="U1181" s="16" t="s" ph="1">
        <v>6439</v>
      </c>
      <c r="X1181" s="13" t="s" ph="1">
        <v>6436</v>
      </c>
    </row>
    <row r="1182" spans="1:25" ht="22.5" customHeight="1" ph="1" x14ac:dyDescent="0.25">
      <c r="C1182" s="13" t="s" ph="1">
        <v>1172</v>
      </c>
      <c r="G1182" s="13" t="s" ph="1">
        <v>1182</v>
      </c>
      <c r="H1182" s="13" t="s" ph="1">
        <v>709</v>
      </c>
      <c r="M1182" s="14" t="str" ph="1">
        <f>IFERROR(INDEX([1]!_born[生没年],
MATCH(I1182,[1]!_born[作],0)),"")</f>
        <v/>
      </c>
      <c r="N1182" s="14" t="str" ph="1">
        <f>IFERROR(INDEX([1]!_born[生没年],
MATCH(K1182,[1]!_born[作],0)),"")</f>
        <v/>
      </c>
      <c r="O1182" s="13" t="s" ph="1">
        <v>431</v>
      </c>
    </row>
    <row r="1183" spans="1:25" ht="22.5" customHeight="1" ph="1" x14ac:dyDescent="0.35">
      <c r="C1183" s="13" t="s" ph="1">
        <v>1172</v>
      </c>
      <c r="G1183" s="13" t="s" ph="1">
        <v>1182</v>
      </c>
      <c r="H1183" s="13" t="s" ph="1">
        <v>709</v>
      </c>
      <c r="M1183" s="14" t="str" ph="1">
        <f>IFERROR(INDEX([1]!_born[生没年],
MATCH(I1183,[1]!_born[作],0)),"")</f>
        <v/>
      </c>
      <c r="N1183" s="14" t="str" ph="1">
        <f>IFERROR(INDEX([1]!_born[生没年],
MATCH(K1183,[1]!_born[作],0)),"")</f>
        <v/>
      </c>
      <c r="O1183" s="13" t="s" ph="1">
        <v>6440</v>
      </c>
    </row>
    <row r="1184" spans="1:25" ht="22.5" customHeight="1" ph="1" x14ac:dyDescent="0.35">
      <c r="C1184" s="13" t="s" ph="1">
        <v>1172</v>
      </c>
      <c r="G1184" s="13" t="s" ph="1">
        <v>1182</v>
      </c>
      <c r="H1184" s="13" t="s" ph="1">
        <v>709</v>
      </c>
      <c r="M1184" s="14" t="str" ph="1">
        <f>IFERROR(INDEX([1]!_born[生没年],
MATCH(I1184,[1]!_born[作],0)),"")</f>
        <v/>
      </c>
      <c r="N1184" s="14" t="str" ph="1">
        <f>IFERROR(INDEX([1]!_born[生没年],
MATCH(K1184,[1]!_born[作],0)),"")</f>
        <v/>
      </c>
      <c r="O1184" s="13" t="s" ph="1">
        <v>6441</v>
      </c>
    </row>
    <row r="1185" spans="1:25" ht="22.5" customHeight="1" ph="1" x14ac:dyDescent="0.35">
      <c r="C1185" s="13" t="s" ph="1">
        <v>391</v>
      </c>
      <c r="G1185" s="13" t="s" ph="1">
        <v>1182</v>
      </c>
      <c r="H1185" s="13" t="s" ph="1">
        <v>61</v>
      </c>
      <c r="I1185" s="13" t="s" ph="1">
        <v>6442</v>
      </c>
      <c r="J1185" s="13" t="s" ph="1">
        <v>5759</v>
      </c>
      <c r="M1185" s="14" t="str" ph="1">
        <f>IFERROR(INDEX([1]!_born[生没年],
MATCH(I1185,[1]!_born[作],0)),"")</f>
        <v/>
      </c>
      <c r="N1185" s="14" t="str" ph="1">
        <f>IFERROR(INDEX([1]!_born[生没年],
MATCH(K1185,[1]!_born[作],0)),"")</f>
        <v/>
      </c>
      <c r="O1185" s="13" t="s" ph="1">
        <v>6443</v>
      </c>
      <c r="R1185" s="16" t="s" ph="1">
        <v>3047</v>
      </c>
      <c r="U1185" s="16" t="s" ph="1">
        <v>2797</v>
      </c>
      <c r="X1185" s="13" t="s" ph="1">
        <v>6444</v>
      </c>
    </row>
    <row r="1186" spans="1:25" ht="22.5" customHeight="1" ph="1" x14ac:dyDescent="0.35">
      <c r="C1186" s="13" t="s" ph="1">
        <v>391</v>
      </c>
      <c r="G1186" s="13" t="s" ph="1">
        <v>1182</v>
      </c>
      <c r="H1186" s="13" t="s" ph="1">
        <v>61</v>
      </c>
      <c r="I1186" s="13" t="s" ph="1">
        <v>6445</v>
      </c>
      <c r="K1186" s="13" t="s" ph="1">
        <v>6446</v>
      </c>
      <c r="L1186" s="13" t="s" ph="1">
        <v>6188</v>
      </c>
      <c r="M1186" s="14" t="str" ph="1">
        <f>IFERROR(INDEX([1]!_born[生没年],
MATCH(I1186,[1]!_born[作],0)),"")</f>
        <v/>
      </c>
      <c r="N1186" s="14" t="str" ph="1">
        <f>IFERROR(INDEX([1]!_born[生没年],
MATCH(K1186,[1]!_born[作],0)),"")</f>
        <v/>
      </c>
      <c r="O1186" s="13" t="s" ph="1">
        <v>6447</v>
      </c>
      <c r="R1186" s="16" t="s" ph="1">
        <v>3047</v>
      </c>
      <c r="U1186" s="16" ph="1">
        <v>45240</v>
      </c>
      <c r="V1186" s="17" t="s" ph="1">
        <v>1225</v>
      </c>
      <c r="W1186" s="17" ph="1">
        <v>0</v>
      </c>
      <c r="X1186" s="13" t="s" ph="1">
        <v>6448</v>
      </c>
      <c r="Y1186" s="13" t="s" ph="1">
        <v>3640</v>
      </c>
    </row>
    <row r="1187" spans="1:25" ht="22.5" customHeight="1" ph="1" x14ac:dyDescent="0.35">
      <c r="C1187" s="13" t="s" ph="1">
        <v>391</v>
      </c>
      <c r="G1187" s="13" t="s" ph="1">
        <v>1182</v>
      </c>
      <c r="H1187" s="13" t="s" ph="1">
        <v>61</v>
      </c>
      <c r="I1187" s="13" t="s" ph="1">
        <v>10270</v>
      </c>
      <c r="J1187" s="13" t="s" ph="1">
        <v>10271</v>
      </c>
      <c r="K1187" s="13" t="s" ph="1">
        <v>10272</v>
      </c>
      <c r="L1187" s="13" t="s" ph="1">
        <v>10273</v>
      </c>
      <c r="M1187" s="14" t="str" ph="1">
        <f>IFERROR(INDEX([1]!_born[生没年],
MATCH(I1187,[1]!_born[作],0)),"")</f>
        <v/>
      </c>
      <c r="N1187" s="14" t="str" ph="1">
        <f>IFERROR(INDEX([1]!_born[生没年],
MATCH(K1187,[1]!_born[作],0)),"")</f>
        <v/>
      </c>
      <c r="O1187" s="13" t="s" ph="1">
        <v>10274</v>
      </c>
      <c r="R1187" s="16" ph="1">
        <v>45899</v>
      </c>
      <c r="U1187" s="16" ph="1">
        <v>45918</v>
      </c>
      <c r="V1187" s="17" ph="1">
        <v>1000</v>
      </c>
      <c r="W1187" s="17" ph="1">
        <v>1000</v>
      </c>
      <c r="X1187" s="13" t="s" ph="1">
        <v>10275</v>
      </c>
      <c r="Y1187" s="13" t="s" ph="1">
        <v>10276</v>
      </c>
    </row>
    <row r="1188" spans="1:25" ht="22.5" customHeight="1" ph="1" x14ac:dyDescent="0.35">
      <c r="C1188" s="13" t="s" ph="1">
        <v>391</v>
      </c>
      <c r="G1188" s="13" t="s" ph="1">
        <v>1182</v>
      </c>
      <c r="H1188" s="13" t="s" ph="1">
        <v>61</v>
      </c>
      <c r="I1188" s="13" t="s" ph="1">
        <v>10272</v>
      </c>
      <c r="J1188" s="13" t="s" ph="1">
        <v>10277</v>
      </c>
      <c r="M1188" s="14" t="str" ph="1">
        <f>IFERROR(INDEX([1]!_born[生没年],
MATCH(I1188,[1]!_born[作],0)),"")</f>
        <v/>
      </c>
      <c r="N1188" s="14" t="str" ph="1">
        <f>IFERROR(INDEX([1]!_born[生没年],
MATCH(K1188,[1]!_born[作],0)),"")</f>
        <v/>
      </c>
      <c r="O1188" s="13" t="s" ph="1">
        <v>10278</v>
      </c>
      <c r="R1188" s="16" ph="1">
        <v>45899</v>
      </c>
      <c r="S1188" s="13" t="s" ph="1">
        <v>10279</v>
      </c>
      <c r="U1188" s="16" ph="1">
        <v>45757</v>
      </c>
      <c r="V1188" s="17" ph="1">
        <v>0</v>
      </c>
      <c r="W1188" s="17" ph="1">
        <v>0</v>
      </c>
      <c r="X1188" s="13" t="s" ph="1">
        <v>10275</v>
      </c>
    </row>
    <row r="1189" spans="1:25" ht="22.5" customHeight="1" ph="1" x14ac:dyDescent="0.35">
      <c r="C1189" s="13" t="s" ph="1">
        <v>391</v>
      </c>
      <c r="G1189" s="13" t="s" ph="1">
        <v>1182</v>
      </c>
      <c r="H1189" s="13" t="s" ph="1">
        <v>43</v>
      </c>
      <c r="M1189" s="14" t="str" ph="1">
        <f>IFERROR(INDEX([1]!_born[生没年],
MATCH(I1189,[1]!_born[作],0)),"")</f>
        <v/>
      </c>
      <c r="N1189" s="14" t="str" ph="1">
        <f>IFERROR(INDEX([1]!_born[生没年],
MATCH(K1189,[1]!_born[作],0)),"")</f>
        <v/>
      </c>
      <c r="O1189" s="13" t="s" ph="1">
        <v>6449</v>
      </c>
    </row>
    <row r="1190" spans="1:25" ht="22.5" customHeight="1" ph="1" x14ac:dyDescent="0.35">
      <c r="C1190" s="13" t="s" ph="1">
        <v>1172</v>
      </c>
      <c r="G1190" s="13" t="s" ph="1">
        <v>1182</v>
      </c>
      <c r="H1190" s="13" t="s" ph="1">
        <v>709</v>
      </c>
      <c r="I1190" s="13" t="s" ph="1">
        <v>532</v>
      </c>
      <c r="M1190" s="14" t="str" ph="1">
        <f>IFERROR(INDEX([1]!_born[生没年],
MATCH(I1190,[1]!_born[作],0)),"")</f>
        <v/>
      </c>
      <c r="N1190" s="14" t="str" ph="1">
        <f>IFERROR(INDEX([1]!_born[生没年],
MATCH(K1190,[1]!_born[作],0)),"")</f>
        <v/>
      </c>
      <c r="O1190" s="13" t="s" ph="1">
        <v>531</v>
      </c>
      <c r="R1190" s="16" t="s" ph="1">
        <v>1193</v>
      </c>
      <c r="S1190" s="13" t="s" ph="1">
        <v>1194</v>
      </c>
      <c r="T1190" s="13" t="s" ph="1">
        <v>6450</v>
      </c>
      <c r="U1190" s="16" ph="1">
        <v>37800</v>
      </c>
      <c r="W1190" s="17" ph="1">
        <v>600</v>
      </c>
      <c r="X1190" s="13" t="s" ph="1">
        <v>4034</v>
      </c>
    </row>
    <row r="1191" spans="1:25" s="7" customFormat="1" ht="22.5" customHeight="1" ph="1" x14ac:dyDescent="0.35">
      <c r="A1191" s="106" ph="1"/>
      <c r="B1191" s="5" ph="1"/>
      <c r="C1191" s="9" t="s" ph="1">
        <v>707</v>
      </c>
      <c r="D1191" s="122" ph="1"/>
      <c r="E1191" s="122" ph="1"/>
      <c r="G1191" s="8" t="s" ph="1">
        <v>3648</v>
      </c>
      <c r="H1191" s="9" ph="1"/>
      <c r="M1191" s="7" t="str" ph="1">
        <f>IFERROR(INDEX([1]!_born[生没年],
MATCH(I1191,[1]!_born[作],0)),"")</f>
        <v/>
      </c>
      <c r="N1191" s="7" t="str" ph="1">
        <f>IFERROR(INDEX([1]!_born[生没年],
MATCH(K1191,[1]!_born[作],0)),"")</f>
        <v/>
      </c>
      <c r="R1191" s="10" ph="1"/>
      <c r="U1191" s="10" ph="1"/>
      <c r="V1191" s="11" ph="1"/>
      <c r="W1191" s="11" ph="1"/>
    </row>
    <row r="1192" spans="1:25" ht="22.5" customHeight="1" ph="1" x14ac:dyDescent="0.35">
      <c r="C1192" s="13" t="s" ph="1">
        <v>3648</v>
      </c>
      <c r="G1192" s="13" t="s" ph="1">
        <v>1195</v>
      </c>
      <c r="H1192" s="13" t="s" ph="1">
        <v>4423</v>
      </c>
      <c r="I1192" s="24" t="s" ph="1">
        <v>6451</v>
      </c>
      <c r="M1192" s="14" t="str" ph="1">
        <f>IFERROR(INDEX([1]!_born[生没年],
MATCH(I1192,[1]!_born[作],0)),"")</f>
        <v/>
      </c>
      <c r="N1192" s="14" t="str" ph="1">
        <f>IFERROR(INDEX([1]!_born[生没年],
MATCH(K1192,[1]!_born[作],0)),"")</f>
        <v/>
      </c>
      <c r="O1192" s="24" t="s" ph="1">
        <v>6452</v>
      </c>
      <c r="T1192" s="13" t="s" ph="1">
        <v>6453</v>
      </c>
      <c r="U1192" s="16" t="s" ph="1">
        <v>706</v>
      </c>
      <c r="V1192" s="17" ph="1">
        <v>3500</v>
      </c>
      <c r="W1192" s="17" ph="1">
        <v>0</v>
      </c>
      <c r="Y1192" s="13" t="s" ph="1">
        <v>6454</v>
      </c>
    </row>
    <row r="1193" spans="1:25" ht="22.5" customHeight="1" ph="1" x14ac:dyDescent="0.35">
      <c r="C1193" s="13" t="s" ph="1">
        <v>3648</v>
      </c>
      <c r="G1193" s="13" t="s" ph="1">
        <v>746</v>
      </c>
      <c r="H1193" s="13" t="s" ph="1">
        <v>716</v>
      </c>
      <c r="I1193" s="13" t="s" ph="1">
        <v>1196</v>
      </c>
      <c r="M1193" s="14" t="str" ph="1">
        <f>IFERROR(INDEX([1]!_born[生没年],
MATCH(I1193,[1]!_born[作],0)),"")</f>
        <v/>
      </c>
      <c r="N1193" s="14" t="str" ph="1">
        <f>IFERROR(INDEX([1]!_born[生没年],
MATCH(K1193,[1]!_born[作],0)),"")</f>
        <v/>
      </c>
      <c r="O1193" s="13" t="s" ph="1">
        <v>637</v>
      </c>
      <c r="S1193" s="13" t="s" ph="1">
        <v>1197</v>
      </c>
      <c r="T1193" s="13" t="s" ph="1">
        <v>6455</v>
      </c>
      <c r="V1193" s="17" ph="1">
        <v>1200</v>
      </c>
      <c r="W1193" s="17" ph="1">
        <v>1200</v>
      </c>
    </row>
    <row r="1194" spans="1:25" ht="22.5" customHeight="1" ph="1" x14ac:dyDescent="0.35">
      <c r="C1194" s="13" t="s" ph="1">
        <v>3648</v>
      </c>
      <c r="G1194" s="13" t="s" ph="1">
        <v>746</v>
      </c>
      <c r="H1194" s="13" t="s" ph="1">
        <v>716</v>
      </c>
      <c r="I1194" s="22" t="s" ph="1">
        <v>6456</v>
      </c>
      <c r="J1194" s="22" ph="1"/>
      <c r="M1194" s="14" t="str" ph="1">
        <f>IFERROR(INDEX([1]!_born[生没年],
MATCH(I1194,[1]!_born[作],0)),"")</f>
        <v/>
      </c>
      <c r="N1194" s="14" t="str" ph="1">
        <f>IFERROR(INDEX([1]!_born[生没年],
MATCH(K1194,[1]!_born[作],0)),"")</f>
        <v/>
      </c>
      <c r="O1194" s="13" t="s" ph="1">
        <v>6457</v>
      </c>
      <c r="R1194" s="16" t="s" ph="1">
        <v>1198</v>
      </c>
      <c r="S1194" s="13" t="s" ph="1">
        <v>6458</v>
      </c>
      <c r="T1194" s="13" t="s" ph="1">
        <v>3988</v>
      </c>
      <c r="U1194" s="16" ph="1">
        <v>37377</v>
      </c>
      <c r="V1194" s="17" ph="1">
        <v>350</v>
      </c>
    </row>
    <row r="1195" spans="1:25" ht="22.5" customHeight="1" ph="1" x14ac:dyDescent="0.35">
      <c r="C1195" s="13" t="s" ph="1">
        <v>6459</v>
      </c>
      <c r="G1195" s="13" t="s" ph="1">
        <v>746</v>
      </c>
      <c r="H1195" s="13" t="s" ph="1">
        <v>716</v>
      </c>
      <c r="I1195" s="13" t="s" ph="1">
        <v>638</v>
      </c>
      <c r="M1195" s="14" t="str" ph="1">
        <f>IFERROR(INDEX([1]!_born[生没年],
MATCH(I1195,[1]!_born[作],0)),"")</f>
        <v/>
      </c>
      <c r="N1195" s="14" t="str" ph="1">
        <f>IFERROR(INDEX([1]!_born[生没年],
MATCH(K1195,[1]!_born[作],0)),"")</f>
        <v/>
      </c>
      <c r="O1195" s="13" t="s" ph="1">
        <v>1199</v>
      </c>
      <c r="S1195" s="13" t="s" ph="1">
        <v>639</v>
      </c>
      <c r="T1195" s="13" t="s" ph="1">
        <v>6455</v>
      </c>
      <c r="V1195" s="17" ph="1">
        <f>200*1.05</f>
        <v>210</v>
      </c>
      <c r="W1195" s="17" ph="1">
        <f>200*1.05</f>
        <v>210</v>
      </c>
    </row>
    <row r="1196" spans="1:25" ht="22.5" customHeight="1" ph="1" x14ac:dyDescent="0.35">
      <c r="C1196" s="13" t="s" ph="1">
        <v>3648</v>
      </c>
      <c r="G1196" s="13" t="s" ph="1">
        <v>746</v>
      </c>
      <c r="H1196" s="13" t="s" ph="1">
        <v>709</v>
      </c>
      <c r="I1196" s="13" t="s" ph="1">
        <v>6460</v>
      </c>
      <c r="M1196" s="14" t="str" ph="1">
        <f>IFERROR(INDEX([1]!_born[生没年],
MATCH(I1196,[1]!_born[作],0)),"")</f>
        <v/>
      </c>
      <c r="N1196" s="14" t="str" ph="1">
        <f>IFERROR(INDEX([1]!_born[生没年],
MATCH(K1196,[1]!_born[作],0)),"")</f>
        <v/>
      </c>
      <c r="O1196" s="13" t="s" ph="1">
        <v>6461</v>
      </c>
      <c r="R1196" s="16" t="s" ph="1">
        <v>1200</v>
      </c>
      <c r="S1196" s="13" t="s" ph="1">
        <v>6460</v>
      </c>
      <c r="T1196" s="13" t="s" ph="1">
        <v>3780</v>
      </c>
      <c r="U1196" s="16" t="s" ph="1">
        <v>6462</v>
      </c>
      <c r="V1196" s="17" ph="1">
        <f>1262*1.03</f>
        <v>1299.8600000000001</v>
      </c>
      <c r="W1196" s="17" ph="1">
        <v>500</v>
      </c>
      <c r="X1196" s="13" t="s" ph="1">
        <v>3792</v>
      </c>
    </row>
    <row r="1197" spans="1:25" ht="22.5" customHeight="1" ph="1" x14ac:dyDescent="0.35">
      <c r="C1197" s="13" t="s" ph="1">
        <v>3648</v>
      </c>
      <c r="G1197" s="13" t="s" ph="1">
        <v>746</v>
      </c>
      <c r="H1197" s="13" t="s" ph="1">
        <v>709</v>
      </c>
      <c r="I1197" s="13" t="s" ph="1">
        <v>6460</v>
      </c>
      <c r="M1197" s="14" t="str" ph="1">
        <f>IFERROR(INDEX([1]!_born[生没年],
MATCH(I1197,[1]!_born[作],0)),"")</f>
        <v/>
      </c>
      <c r="N1197" s="14" t="str" ph="1">
        <f>IFERROR(INDEX([1]!_born[生没年],
MATCH(K1197,[1]!_born[作],0)),"")</f>
        <v/>
      </c>
      <c r="O1197" s="15" t="s" ph="1">
        <v>6463</v>
      </c>
      <c r="R1197" s="16" t="s" ph="1">
        <v>1201</v>
      </c>
      <c r="S1197" s="13" t="s" ph="1">
        <v>6460</v>
      </c>
      <c r="T1197" s="13" t="s" ph="1">
        <v>3780</v>
      </c>
      <c r="U1197" s="16" t="s" ph="1">
        <v>706</v>
      </c>
      <c r="V1197" s="17" ph="1">
        <f>1165*1.03</f>
        <v>1199.95</v>
      </c>
      <c r="W1197" s="17" ph="1">
        <f>1165*1.03</f>
        <v>1199.95</v>
      </c>
      <c r="Y1197" s="13" t="s" ph="1">
        <v>6464</v>
      </c>
    </row>
    <row r="1198" spans="1:25" ht="22.5" customHeight="1" ph="1" x14ac:dyDescent="0.35">
      <c r="C1198" s="13" t="s" ph="1">
        <v>3648</v>
      </c>
      <c r="G1198" s="13" t="s" ph="1">
        <v>746</v>
      </c>
      <c r="H1198" s="13" t="s" ph="1">
        <v>716</v>
      </c>
      <c r="I1198" s="13" t="s" ph="1">
        <v>6460</v>
      </c>
      <c r="M1198" s="14" t="str" ph="1">
        <f>IFERROR(INDEX([1]!_born[生没年],
MATCH(I1198,[1]!_born[作],0)),"")</f>
        <v/>
      </c>
      <c r="N1198" s="14" t="str" ph="1">
        <f>IFERROR(INDEX([1]!_born[生没年],
MATCH(K1198,[1]!_born[作],0)),"")</f>
        <v/>
      </c>
      <c r="O1198" s="15" t="s" ph="1">
        <v>6465</v>
      </c>
      <c r="R1198" s="16" t="s" ph="1">
        <v>1103</v>
      </c>
      <c r="S1198" s="13" t="s" ph="1">
        <v>6460</v>
      </c>
      <c r="T1198" s="13" t="s" ph="1">
        <v>3780</v>
      </c>
    </row>
    <row r="1199" spans="1:25" ht="22.5" customHeight="1" ph="1" x14ac:dyDescent="0.35">
      <c r="C1199" s="13" t="s" ph="1">
        <v>3648</v>
      </c>
      <c r="G1199" s="13" t="s" ph="1">
        <v>746</v>
      </c>
      <c r="H1199" s="13" t="s" ph="1">
        <v>709</v>
      </c>
      <c r="I1199" s="13" t="s" ph="1">
        <v>6460</v>
      </c>
      <c r="M1199" s="14" t="str" ph="1">
        <f>IFERROR(INDEX([1]!_born[生没年],
MATCH(I1199,[1]!_born[作],0)),"")</f>
        <v/>
      </c>
      <c r="N1199" s="14" t="str" ph="1">
        <f>IFERROR(INDEX([1]!_born[生没年],
MATCH(K1199,[1]!_born[作],0)),"")</f>
        <v/>
      </c>
      <c r="O1199" s="13" t="s" ph="1">
        <v>6466</v>
      </c>
      <c r="R1199" s="16" t="s" ph="1">
        <v>1202</v>
      </c>
      <c r="S1199" s="13" t="s" ph="1">
        <v>6460</v>
      </c>
      <c r="T1199" s="13" t="s" ph="1">
        <v>3780</v>
      </c>
      <c r="U1199" s="16" ph="1">
        <v>37580</v>
      </c>
      <c r="V1199" s="17" ph="1">
        <v>1200</v>
      </c>
      <c r="W1199" s="17" ph="1">
        <v>500</v>
      </c>
      <c r="X1199" s="13" t="s" ph="1">
        <v>3632</v>
      </c>
      <c r="Y1199" s="13" t="s" ph="1">
        <v>4440</v>
      </c>
    </row>
    <row r="1200" spans="1:25" ht="22.5" customHeight="1" ph="1" x14ac:dyDescent="0.35">
      <c r="C1200" s="13" t="s" ph="1">
        <v>3648</v>
      </c>
      <c r="G1200" s="13" t="s" ph="1">
        <v>746</v>
      </c>
      <c r="H1200" s="13" t="s" ph="1">
        <v>716</v>
      </c>
      <c r="I1200" s="13" t="s" ph="1">
        <v>6460</v>
      </c>
      <c r="M1200" s="14" t="str" ph="1">
        <f>IFERROR(INDEX([1]!_born[生没年],
MATCH(I1200,[1]!_born[作],0)),"")</f>
        <v/>
      </c>
      <c r="N1200" s="14" t="str" ph="1">
        <f>IFERROR(INDEX([1]!_born[生没年],
MATCH(K1200,[1]!_born[作],0)),"")</f>
        <v/>
      </c>
      <c r="O1200" s="13" t="s" ph="1">
        <v>6467</v>
      </c>
      <c r="R1200" s="16" t="s" ph="1">
        <v>1107</v>
      </c>
      <c r="S1200" s="13" t="s" ph="1">
        <v>6460</v>
      </c>
      <c r="T1200" s="13" t="s" ph="1">
        <v>3780</v>
      </c>
    </row>
    <row r="1201" spans="1:25" ht="22.5" customHeight="1" ph="1" x14ac:dyDescent="0.35">
      <c r="C1201" s="13" t="s" ph="1">
        <v>3648</v>
      </c>
      <c r="G1201" s="13" t="s" ph="1">
        <v>746</v>
      </c>
      <c r="H1201" s="13" t="s" ph="1">
        <v>709</v>
      </c>
      <c r="I1201" s="13" t="s" ph="1">
        <v>6460</v>
      </c>
      <c r="M1201" s="14" t="str" ph="1">
        <f>IFERROR(INDEX([1]!_born[生没年],
MATCH(I1201,[1]!_born[作],0)),"")</f>
        <v/>
      </c>
      <c r="N1201" s="14" t="str" ph="1">
        <f>IFERROR(INDEX([1]!_born[生没年],
MATCH(K1201,[1]!_born[作],0)),"")</f>
        <v/>
      </c>
      <c r="O1201" s="13" t="s" ph="1">
        <v>6468</v>
      </c>
      <c r="R1201" s="16" t="s" ph="1">
        <v>1111</v>
      </c>
      <c r="S1201" s="13" t="s" ph="1">
        <v>6460</v>
      </c>
      <c r="T1201" s="13" t="s" ph="1">
        <v>3780</v>
      </c>
      <c r="U1201" s="16" ph="1">
        <v>37580</v>
      </c>
      <c r="V1201" s="17" ph="1">
        <v>1200</v>
      </c>
      <c r="W1201" s="17" ph="1">
        <v>500</v>
      </c>
      <c r="X1201" s="13" t="s" ph="1">
        <v>3632</v>
      </c>
      <c r="Y1201" s="13" t="s" ph="1">
        <v>4440</v>
      </c>
    </row>
    <row r="1202" spans="1:25" ht="22.5" customHeight="1" ph="1" x14ac:dyDescent="0.35">
      <c r="C1202" s="13" t="s" ph="1">
        <v>3648</v>
      </c>
      <c r="G1202" s="13" t="s" ph="1">
        <v>746</v>
      </c>
      <c r="H1202" s="13" t="s" ph="1">
        <v>709</v>
      </c>
      <c r="I1202" s="13" t="s" ph="1">
        <v>6460</v>
      </c>
      <c r="K1202" s="13" t="s" ph="1">
        <v>6056</v>
      </c>
      <c r="L1202" s="13" t="s" ph="1">
        <v>1000</v>
      </c>
      <c r="M1202" s="14" t="str" ph="1">
        <f>IFERROR(INDEX([1]!_born[生没年],
MATCH(I1202,[1]!_born[作],0)),"")</f>
        <v/>
      </c>
      <c r="N1202" s="14" t="str" ph="1">
        <f>IFERROR(INDEX([1]!_born[生没年],
MATCH(K1202,[1]!_born[作],0)),"")</f>
        <v/>
      </c>
      <c r="O1202" s="13" t="s" ph="1">
        <v>6056</v>
      </c>
      <c r="R1202" s="16" t="s" ph="1">
        <v>1203</v>
      </c>
      <c r="S1202" s="13" t="s" ph="1">
        <v>6460</v>
      </c>
      <c r="T1202" s="13" t="s" ph="1">
        <v>3780</v>
      </c>
    </row>
    <row r="1203" spans="1:25" ht="22.5" customHeight="1" ph="1" x14ac:dyDescent="0.35">
      <c r="C1203" s="13" t="s" ph="1">
        <v>3648</v>
      </c>
      <c r="G1203" s="13" t="s" ph="1">
        <v>746</v>
      </c>
      <c r="H1203" s="13" t="s" ph="1">
        <v>716</v>
      </c>
      <c r="I1203" s="13" t="s" ph="1">
        <v>6460</v>
      </c>
      <c r="M1203" s="14" t="str" ph="1">
        <f>IFERROR(INDEX([1]!_born[生没年],
MATCH(I1203,[1]!_born[作],0)),"")</f>
        <v/>
      </c>
      <c r="N1203" s="14" t="str" ph="1">
        <f>IFERROR(INDEX([1]!_born[生没年],
MATCH(K1203,[1]!_born[作],0)),"")</f>
        <v/>
      </c>
      <c r="O1203" s="24" t="s" ph="1">
        <v>6469</v>
      </c>
      <c r="R1203" s="16" t="s" ph="1">
        <v>1156</v>
      </c>
      <c r="S1203" s="13" t="s" ph="1">
        <v>6460</v>
      </c>
      <c r="T1203" s="13" t="s" ph="1">
        <v>3780</v>
      </c>
      <c r="Y1203" s="13" t="s" ph="1">
        <v>6470</v>
      </c>
    </row>
    <row r="1204" spans="1:25" ht="22.5" customHeight="1" ph="1" x14ac:dyDescent="0.35">
      <c r="C1204" s="13" t="s" ph="1">
        <v>3648</v>
      </c>
      <c r="G1204" s="13" t="s" ph="1">
        <v>746</v>
      </c>
      <c r="H1204" s="13" t="s" ph="1">
        <v>709</v>
      </c>
      <c r="I1204" s="13" t="s" ph="1">
        <v>6460</v>
      </c>
      <c r="K1204" s="13" t="s" ph="1">
        <v>6471</v>
      </c>
      <c r="L1204" s="13" t="s" ph="1">
        <v>1000</v>
      </c>
      <c r="M1204" s="14" t="str" ph="1">
        <f>IFERROR(INDEX([1]!_born[生没年],
MATCH(I1204,[1]!_born[作],0)),"")</f>
        <v/>
      </c>
      <c r="N1204" s="14" t="str" ph="1">
        <f>IFERROR(INDEX([1]!_born[生没年],
MATCH(K1204,[1]!_born[作],0)),"")</f>
        <v/>
      </c>
      <c r="O1204" s="13" t="s" ph="1">
        <v>6472</v>
      </c>
      <c r="R1204" s="16" t="s" ph="1">
        <v>1204</v>
      </c>
      <c r="S1204" s="13" t="s" ph="1">
        <v>6460</v>
      </c>
      <c r="T1204" s="13" t="s" ph="1">
        <v>3780</v>
      </c>
      <c r="U1204" s="16" ph="1">
        <v>37552</v>
      </c>
      <c r="V1204" s="17" ph="1">
        <v>1400</v>
      </c>
      <c r="W1204" s="17" ph="1">
        <v>1400</v>
      </c>
      <c r="X1204" s="13" t="s" ph="1">
        <v>3802</v>
      </c>
    </row>
    <row r="1205" spans="1:25" ht="22.5" customHeight="1" ph="1" x14ac:dyDescent="0.35">
      <c r="A1205" s="106" t="s" ph="1">
        <v>1205</v>
      </c>
      <c r="C1205" s="13" t="s" ph="1">
        <v>3648</v>
      </c>
      <c r="G1205" s="13" t="s" ph="1">
        <v>746</v>
      </c>
      <c r="H1205" s="13" t="s" ph="1">
        <v>709</v>
      </c>
      <c r="I1205" s="13" t="s" ph="1">
        <v>6460</v>
      </c>
      <c r="K1205" s="13" t="s" ph="1">
        <v>6473</v>
      </c>
      <c r="L1205" s="13" t="s" ph="1">
        <v>1000</v>
      </c>
      <c r="M1205" s="14" t="str" ph="1">
        <f>IFERROR(INDEX([1]!_born[生没年],
MATCH(I1205,[1]!_born[作],0)),"")</f>
        <v/>
      </c>
      <c r="N1205" s="14" t="str" ph="1">
        <f>IFERROR(INDEX([1]!_born[生没年],
MATCH(K1205,[1]!_born[作],0)),"")</f>
        <v/>
      </c>
      <c r="O1205" s="13" t="s" ph="1">
        <v>6474</v>
      </c>
      <c r="R1205" s="16" t="s" ph="1">
        <v>1206</v>
      </c>
      <c r="S1205" s="13" t="s" ph="1">
        <v>6460</v>
      </c>
      <c r="T1205" s="13" t="s" ph="1">
        <v>3780</v>
      </c>
      <c r="U1205" s="16" ph="1">
        <v>39970</v>
      </c>
      <c r="V1205" s="17" ph="1">
        <f>1429*1.05</f>
        <v>1500.45</v>
      </c>
      <c r="W1205" s="17" ph="1">
        <f>1429*1.05</f>
        <v>1500.45</v>
      </c>
      <c r="X1205" s="13" t="s" ph="1">
        <v>6475</v>
      </c>
    </row>
    <row r="1206" spans="1:25" ht="22.5" customHeight="1" ph="1" x14ac:dyDescent="0.35">
      <c r="C1206" s="13" t="s" ph="1">
        <v>3648</v>
      </c>
      <c r="G1206" s="13" t="s" ph="1">
        <v>746</v>
      </c>
      <c r="H1206" s="13" t="s" ph="1">
        <v>709</v>
      </c>
      <c r="I1206" s="13" t="s" ph="1">
        <v>6476</v>
      </c>
      <c r="K1206" s="13" t="s" ph="1">
        <v>628</v>
      </c>
      <c r="L1206" s="13" t="s" ph="1">
        <v>1000</v>
      </c>
      <c r="M1206" s="14" t="str" ph="1">
        <f>IFERROR(INDEX([1]!_born[生没年],
MATCH(I1206,[1]!_born[作],0)),"")</f>
        <v/>
      </c>
      <c r="N1206" s="14" t="str" ph="1">
        <f>IFERROR(INDEX([1]!_born[生没年],
MATCH(K1206,[1]!_born[作],0)),"")</f>
        <v/>
      </c>
      <c r="O1206" s="13" t="s" ph="1">
        <v>628</v>
      </c>
      <c r="R1206" s="16" t="s" ph="1">
        <v>1207</v>
      </c>
      <c r="S1206" s="13" t="s" ph="1">
        <v>6477</v>
      </c>
      <c r="T1206" s="13" t="s" ph="1">
        <v>3988</v>
      </c>
      <c r="U1206" s="16" ph="1">
        <v>36796</v>
      </c>
      <c r="V1206" s="17" ph="1">
        <v>500</v>
      </c>
      <c r="W1206" s="17" ph="1">
        <v>499</v>
      </c>
    </row>
    <row r="1207" spans="1:25" ht="22.5" customHeight="1" ph="1" x14ac:dyDescent="0.35">
      <c r="C1207" s="13" t="s" ph="1">
        <v>3648</v>
      </c>
      <c r="G1207" s="13" t="s" ph="1">
        <v>746</v>
      </c>
      <c r="H1207" s="13" t="s" ph="1">
        <v>709</v>
      </c>
      <c r="I1207" s="13" t="s" ph="1">
        <v>6476</v>
      </c>
      <c r="K1207" s="13" t="s" ph="1">
        <v>30</v>
      </c>
      <c r="L1207" s="13" t="s" ph="1">
        <v>1000</v>
      </c>
      <c r="M1207" s="14" t="str" ph="1">
        <f>IFERROR(INDEX([1]!_born[生没年],
MATCH(I1207,[1]!_born[作],0)),"")</f>
        <v/>
      </c>
      <c r="N1207" s="14" t="str" ph="1">
        <f>IFERROR(INDEX([1]!_born[生没年],
MATCH(K1207,[1]!_born[作],0)),"")</f>
        <v/>
      </c>
      <c r="O1207" s="13" t="s" ph="1">
        <v>30</v>
      </c>
      <c r="R1207" s="16" t="s" ph="1">
        <v>1208</v>
      </c>
      <c r="S1207" s="13" t="s" ph="1">
        <v>6478</v>
      </c>
      <c r="T1207" s="13" t="s" ph="1">
        <v>3988</v>
      </c>
      <c r="U1207" s="16" ph="1">
        <v>36860</v>
      </c>
      <c r="V1207" s="17" ph="1">
        <v>500</v>
      </c>
      <c r="W1207" s="17" ph="1">
        <v>499</v>
      </c>
    </row>
    <row r="1208" spans="1:25" ht="22.5" customHeight="1" ph="1" x14ac:dyDescent="0.35">
      <c r="C1208" s="13" t="s" ph="1">
        <v>3648</v>
      </c>
      <c r="G1208" s="13" t="s" ph="1">
        <v>746</v>
      </c>
      <c r="H1208" s="13" t="s" ph="1">
        <v>709</v>
      </c>
      <c r="I1208" s="13" t="s" ph="1">
        <v>6479</v>
      </c>
      <c r="M1208" s="14" t="str" ph="1">
        <f>IFERROR(INDEX([1]!_born[生没年],
MATCH(I1208,[1]!_born[作],0)),"")</f>
        <v/>
      </c>
      <c r="N1208" s="14" t="str" ph="1">
        <f>IFERROR(INDEX([1]!_born[生没年],
MATCH(K1208,[1]!_born[作],0)),"")</f>
        <v/>
      </c>
      <c r="O1208" s="13" t="s" ph="1">
        <v>6480</v>
      </c>
      <c r="R1208" s="16" t="s" ph="1">
        <v>1209</v>
      </c>
      <c r="S1208" s="13" t="s" ph="1">
        <v>1210</v>
      </c>
      <c r="T1208" s="13" t="s" ph="1">
        <v>1211</v>
      </c>
      <c r="U1208" s="16" t="s" ph="1">
        <v>5288</v>
      </c>
      <c r="V1208" s="17" ph="1">
        <v>1400</v>
      </c>
      <c r="W1208" s="17" ph="1">
        <v>300</v>
      </c>
      <c r="X1208" s="13" t="s" ph="1">
        <v>5289</v>
      </c>
    </row>
    <row r="1209" spans="1:25" ht="22.5" customHeight="1" ph="1" x14ac:dyDescent="0.35">
      <c r="C1209" s="13" t="s" ph="1">
        <v>3648</v>
      </c>
      <c r="E1209" s="123" ph="1">
        <v>32</v>
      </c>
      <c r="G1209" s="13" t="s" ph="1">
        <v>708</v>
      </c>
      <c r="I1209" s="13" t="s" ph="1">
        <v>6481</v>
      </c>
      <c r="M1209" s="14" t="str" ph="1">
        <f>IFERROR(INDEX([1]!_born[生没年],
MATCH(I1209,[1]!_born[作],0)),"")</f>
        <v/>
      </c>
      <c r="N1209" s="14" t="str" ph="1">
        <f>IFERROR(INDEX([1]!_born[生没年],
MATCH(K1209,[1]!_born[作],0)),"")</f>
        <v/>
      </c>
      <c r="O1209" s="13" t="s" ph="1">
        <v>6481</v>
      </c>
      <c r="R1209" s="16" t="s" ph="1">
        <v>1212</v>
      </c>
      <c r="T1209" s="13" t="s" ph="1">
        <v>6482</v>
      </c>
      <c r="V1209" s="17" ph="1">
        <f>500*32</f>
        <v>16000</v>
      </c>
    </row>
    <row r="1210" spans="1:25" ht="22.5" customHeight="1" ph="1" x14ac:dyDescent="0.35">
      <c r="C1210" s="13" t="s" ph="1">
        <v>3648</v>
      </c>
      <c r="G1210" s="13" t="s" ph="1">
        <v>6483</v>
      </c>
      <c r="H1210" s="13" t="s" ph="1">
        <v>3902</v>
      </c>
      <c r="I1210" s="13" t="s" ph="1">
        <v>6484</v>
      </c>
      <c r="J1210" s="13" t="s" ph="1">
        <v>6485</v>
      </c>
      <c r="M1210" s="14" t="str" ph="1">
        <f>IFERROR(INDEX([1]!_born[生没年],
MATCH(I1210,[1]!_born[作],0)),"")</f>
        <v/>
      </c>
      <c r="N1210" s="14" t="str" ph="1">
        <f>IFERROR(INDEX([1]!_born[生没年],
MATCH(K1210,[1]!_born[作],0)),"")</f>
        <v/>
      </c>
      <c r="O1210" s="24" t="s" ph="1">
        <v>6486</v>
      </c>
      <c r="R1210" s="16" t="s" ph="1">
        <v>1213</v>
      </c>
      <c r="S1210" s="13" t="s" ph="1">
        <v>1214</v>
      </c>
      <c r="T1210" s="13" t="s" ph="1">
        <v>6487</v>
      </c>
      <c r="V1210" s="17" ph="1">
        <v>980</v>
      </c>
      <c r="Y1210" s="13" t="s" ph="1">
        <v>6488</v>
      </c>
    </row>
    <row r="1211" spans="1:25" ht="22.5" customHeight="1" ph="1" x14ac:dyDescent="0.35">
      <c r="C1211" s="13" t="s" ph="1">
        <v>3648</v>
      </c>
      <c r="G1211" s="13" t="s" ph="1">
        <v>1215</v>
      </c>
      <c r="I1211" s="13" t="s" ph="1">
        <v>186</v>
      </c>
      <c r="M1211" s="14" t="str" ph="1">
        <f>IFERROR(INDEX([1]!_born[生没年],
MATCH(I1211,[1]!_born[作],0)),"")</f>
        <v/>
      </c>
      <c r="N1211" s="14" t="str" ph="1">
        <f>IFERROR(INDEX([1]!_born[生没年],
MATCH(K1211,[1]!_born[作],0)),"")</f>
        <v/>
      </c>
      <c r="O1211" s="15" t="s" ph="1">
        <v>6489</v>
      </c>
      <c r="R1211" s="16" t="s" ph="1">
        <v>1216</v>
      </c>
      <c r="S1211" s="13" t="s" ph="1">
        <v>186</v>
      </c>
      <c r="T1211" s="13" t="s" ph="1">
        <v>3772</v>
      </c>
      <c r="U1211" s="16" t="s" ph="1">
        <v>1217</v>
      </c>
      <c r="V1211" s="17" ph="1">
        <v>980</v>
      </c>
    </row>
    <row r="1212" spans="1:25" ht="22.5" customHeight="1" ph="1" x14ac:dyDescent="0.35">
      <c r="C1212" s="13" t="s" ph="1">
        <v>3648</v>
      </c>
      <c r="G1212" s="13" t="s" ph="1">
        <v>1218</v>
      </c>
      <c r="H1212" s="13" t="s" ph="1">
        <v>1219</v>
      </c>
      <c r="I1212" s="13" t="s" ph="1">
        <v>186</v>
      </c>
      <c r="M1212" s="14" t="str" ph="1">
        <f>IFERROR(INDEX([1]!_born[生没年],
MATCH(I1212,[1]!_born[作],0)),"")</f>
        <v/>
      </c>
      <c r="N1212" s="14" t="str" ph="1">
        <f>IFERROR(INDEX([1]!_born[生没年],
MATCH(K1212,[1]!_born[作],0)),"")</f>
        <v/>
      </c>
      <c r="O1212" s="13" t="s" ph="1">
        <v>6490</v>
      </c>
      <c r="R1212" s="16" t="s" ph="1">
        <v>1220</v>
      </c>
      <c r="S1212" s="13" t="s" ph="1">
        <v>6491</v>
      </c>
      <c r="T1212" s="13" t="s" ph="1">
        <v>3772</v>
      </c>
      <c r="U1212" s="16" ph="1">
        <v>37142</v>
      </c>
      <c r="V1212" s="17" ph="1">
        <v>850</v>
      </c>
      <c r="W1212" s="17" ph="1">
        <v>500</v>
      </c>
      <c r="X1212" s="13" t="s" ph="1">
        <v>4585</v>
      </c>
    </row>
    <row r="1213" spans="1:25" ht="22.5" customHeight="1" ph="1" x14ac:dyDescent="0.35">
      <c r="C1213" s="13" t="s" ph="1">
        <v>3648</v>
      </c>
      <c r="G1213" s="13" t="s" ph="1">
        <v>1218</v>
      </c>
      <c r="H1213" s="13" t="s" ph="1">
        <v>1219</v>
      </c>
      <c r="I1213" s="13" t="s" ph="1">
        <v>6492</v>
      </c>
      <c r="M1213" s="14" t="str" ph="1">
        <f>IFERROR(INDEX([1]!_born[生没年],
MATCH(I1213,[1]!_born[作],0)),"")</f>
        <v/>
      </c>
      <c r="N1213" s="14" t="str" ph="1">
        <f>IFERROR(INDEX([1]!_born[生没年],
MATCH(K1213,[1]!_born[作],0)),"")</f>
        <v/>
      </c>
      <c r="O1213" s="13" t="s" ph="1">
        <v>6493</v>
      </c>
      <c r="R1213" s="16" t="s" ph="1">
        <v>1221</v>
      </c>
      <c r="S1213" s="13" t="s" ph="1">
        <v>1222</v>
      </c>
      <c r="T1213" s="13" t="s" ph="1">
        <v>6185</v>
      </c>
      <c r="U1213" s="16" t="s" ph="1">
        <v>1217</v>
      </c>
      <c r="V1213" s="17" ph="1">
        <v>1200</v>
      </c>
    </row>
    <row r="1214" spans="1:25" ht="22.5" customHeight="1" ph="1" x14ac:dyDescent="0.35">
      <c r="C1214" s="13" t="s" ph="1">
        <v>3648</v>
      </c>
      <c r="G1214" s="13" t="s" ph="1">
        <v>1218</v>
      </c>
      <c r="H1214" s="13" t="s" ph="1">
        <v>1219</v>
      </c>
      <c r="I1214" s="13" t="s" ph="1">
        <v>6492</v>
      </c>
      <c r="M1214" s="14" t="str" ph="1">
        <f>IFERROR(INDEX([1]!_born[生没年],
MATCH(I1214,[1]!_born[作],0)),"")</f>
        <v/>
      </c>
      <c r="N1214" s="14" t="str" ph="1">
        <f>IFERROR(INDEX([1]!_born[生没年],
MATCH(K1214,[1]!_born[作],0)),"")</f>
        <v/>
      </c>
      <c r="O1214" s="13" t="s" ph="1">
        <v>6494</v>
      </c>
      <c r="R1214" s="16" t="s" ph="1">
        <v>1223</v>
      </c>
      <c r="S1214" s="13" t="s" ph="1">
        <v>1224</v>
      </c>
      <c r="T1214" s="13" t="s" ph="1">
        <v>6185</v>
      </c>
      <c r="U1214" s="16" ph="1">
        <v>36863</v>
      </c>
      <c r="V1214" s="17" ph="1">
        <v>980</v>
      </c>
      <c r="W1214" s="17" t="s" ph="1">
        <v>1225</v>
      </c>
      <c r="X1214" s="13" t="s" ph="1">
        <v>3934</v>
      </c>
    </row>
    <row r="1215" spans="1:25" ht="22.5" customHeight="1" ph="1" x14ac:dyDescent="0.35">
      <c r="C1215" s="13" t="s" ph="1">
        <v>3648</v>
      </c>
      <c r="G1215" s="13" t="s" ph="1">
        <v>1218</v>
      </c>
      <c r="H1215" s="13" t="s" ph="1">
        <v>1219</v>
      </c>
      <c r="I1215" s="13" t="s" ph="1">
        <v>1226</v>
      </c>
      <c r="M1215" s="14" t="str" ph="1">
        <f>IFERROR(INDEX([1]!_born[生没年],
MATCH(I1215,[1]!_born[作],0)),"")</f>
        <v/>
      </c>
      <c r="N1215" s="14" t="str" ph="1">
        <f>IFERROR(INDEX([1]!_born[生没年],
MATCH(K1215,[1]!_born[作],0)),"")</f>
        <v/>
      </c>
      <c r="O1215" s="13" t="s" ph="1">
        <v>6495</v>
      </c>
      <c r="R1215" s="16" t="s" ph="1">
        <v>1227</v>
      </c>
      <c r="S1215" s="13" t="s" ph="1">
        <v>308</v>
      </c>
      <c r="T1215" s="13" t="s" ph="1">
        <v>1228</v>
      </c>
      <c r="U1215" s="16" ph="1">
        <v>37256</v>
      </c>
      <c r="V1215" s="17" ph="1">
        <f>1600*1.05</f>
        <v>1680</v>
      </c>
      <c r="W1215" s="17" ph="1">
        <v>0</v>
      </c>
      <c r="X1215" s="13" t="s" ph="1">
        <v>6496</v>
      </c>
      <c r="Y1215" s="13" t="s" ph="1">
        <v>6497</v>
      </c>
    </row>
    <row r="1216" spans="1:25" ht="22.5" customHeight="1" ph="1" x14ac:dyDescent="0.35">
      <c r="C1216" s="13" t="s" ph="1">
        <v>3648</v>
      </c>
      <c r="G1216" s="13" t="s" ph="1">
        <v>1218</v>
      </c>
      <c r="I1216" s="13" t="s" ph="1">
        <v>6498</v>
      </c>
      <c r="M1216" s="14" t="str" ph="1">
        <f>IFERROR(INDEX([1]!_born[生没年],
MATCH(I1216,[1]!_born[作],0)),"")</f>
        <v/>
      </c>
      <c r="N1216" s="14" t="str" ph="1">
        <f>IFERROR(INDEX([1]!_born[生没年],
MATCH(K1216,[1]!_born[作],0)),"")</f>
        <v/>
      </c>
      <c r="O1216" s="15" t="s" ph="1">
        <v>6499</v>
      </c>
      <c r="R1216" s="16" t="s" ph="1">
        <v>1229</v>
      </c>
      <c r="S1216" s="13" t="s" ph="1">
        <v>6500</v>
      </c>
      <c r="T1216" s="13" t="s" ph="1">
        <v>3772</v>
      </c>
      <c r="U1216" s="16" t="s" ph="1">
        <v>1217</v>
      </c>
      <c r="V1216" s="17" ph="1">
        <v>1500</v>
      </c>
    </row>
    <row r="1217" spans="1:25" ht="22.5" customHeight="1" ph="1" x14ac:dyDescent="0.35">
      <c r="C1217" s="13" t="s" ph="1">
        <v>3648</v>
      </c>
      <c r="D1217" s="123" ph="1">
        <v>1</v>
      </c>
      <c r="E1217" s="123" ph="1">
        <v>4</v>
      </c>
      <c r="G1217" s="13" t="s" ph="1">
        <v>1218</v>
      </c>
      <c r="I1217" s="13" t="s" ph="1">
        <v>6501</v>
      </c>
      <c r="M1217" s="14" t="str" ph="1">
        <f>IFERROR(INDEX([1]!_born[生没年],
MATCH(I1217,[1]!_born[作],0)),"")</f>
        <v/>
      </c>
      <c r="N1217" s="14" t="str" ph="1">
        <f>IFERROR(INDEX([1]!_born[生没年],
MATCH(K1217,[1]!_born[作],0)),"")</f>
        <v/>
      </c>
      <c r="O1217" s="13" t="s" ph="1">
        <v>6502</v>
      </c>
      <c r="T1217" s="13" t="s" ph="1">
        <v>4463</v>
      </c>
    </row>
    <row r="1218" spans="1:25" ht="22.5" customHeight="1" ph="1" x14ac:dyDescent="0.35">
      <c r="C1218" s="13" t="s" ph="1">
        <v>3648</v>
      </c>
      <c r="D1218" s="123" ph="1">
        <v>2</v>
      </c>
      <c r="E1218" s="123" ph="1">
        <v>4</v>
      </c>
      <c r="G1218" s="13" t="s" ph="1">
        <v>1218</v>
      </c>
      <c r="I1218" s="13" t="s" ph="1">
        <v>6501</v>
      </c>
      <c r="M1218" s="14" t="str" ph="1">
        <f>IFERROR(INDEX([1]!_born[生没年],
MATCH(I1218,[1]!_born[作],0)),"")</f>
        <v/>
      </c>
      <c r="N1218" s="14" t="str" ph="1">
        <f>IFERROR(INDEX([1]!_born[生没年],
MATCH(K1218,[1]!_born[作],0)),"")</f>
        <v/>
      </c>
      <c r="O1218" s="13" t="s" ph="1">
        <v>6503</v>
      </c>
      <c r="T1218" s="13" t="s" ph="1">
        <v>4463</v>
      </c>
    </row>
    <row r="1219" spans="1:25" ht="22.5" customHeight="1" ph="1" x14ac:dyDescent="0.35">
      <c r="C1219" s="13" t="s" ph="1">
        <v>3648</v>
      </c>
      <c r="D1219" s="123" ph="1">
        <v>3</v>
      </c>
      <c r="E1219" s="123" ph="1">
        <v>4</v>
      </c>
      <c r="G1219" s="13" t="s" ph="1">
        <v>1218</v>
      </c>
      <c r="I1219" s="13" t="s" ph="1">
        <v>6501</v>
      </c>
      <c r="M1219" s="14" t="str" ph="1">
        <f>IFERROR(INDEX([1]!_born[生没年],
MATCH(I1219,[1]!_born[作],0)),"")</f>
        <v/>
      </c>
      <c r="N1219" s="14" t="str" ph="1">
        <f>IFERROR(INDEX([1]!_born[生没年],
MATCH(K1219,[1]!_born[作],0)),"")</f>
        <v/>
      </c>
      <c r="O1219" s="13" t="s" ph="1">
        <v>6504</v>
      </c>
      <c r="T1219" s="13" t="s" ph="1">
        <v>4463</v>
      </c>
    </row>
    <row r="1220" spans="1:25" ht="22.5" customHeight="1" ph="1" x14ac:dyDescent="0.35">
      <c r="C1220" s="13" t="s" ph="1">
        <v>3648</v>
      </c>
      <c r="D1220" s="123" ph="1">
        <v>4</v>
      </c>
      <c r="E1220" s="123" ph="1">
        <v>4</v>
      </c>
      <c r="G1220" s="13" t="s" ph="1">
        <v>1218</v>
      </c>
      <c r="I1220" s="13" t="s" ph="1">
        <v>6501</v>
      </c>
      <c r="M1220" s="14" t="str" ph="1">
        <f>IFERROR(INDEX([1]!_born[生没年],
MATCH(I1220,[1]!_born[作],0)),"")</f>
        <v/>
      </c>
      <c r="N1220" s="14" t="str" ph="1">
        <f>IFERROR(INDEX([1]!_born[生没年],
MATCH(K1220,[1]!_born[作],0)),"")</f>
        <v/>
      </c>
      <c r="O1220" s="13" t="s" ph="1">
        <v>6505</v>
      </c>
      <c r="R1220" s="16" t="s" ph="1">
        <v>1230</v>
      </c>
      <c r="T1220" s="13" t="s" ph="1">
        <v>4463</v>
      </c>
      <c r="U1220" s="16" t="s" ph="1">
        <v>1231</v>
      </c>
      <c r="V1220" s="17" ph="1">
        <f>1400*1.05</f>
        <v>1470</v>
      </c>
    </row>
    <row r="1221" spans="1:25" ht="22.5" customHeight="1" ph="1" x14ac:dyDescent="0.35">
      <c r="C1221" s="13" t="s" ph="1">
        <v>3648</v>
      </c>
      <c r="D1221" s="123" ph="1">
        <v>1</v>
      </c>
      <c r="E1221" s="123" ph="1">
        <v>5</v>
      </c>
      <c r="G1221" s="13" t="s" ph="1">
        <v>1218</v>
      </c>
      <c r="I1221" s="13" t="s" ph="1">
        <v>6506</v>
      </c>
      <c r="M1221" s="14" t="str" ph="1">
        <f>IFERROR(INDEX([1]!_born[生没年],
MATCH(I1221,[1]!_born[作],0)),"")</f>
        <v/>
      </c>
      <c r="N1221" s="14" t="str" ph="1">
        <f>IFERROR(INDEX([1]!_born[生没年],
MATCH(K1221,[1]!_born[作],0)),"")</f>
        <v/>
      </c>
      <c r="O1221" s="13" t="s" ph="1">
        <v>6507</v>
      </c>
      <c r="T1221" s="13" t="s" ph="1">
        <v>4463</v>
      </c>
    </row>
    <row r="1222" spans="1:25" ht="22.5" customHeight="1" ph="1" x14ac:dyDescent="0.35">
      <c r="C1222" s="13" t="s" ph="1">
        <v>3648</v>
      </c>
      <c r="D1222" s="123" ph="1">
        <v>2</v>
      </c>
      <c r="E1222" s="123" ph="1">
        <v>5</v>
      </c>
      <c r="G1222" s="13" t="s" ph="1">
        <v>1218</v>
      </c>
      <c r="I1222" s="13" t="s" ph="1">
        <v>6506</v>
      </c>
      <c r="M1222" s="14" t="str" ph="1">
        <f>IFERROR(INDEX([1]!_born[生没年],
MATCH(I1222,[1]!_born[作],0)),"")</f>
        <v/>
      </c>
      <c r="N1222" s="14" t="str" ph="1">
        <f>IFERROR(INDEX([1]!_born[生没年],
MATCH(K1222,[1]!_born[作],0)),"")</f>
        <v/>
      </c>
      <c r="O1222" s="13" t="s" ph="1">
        <v>6508</v>
      </c>
      <c r="T1222" s="13" t="s" ph="1">
        <v>4463</v>
      </c>
    </row>
    <row r="1223" spans="1:25" ht="22.5" customHeight="1" ph="1" x14ac:dyDescent="0.35">
      <c r="C1223" s="13" t="s" ph="1">
        <v>3648</v>
      </c>
      <c r="D1223" s="123" ph="1">
        <v>3</v>
      </c>
      <c r="E1223" s="123" ph="1">
        <v>5</v>
      </c>
      <c r="G1223" s="13" t="s" ph="1">
        <v>1218</v>
      </c>
      <c r="I1223" s="13" t="s" ph="1">
        <v>6506</v>
      </c>
      <c r="M1223" s="14" t="str" ph="1">
        <f>IFERROR(INDEX([1]!_born[生没年],
MATCH(I1223,[1]!_born[作],0)),"")</f>
        <v/>
      </c>
      <c r="N1223" s="14" t="str" ph="1">
        <f>IFERROR(INDEX([1]!_born[生没年],
MATCH(K1223,[1]!_born[作],0)),"")</f>
        <v/>
      </c>
      <c r="O1223" s="13" t="s" ph="1">
        <v>6509</v>
      </c>
      <c r="T1223" s="13" t="s" ph="1">
        <v>4463</v>
      </c>
    </row>
    <row r="1224" spans="1:25" ht="22.5" customHeight="1" ph="1" x14ac:dyDescent="0.35">
      <c r="C1224" s="13" t="s" ph="1">
        <v>3648</v>
      </c>
      <c r="D1224" s="123" ph="1">
        <v>4</v>
      </c>
      <c r="E1224" s="123" ph="1">
        <v>5</v>
      </c>
      <c r="G1224" s="13" t="s" ph="1">
        <v>1218</v>
      </c>
      <c r="I1224" s="13" t="s" ph="1">
        <v>6506</v>
      </c>
      <c r="M1224" s="14" t="str" ph="1">
        <f>IFERROR(INDEX([1]!_born[生没年],
MATCH(I1224,[1]!_born[作],0)),"")</f>
        <v/>
      </c>
      <c r="N1224" s="14" t="str" ph="1">
        <f>IFERROR(INDEX([1]!_born[生没年],
MATCH(K1224,[1]!_born[作],0)),"")</f>
        <v/>
      </c>
      <c r="O1224" s="13" t="s" ph="1">
        <v>6510</v>
      </c>
      <c r="T1224" s="13" t="s" ph="1">
        <v>4463</v>
      </c>
    </row>
    <row r="1225" spans="1:25" ht="22.5" customHeight="1" ph="1" x14ac:dyDescent="0.35">
      <c r="C1225" s="13" t="s" ph="1">
        <v>3648</v>
      </c>
      <c r="D1225" s="123" ph="1">
        <v>5</v>
      </c>
      <c r="E1225" s="123" ph="1">
        <v>5</v>
      </c>
      <c r="G1225" s="13" t="s" ph="1">
        <v>1218</v>
      </c>
      <c r="I1225" s="13" t="s" ph="1">
        <v>6506</v>
      </c>
      <c r="M1225" s="14" t="str" ph="1">
        <f>IFERROR(INDEX([1]!_born[生没年],
MATCH(I1225,[1]!_born[作],0)),"")</f>
        <v/>
      </c>
      <c r="N1225" s="14" t="str" ph="1">
        <f>IFERROR(INDEX([1]!_born[生没年],
MATCH(K1225,[1]!_born[作],0)),"")</f>
        <v/>
      </c>
      <c r="O1225" s="13" t="s" ph="1">
        <v>6511</v>
      </c>
      <c r="R1225" s="16" t="s" ph="1">
        <v>1230</v>
      </c>
      <c r="T1225" s="13" t="s" ph="1">
        <v>4463</v>
      </c>
      <c r="U1225" s="16" t="s" ph="1">
        <v>1231</v>
      </c>
      <c r="V1225" s="17" ph="1">
        <f>1400*1.05</f>
        <v>1470</v>
      </c>
    </row>
    <row r="1226" spans="1:25" s="19" customFormat="1" ht="22.5" customHeight="1" ph="1" x14ac:dyDescent="0.35">
      <c r="A1226" s="107" ph="1"/>
      <c r="B1226" s="18" ph="1"/>
      <c r="C1226" s="19" t="s" ph="1">
        <v>6512</v>
      </c>
      <c r="D1226" s="124" ph="1"/>
      <c r="E1226" s="124" ph="1"/>
      <c r="G1226" s="19" t="s" ph="1">
        <v>1218</v>
      </c>
      <c r="I1226" s="19" t="s" ph="1">
        <v>6513</v>
      </c>
      <c r="M1226" s="27" t="str" ph="1">
        <f>IFERROR(INDEX([1]!_born[生没年],
MATCH(I1226,[1]!_born[作],0)),"")</f>
        <v/>
      </c>
      <c r="N1226" s="27" t="str" ph="1">
        <f>IFERROR(INDEX([1]!_born[生没年],
MATCH(K1226,[1]!_born[作],0)),"")</f>
        <v/>
      </c>
      <c r="O1226" s="23" t="s" ph="1">
        <v>6514</v>
      </c>
      <c r="R1226" s="20" ph="1"/>
      <c r="S1226" s="19" t="s" ph="1">
        <v>6515</v>
      </c>
      <c r="T1226" s="19" t="s" ph="1">
        <v>6516</v>
      </c>
      <c r="U1226" s="20" t="s" ph="1">
        <v>1217</v>
      </c>
      <c r="V1226" s="21" ph="1">
        <v>1010</v>
      </c>
      <c r="W1226" s="21" ph="1"/>
      <c r="Y1226" s="19" t="s" ph="1">
        <v>6517</v>
      </c>
    </row>
    <row r="1227" spans="1:25" ht="22.5" customHeight="1" ph="1" x14ac:dyDescent="0.35">
      <c r="A1227" s="106" t="s" ph="1">
        <v>1232</v>
      </c>
      <c r="B1227" s="5" t="s" ph="1">
        <v>1233</v>
      </c>
      <c r="C1227" s="13" t="s" ph="1">
        <v>3648</v>
      </c>
      <c r="G1227" s="13" t="s" ph="1">
        <v>1218</v>
      </c>
      <c r="I1227" s="13" t="s" ph="1">
        <v>6518</v>
      </c>
      <c r="M1227" s="14" t="str" ph="1">
        <f>IFERROR(INDEX([1]!_born[生没年],
MATCH(I1227,[1]!_born[作],0)),"")</f>
        <v/>
      </c>
      <c r="N1227" s="14" t="str" ph="1">
        <f>IFERROR(INDEX([1]!_born[生没年],
MATCH(K1227,[1]!_born[作],0)),"")</f>
        <v/>
      </c>
      <c r="O1227" s="13" t="s" ph="1">
        <v>6519</v>
      </c>
      <c r="R1227" s="16" t="s" ph="1">
        <v>1234</v>
      </c>
      <c r="S1227" s="13" t="s" ph="1">
        <v>6520</v>
      </c>
      <c r="T1227" s="13" t="s" ph="1">
        <v>6521</v>
      </c>
      <c r="U1227" s="16" t="s" ph="1">
        <v>1235</v>
      </c>
      <c r="V1227" s="17" ph="1">
        <f>571*1.05</f>
        <v>599.55000000000007</v>
      </c>
      <c r="W1227" s="17" ph="1">
        <f>571*1.05</f>
        <v>599.55000000000007</v>
      </c>
      <c r="X1227" s="5" t="s" ph="1">
        <v>6522</v>
      </c>
      <c r="Y1227" s="5" ph="1"/>
    </row>
    <row r="1228" spans="1:25" ht="22.5" customHeight="1" ph="1" x14ac:dyDescent="0.35">
      <c r="A1228" s="106" t="s" ph="1">
        <v>1236</v>
      </c>
      <c r="B1228" s="5" t="s" ph="1">
        <v>1233</v>
      </c>
      <c r="C1228" s="13" t="s" ph="1">
        <v>3648</v>
      </c>
      <c r="G1228" s="13" t="s" ph="1">
        <v>1218</v>
      </c>
      <c r="I1228" s="13" t="s" ph="1">
        <v>6523</v>
      </c>
      <c r="M1228" s="14" t="str" ph="1">
        <f>IFERROR(INDEX([1]!_born[生没年],
MATCH(I1228,[1]!_born[作],0)),"")</f>
        <v/>
      </c>
      <c r="N1228" s="14" t="str" ph="1">
        <f>IFERROR(INDEX([1]!_born[生没年],
MATCH(K1228,[1]!_born[作],0)),"")</f>
        <v/>
      </c>
      <c r="O1228" s="13" t="s" ph="1">
        <v>6524</v>
      </c>
      <c r="R1228" s="16" t="s" ph="1">
        <v>1237</v>
      </c>
      <c r="S1228" s="13" t="s" ph="1">
        <v>6525</v>
      </c>
      <c r="T1228" s="13" t="s" ph="1">
        <v>6521</v>
      </c>
      <c r="U1228" s="16" t="s" ph="1">
        <v>1235</v>
      </c>
      <c r="V1228" s="17" ph="1">
        <f>571*1.05</f>
        <v>599.55000000000007</v>
      </c>
      <c r="W1228" s="17" ph="1">
        <f>571*1.05</f>
        <v>599.55000000000007</v>
      </c>
      <c r="X1228" s="5" t="s" ph="1">
        <v>6522</v>
      </c>
      <c r="Y1228" s="5" ph="1"/>
    </row>
    <row r="1229" spans="1:25" ht="22.5" customHeight="1" ph="1" x14ac:dyDescent="0.35">
      <c r="C1229" s="13" t="s" ph="1">
        <v>3648</v>
      </c>
      <c r="G1229" s="13" t="s" ph="1">
        <v>1218</v>
      </c>
      <c r="I1229" s="13" t="s" ph="1">
        <v>264</v>
      </c>
      <c r="M1229" s="14" t="str" ph="1">
        <f>IFERROR(INDEX([1]!_born[生没年],
MATCH(I1229,[1]!_born[作],0)),"")</f>
        <v/>
      </c>
      <c r="N1229" s="14" t="str" ph="1">
        <f>IFERROR(INDEX([1]!_born[生没年],
MATCH(K1229,[1]!_born[作],0)),"")</f>
        <v/>
      </c>
      <c r="O1229" s="13" t="s" ph="1">
        <v>6526</v>
      </c>
      <c r="R1229" s="16" t="s" ph="1">
        <v>1238</v>
      </c>
      <c r="T1229" s="13" t="s" ph="1">
        <v>6527</v>
      </c>
      <c r="V1229" s="17" ph="1">
        <f>1000*1.05</f>
        <v>1050</v>
      </c>
      <c r="W1229" s="17" ph="1">
        <v>400</v>
      </c>
      <c r="X1229" s="5" t="s" ph="1">
        <v>3802</v>
      </c>
      <c r="Y1229" s="5" t="s" ph="1">
        <v>6528</v>
      </c>
    </row>
    <row r="1230" spans="1:25" ht="22.5" customHeight="1" ph="1" x14ac:dyDescent="0.35">
      <c r="C1230" s="13" t="s" ph="1">
        <v>3648</v>
      </c>
      <c r="G1230" s="13" t="s" ph="1">
        <v>1218</v>
      </c>
      <c r="I1230" s="13" t="s" ph="1">
        <v>265</v>
      </c>
      <c r="M1230" s="14" t="str" ph="1">
        <f>IFERROR(INDEX([1]!_born[生没年],
MATCH(I1230,[1]!_born[作],0)),"")</f>
        <v/>
      </c>
      <c r="N1230" s="14" t="str" ph="1">
        <f>IFERROR(INDEX([1]!_born[生没年],
MATCH(K1230,[1]!_born[作],0)),"")</f>
        <v/>
      </c>
      <c r="O1230" s="13" t="s" ph="1">
        <v>6529</v>
      </c>
      <c r="R1230" s="16" t="s" ph="1">
        <v>1238</v>
      </c>
      <c r="T1230" s="13" t="s" ph="1">
        <v>6527</v>
      </c>
      <c r="V1230" s="17" ph="1">
        <f>1200*1.05</f>
        <v>1260</v>
      </c>
      <c r="W1230" s="17" ph="1">
        <v>500</v>
      </c>
      <c r="X1230" s="5" t="s" ph="1">
        <v>3802</v>
      </c>
      <c r="Y1230" s="5" t="s" ph="1">
        <v>6528</v>
      </c>
    </row>
    <row r="1231" spans="1:25" ht="22.5" customHeight="1" ph="1" x14ac:dyDescent="0.35">
      <c r="C1231" s="13" t="s" ph="1">
        <v>3648</v>
      </c>
      <c r="G1231" s="13" t="s" ph="1">
        <v>1218</v>
      </c>
      <c r="I1231" s="13" t="s" ph="1">
        <v>263</v>
      </c>
      <c r="M1231" s="14" t="str" ph="1">
        <f>IFERROR(INDEX([1]!_born[生没年],
MATCH(I1231,[1]!_born[作],0)),"")</f>
        <v/>
      </c>
      <c r="N1231" s="14" t="str" ph="1">
        <f>IFERROR(INDEX([1]!_born[生没年],
MATCH(K1231,[1]!_born[作],0)),"")</f>
        <v/>
      </c>
      <c r="O1231" s="13" t="s" ph="1">
        <v>6530</v>
      </c>
      <c r="R1231" s="16" t="s" ph="1">
        <v>1239</v>
      </c>
      <c r="S1231" s="13" t="s" ph="1">
        <v>6531</v>
      </c>
      <c r="T1231" s="13" t="s" ph="1">
        <v>6532</v>
      </c>
      <c r="V1231" s="17" ph="1">
        <f>952*1.05</f>
        <v>999.6</v>
      </c>
      <c r="W1231" s="17" ph="1">
        <v>450</v>
      </c>
      <c r="X1231" s="5" t="s" ph="1">
        <v>3802</v>
      </c>
      <c r="Y1231" s="5" t="s" ph="1">
        <v>6528</v>
      </c>
    </row>
    <row r="1232" spans="1:25" ht="22.5" customHeight="1" ph="1" x14ac:dyDescent="0.35">
      <c r="C1232" s="13" t="s" ph="1">
        <v>3648</v>
      </c>
      <c r="G1232" s="13" t="s" ph="1">
        <v>1218</v>
      </c>
      <c r="I1232" s="13" t="s" ph="1">
        <v>6533</v>
      </c>
      <c r="M1232" s="14" t="str" ph="1">
        <f>IFERROR(INDEX([1]!_born[生没年],
MATCH(I1232,[1]!_born[作],0)),"")</f>
        <v/>
      </c>
      <c r="N1232" s="14" t="str" ph="1">
        <f>IFERROR(INDEX([1]!_born[生没年],
MATCH(K1232,[1]!_born[作],0)),"")</f>
        <v/>
      </c>
      <c r="O1232" s="13" t="s" ph="1">
        <v>6534</v>
      </c>
      <c r="S1232" s="13" t="s" ph="1">
        <v>1240</v>
      </c>
      <c r="T1232" s="13" t="s" ph="1">
        <v>6535</v>
      </c>
      <c r="U1232" s="16" ph="1">
        <v>36735</v>
      </c>
      <c r="V1232" s="17" ph="1">
        <f>857*1.05</f>
        <v>899.85</v>
      </c>
      <c r="W1232" s="17"/>
      <c r="X1232" s="5" t="s" ph="1">
        <v>6536</v>
      </c>
      <c r="Y1232" s="5" t="s" ph="1">
        <v>6537</v>
      </c>
    </row>
    <row r="1233" spans="1:25" ht="22.5" customHeight="1" ph="1" x14ac:dyDescent="0.35">
      <c r="C1233" s="13" t="s" ph="1">
        <v>3648</v>
      </c>
      <c r="G1233" s="13" t="s" ph="1">
        <v>1218</v>
      </c>
      <c r="I1233" s="13" t="s" ph="1">
        <v>681</v>
      </c>
      <c r="M1233" s="14" t="str" ph="1">
        <f>IFERROR(INDEX([1]!_born[生没年],
MATCH(I1233,[1]!_born[作],0)),"")</f>
        <v/>
      </c>
      <c r="N1233" s="14" t="str" ph="1">
        <f>IFERROR(INDEX([1]!_born[生没年],
MATCH(K1233,[1]!_born[作],0)),"")</f>
        <v/>
      </c>
      <c r="O1233" s="13" t="s" ph="1">
        <v>681</v>
      </c>
      <c r="R1233" s="16" t="s" ph="1">
        <v>1239</v>
      </c>
      <c r="S1233" s="13" t="s" ph="1">
        <v>1241</v>
      </c>
      <c r="V1233" s="17" ph="1">
        <v>1200</v>
      </c>
    </row>
    <row r="1234" spans="1:25" ht="22.5" customHeight="1" ph="1" x14ac:dyDescent="0.35">
      <c r="C1234" s="13" t="s" ph="1">
        <v>3648</v>
      </c>
      <c r="G1234" s="13" t="s" ph="1">
        <v>1218</v>
      </c>
      <c r="I1234" s="13" t="s" ph="1">
        <v>1242</v>
      </c>
      <c r="M1234" s="14" t="str" ph="1">
        <f>IFERROR(INDEX([1]!_born[生没年],
MATCH(I1234,[1]!_born[作],0)),"")</f>
        <v/>
      </c>
      <c r="N1234" s="14" t="str" ph="1">
        <f>IFERROR(INDEX([1]!_born[生没年],
MATCH(K1234,[1]!_born[作],0)),"")</f>
        <v/>
      </c>
      <c r="R1234" s="16" t="s" ph="1">
        <v>1243</v>
      </c>
      <c r="S1234" s="13" t="s" ph="1">
        <v>1244</v>
      </c>
      <c r="V1234" s="17" ph="1">
        <v>390</v>
      </c>
      <c r="X1234" s="13" t="s" ph="1">
        <v>1245</v>
      </c>
    </row>
    <row r="1235" spans="1:25" ht="22.5" customHeight="1" ph="1" x14ac:dyDescent="0.35">
      <c r="A1235" s="106" t="s" ph="1">
        <v>1246</v>
      </c>
      <c r="B1235" s="5" t="s" ph="1">
        <v>1247</v>
      </c>
      <c r="C1235" s="13" t="s" ph="1">
        <v>3648</v>
      </c>
      <c r="G1235" s="13" t="s" ph="1">
        <v>3624</v>
      </c>
      <c r="I1235" s="13" t="s" ph="1">
        <v>6538</v>
      </c>
      <c r="M1235" s="14" t="str" ph="1">
        <f>IFERROR(INDEX([1]!_born[生没年],
MATCH(I1235,[1]!_born[作],0)),"")</f>
        <v/>
      </c>
      <c r="N1235" s="14" t="str" ph="1">
        <f>IFERROR(INDEX([1]!_born[生没年],
MATCH(K1235,[1]!_born[作],0)),"")</f>
        <v/>
      </c>
      <c r="O1235" s="13" t="s" ph="1">
        <v>6539</v>
      </c>
      <c r="R1235" s="16" t="s" ph="1">
        <v>1248</v>
      </c>
      <c r="S1235" s="13" t="s" ph="1">
        <v>6540</v>
      </c>
      <c r="T1235" s="13" t="s" ph="1">
        <v>1249</v>
      </c>
      <c r="U1235" s="16" ph="1">
        <v>39416</v>
      </c>
      <c r="V1235" s="17" ph="1">
        <f>1900*1.05</f>
        <v>1995</v>
      </c>
      <c r="W1235" s="17" ph="1">
        <f>1900*1.05</f>
        <v>1995</v>
      </c>
      <c r="X1235" s="13" t="s" ph="1">
        <v>6541</v>
      </c>
    </row>
    <row r="1236" spans="1:25" ht="22.5" customHeight="1" ph="1" x14ac:dyDescent="0.35">
      <c r="C1236" s="13" t="s" ph="1">
        <v>3648</v>
      </c>
      <c r="G1236" s="13" t="s" ph="1">
        <v>1218</v>
      </c>
      <c r="H1236" s="13" t="s" ph="1">
        <v>1219</v>
      </c>
      <c r="I1236" s="13" t="s" ph="1">
        <v>6542</v>
      </c>
      <c r="M1236" s="14" t="str" ph="1">
        <f>IFERROR(INDEX([1]!_born[生没年],
MATCH(I1236,[1]!_born[作],0)),"")</f>
        <v/>
      </c>
      <c r="N1236" s="14" t="str" ph="1">
        <f>IFERROR(INDEX([1]!_born[生没年],
MATCH(K1236,[1]!_born[作],0)),"")</f>
        <v/>
      </c>
      <c r="O1236" s="13" t="s" ph="1">
        <v>6543</v>
      </c>
      <c r="R1236" s="16" t="s" ph="1">
        <v>1250</v>
      </c>
      <c r="T1236" s="13" t="s" ph="1">
        <v>6542</v>
      </c>
      <c r="U1236" s="16" ph="1">
        <v>39313</v>
      </c>
      <c r="V1236" s="17" ph="1">
        <f>752*1.05</f>
        <v>789.6</v>
      </c>
      <c r="W1236" s="17" ph="1">
        <f>752*1.05</f>
        <v>789.6</v>
      </c>
    </row>
    <row r="1237" spans="1:25" ht="22.5" customHeight="1" ph="1" x14ac:dyDescent="0.35">
      <c r="C1237" s="13" t="s" ph="1">
        <v>3648</v>
      </c>
      <c r="G1237" s="13" t="s" ph="1">
        <v>1218</v>
      </c>
      <c r="I1237" s="13" t="s" ph="1">
        <v>6544</v>
      </c>
      <c r="M1237" s="14" t="str" ph="1">
        <f>IFERROR(INDEX([1]!_born[生没年],
MATCH(I1237,[1]!_born[作],0)),"")</f>
        <v/>
      </c>
      <c r="N1237" s="14" t="str" ph="1">
        <f>IFERROR(INDEX([1]!_born[生没年],
MATCH(K1237,[1]!_born[作],0)),"")</f>
        <v/>
      </c>
      <c r="O1237" s="13" t="s" ph="1">
        <v>6545</v>
      </c>
      <c r="R1237" s="16" t="s" ph="1">
        <v>6546</v>
      </c>
      <c r="V1237" s="17" ph="1">
        <v>390</v>
      </c>
    </row>
    <row r="1238" spans="1:25" ht="22.5" customHeight="1" ph="1" x14ac:dyDescent="0.35">
      <c r="C1238" s="13" t="s" ph="1">
        <v>3648</v>
      </c>
      <c r="G1238" s="13" t="s" ph="1">
        <v>1218</v>
      </c>
      <c r="I1238" s="24" t="s" ph="1">
        <v>6547</v>
      </c>
      <c r="M1238" s="14" t="str" ph="1">
        <f>IFERROR(INDEX([1]!_born[生没年],
MATCH(I1238,[1]!_born[作],0)),"")</f>
        <v/>
      </c>
      <c r="N1238" s="14" t="str" ph="1">
        <f>IFERROR(INDEX([1]!_born[生没年],
MATCH(K1238,[1]!_born[作],0)),"")</f>
        <v/>
      </c>
      <c r="O1238" s="24" t="s" ph="1">
        <v>6547</v>
      </c>
    </row>
    <row r="1239" spans="1:25" ht="22.5" customHeight="1" ph="1" x14ac:dyDescent="0.35">
      <c r="C1239" s="13" t="s" ph="1">
        <v>3648</v>
      </c>
      <c r="G1239" s="13" t="s" ph="1">
        <v>1218</v>
      </c>
      <c r="I1239" s="24" t="s" ph="1">
        <v>6548</v>
      </c>
      <c r="M1239" s="14" t="str" ph="1">
        <f>IFERROR(INDEX([1]!_born[生没年],
MATCH(I1239,[1]!_born[作],0)),"")</f>
        <v/>
      </c>
      <c r="N1239" s="14" t="str" ph="1">
        <f>IFERROR(INDEX([1]!_born[生没年],
MATCH(K1239,[1]!_born[作],0)),"")</f>
        <v/>
      </c>
      <c r="O1239" s="24" t="s" ph="1">
        <v>6548</v>
      </c>
    </row>
    <row r="1240" spans="1:25" ht="22.5" customHeight="1" ph="1" x14ac:dyDescent="0.35">
      <c r="C1240" s="13" t="s" ph="1">
        <v>6459</v>
      </c>
      <c r="G1240" s="13" t="s" ph="1">
        <v>1218</v>
      </c>
      <c r="I1240" s="13" t="s" ph="1">
        <v>1251</v>
      </c>
      <c r="M1240" s="14" t="str" ph="1">
        <f>IFERROR(INDEX([1]!_born[生没年],
MATCH(I1240,[1]!_born[作],0)),"")</f>
        <v/>
      </c>
      <c r="N1240" s="14" t="str" ph="1">
        <f>IFERROR(INDEX([1]!_born[生没年],
MATCH(K1240,[1]!_born[作],0)),"")</f>
        <v/>
      </c>
      <c r="O1240" s="13" t="s" ph="1">
        <v>6549</v>
      </c>
      <c r="T1240" s="13" t="s" ph="1">
        <v>509</v>
      </c>
    </row>
    <row r="1241" spans="1:25" ht="22.5" customHeight="1" ph="1" x14ac:dyDescent="0.35">
      <c r="C1241" s="13" t="s" ph="1">
        <v>6459</v>
      </c>
      <c r="G1241" s="13" t="s" ph="1">
        <v>3884</v>
      </c>
      <c r="I1241" s="13" t="s" ph="1">
        <v>6550</v>
      </c>
      <c r="M1241" s="14" t="str" ph="1">
        <f>IFERROR(INDEX([1]!_born[生没年],
MATCH(I1241,[1]!_born[作],0)),"")</f>
        <v/>
      </c>
      <c r="N1241" s="14" t="str" ph="1">
        <f>IFERROR(INDEX([1]!_born[生没年],
MATCH(K1241,[1]!_born[作],0)),"")</f>
        <v/>
      </c>
      <c r="O1241" s="13" t="s" ph="1">
        <v>6551</v>
      </c>
      <c r="T1241" s="13" t="s" ph="1">
        <v>6552</v>
      </c>
      <c r="W1241" s="17" ph="1">
        <v>0</v>
      </c>
    </row>
    <row r="1242" spans="1:25" ht="22.5" customHeight="1" ph="1" x14ac:dyDescent="0.35">
      <c r="C1242" s="13" t="s" ph="1">
        <v>6459</v>
      </c>
      <c r="G1242" s="13" t="s" ph="1">
        <v>3884</v>
      </c>
      <c r="I1242" s="13" t="s" ph="1">
        <v>6553</v>
      </c>
      <c r="M1242" s="14" t="str" ph="1">
        <f>IFERROR(INDEX([1]!_born[生没年],
MATCH(I1242,[1]!_born[作],0)),"")</f>
        <v/>
      </c>
      <c r="N1242" s="14" t="str" ph="1">
        <f>IFERROR(INDEX([1]!_born[生没年],
MATCH(K1242,[1]!_born[作],0)),"")</f>
        <v/>
      </c>
      <c r="O1242" s="13" t="s" ph="1">
        <v>6554</v>
      </c>
      <c r="S1242" s="13" t="s" ph="1">
        <v>6555</v>
      </c>
      <c r="T1242" s="13" t="s" ph="1">
        <v>6552</v>
      </c>
      <c r="W1242" s="17" ph="1">
        <v>0</v>
      </c>
    </row>
    <row r="1243" spans="1:25" ht="22.5" customHeight="1" ph="1" x14ac:dyDescent="0.35">
      <c r="C1243" s="13" t="s" ph="1">
        <v>3648</v>
      </c>
      <c r="G1243" s="13" t="s" ph="1">
        <v>4758</v>
      </c>
      <c r="I1243" s="13" t="s" ph="1">
        <v>6556</v>
      </c>
      <c r="M1243" s="14" t="str" ph="1">
        <f>IFERROR(INDEX([1]!_born[生没年],
MATCH(I1243,[1]!_born[作],0)),"")</f>
        <v/>
      </c>
      <c r="N1243" s="14" t="str" ph="1">
        <f>IFERROR(INDEX([1]!_born[生没年],
MATCH(K1243,[1]!_born[作],0)),"")</f>
        <v/>
      </c>
      <c r="O1243" s="13" t="s" ph="1">
        <v>6557</v>
      </c>
      <c r="R1243" s="16" t="s" ph="1">
        <v>6558</v>
      </c>
      <c r="S1243" s="13" t="s" ph="1">
        <v>6559</v>
      </c>
      <c r="T1243" s="13" t="s" ph="1">
        <v>6560</v>
      </c>
      <c r="U1243" s="16" ph="1">
        <v>36770</v>
      </c>
      <c r="V1243" s="17" ph="1">
        <v>1300</v>
      </c>
      <c r="W1243" s="17" ph="1">
        <v>480</v>
      </c>
      <c r="X1243" s="5" t="s" ph="1">
        <v>3802</v>
      </c>
      <c r="Y1243" s="5" t="s" ph="1">
        <v>6528</v>
      </c>
    </row>
    <row r="1244" spans="1:25" ht="22.5" customHeight="1" ph="1" x14ac:dyDescent="0.35">
      <c r="A1244" s="106" t="s" ph="1">
        <v>1252</v>
      </c>
      <c r="B1244" s="5" t="s" ph="1">
        <v>1253</v>
      </c>
      <c r="C1244" s="13" t="s" ph="1">
        <v>3648</v>
      </c>
      <c r="G1244" s="13" t="s" ph="1">
        <v>1218</v>
      </c>
      <c r="H1244" s="13" t="s" ph="1">
        <v>1219</v>
      </c>
      <c r="I1244" s="13" t="s" ph="1">
        <v>6561</v>
      </c>
      <c r="M1244" s="14" t="str" ph="1">
        <f>IFERROR(INDEX([1]!_born[生没年],
MATCH(I1244,[1]!_born[作],0)),"")</f>
        <v/>
      </c>
      <c r="N1244" s="14" t="str" ph="1">
        <f>IFERROR(INDEX([1]!_born[生没年],
MATCH(K1244,[1]!_born[作],0)),"")</f>
        <v/>
      </c>
      <c r="O1244" s="13" t="s" ph="1">
        <v>6562</v>
      </c>
      <c r="R1244" s="16" t="s" ph="1">
        <v>1254</v>
      </c>
      <c r="T1244" s="13" t="s" ph="1">
        <v>6563</v>
      </c>
      <c r="U1244" s="16" ph="1">
        <v>38916</v>
      </c>
      <c r="V1244" s="17" ph="1">
        <f>1100*1.05</f>
        <v>1155</v>
      </c>
      <c r="W1244" s="17" ph="1">
        <f>1100*1.05</f>
        <v>1155</v>
      </c>
      <c r="X1244" s="13" t="s" ph="1">
        <v>3802</v>
      </c>
    </row>
    <row r="1245" spans="1:25" ht="22.5" customHeight="1" ph="1" x14ac:dyDescent="0.35">
      <c r="A1245" s="106" t="s" ph="1">
        <v>1255</v>
      </c>
      <c r="B1245" s="5" t="s" ph="1">
        <v>1253</v>
      </c>
      <c r="C1245" s="13" t="s" ph="1">
        <v>3648</v>
      </c>
      <c r="G1245" s="13" t="s" ph="1">
        <v>1218</v>
      </c>
      <c r="H1245" s="13" t="s" ph="1">
        <v>1219</v>
      </c>
      <c r="I1245" s="13" t="s" ph="1">
        <v>6561</v>
      </c>
      <c r="M1245" s="14" t="str" ph="1">
        <f>IFERROR(INDEX([1]!_born[生没年],
MATCH(I1245,[1]!_born[作],0)),"")</f>
        <v/>
      </c>
      <c r="N1245" s="14" t="str" ph="1">
        <f>IFERROR(INDEX([1]!_born[生没年],
MATCH(K1245,[1]!_born[作],0)),"")</f>
        <v/>
      </c>
      <c r="O1245" s="13" t="s" ph="1">
        <v>6564</v>
      </c>
      <c r="R1245" s="16" t="s" ph="1">
        <v>1256</v>
      </c>
      <c r="T1245" s="13" t="s" ph="1">
        <v>6563</v>
      </c>
      <c r="U1245" s="16" ph="1">
        <v>38916</v>
      </c>
      <c r="V1245" s="17" ph="1">
        <f>1100*1.05</f>
        <v>1155</v>
      </c>
      <c r="W1245" s="17" ph="1">
        <f>1100*1.05</f>
        <v>1155</v>
      </c>
      <c r="X1245" s="13" t="s" ph="1">
        <v>3802</v>
      </c>
    </row>
    <row r="1246" spans="1:25" ht="22.5" customHeight="1" ph="1" x14ac:dyDescent="0.35">
      <c r="C1246" s="13" t="s" ph="1">
        <v>3648</v>
      </c>
      <c r="G1246" s="13" t="s" ph="1">
        <v>4758</v>
      </c>
      <c r="H1246" s="13" t="s" ph="1">
        <v>1219</v>
      </c>
      <c r="I1246" s="13" t="s" ph="1">
        <v>6565</v>
      </c>
      <c r="K1246" s="13" t="s" ph="1">
        <v>3951</v>
      </c>
      <c r="M1246" s="14" t="str" ph="1">
        <f>IFERROR(INDEX([1]!_born[生没年],
MATCH(I1246,[1]!_born[作],0)),"")</f>
        <v/>
      </c>
      <c r="N1246" s="14" t="str" ph="1">
        <f>IFERROR(INDEX([1]!_born[生没年],
MATCH(K1246,[1]!_born[作],0)),"")</f>
        <v/>
      </c>
      <c r="O1246" s="13" t="s" ph="1">
        <v>3951</v>
      </c>
      <c r="T1246" s="13" t="s" ph="1">
        <v>3772</v>
      </c>
      <c r="V1246" s="17" ph="1">
        <v>1200</v>
      </c>
    </row>
    <row r="1247" spans="1:25" ht="22.5" customHeight="1" ph="1" x14ac:dyDescent="0.35">
      <c r="C1247" s="13" t="s" ph="1">
        <v>3648</v>
      </c>
      <c r="G1247" s="13" t="s" ph="1">
        <v>4758</v>
      </c>
      <c r="H1247" s="13" t="s" ph="1">
        <v>1257</v>
      </c>
      <c r="I1247" s="13" t="s" ph="1">
        <v>6566</v>
      </c>
      <c r="K1247" s="13" t="s" ph="1">
        <v>6567</v>
      </c>
      <c r="M1247" s="14" t="str" ph="1">
        <f>IFERROR(INDEX([1]!_born[生没年],
MATCH(I1247,[1]!_born[作],0)),"")</f>
        <v/>
      </c>
      <c r="N1247" s="14" t="str" ph="1">
        <f>IFERROR(INDEX([1]!_born[生没年],
MATCH(K1247,[1]!_born[作],0)),"")</f>
        <v/>
      </c>
      <c r="O1247" s="13" t="s" ph="1">
        <v>6568</v>
      </c>
      <c r="T1247" s="13" t="s" ph="1">
        <v>3772</v>
      </c>
      <c r="U1247" s="16" ph="1">
        <v>36743</v>
      </c>
      <c r="V1247" s="17" ph="1">
        <v>390</v>
      </c>
      <c r="W1247" s="17" ph="1">
        <v>1500</v>
      </c>
      <c r="X1247" s="5" t="s" ph="1">
        <v>4034</v>
      </c>
      <c r="Y1247" s="5" ph="1"/>
    </row>
    <row r="1248" spans="1:25" ht="22.5" customHeight="1" ph="1" x14ac:dyDescent="0.35">
      <c r="C1248" s="13" t="s" ph="1">
        <v>3648</v>
      </c>
      <c r="G1248" s="13" t="s" ph="1">
        <v>4758</v>
      </c>
      <c r="H1248" s="13" t="s" ph="1">
        <v>1257</v>
      </c>
      <c r="I1248" s="13" t="s" ph="1">
        <v>6569</v>
      </c>
      <c r="K1248" s="15" t="s" ph="1">
        <v>116</v>
      </c>
      <c r="M1248" s="14" t="str" ph="1">
        <f>IFERROR(INDEX([1]!_born[生没年],
MATCH(I1248,[1]!_born[作],0)),"")</f>
        <v/>
      </c>
      <c r="N1248" s="14" t="str" ph="1">
        <f>IFERROR(INDEX([1]!_born[生没年],
MATCH(K1248,[1]!_born[作],0)),"")</f>
        <v/>
      </c>
      <c r="O1248" s="13" t="s" ph="1">
        <v>6570</v>
      </c>
      <c r="T1248" s="13" t="s" ph="1">
        <v>3772</v>
      </c>
      <c r="U1248" s="16" ph="1">
        <v>36743</v>
      </c>
      <c r="V1248" s="17" ph="1">
        <v>680</v>
      </c>
      <c r="W1248" s="17" ph="1">
        <v>1200</v>
      </c>
      <c r="X1248" s="5" t="s" ph="1">
        <v>4034</v>
      </c>
      <c r="Y1248" s="5" ph="1"/>
    </row>
    <row r="1249" spans="1:24" ht="22.5" customHeight="1" ph="1" x14ac:dyDescent="0.35">
      <c r="C1249" s="13" t="s" ph="1">
        <v>3648</v>
      </c>
      <c r="G1249" s="13" t="s" ph="1">
        <v>4758</v>
      </c>
      <c r="H1249" s="13" t="s" ph="1">
        <v>1219</v>
      </c>
      <c r="I1249" s="13" t="s" ph="1">
        <v>6571</v>
      </c>
      <c r="K1249" s="13" t="s" ph="1">
        <v>16</v>
      </c>
      <c r="M1249" s="14" t="str" ph="1">
        <f>IFERROR(INDEX([1]!_born[生没年],
MATCH(I1249,[1]!_born[作],0)),"")</f>
        <v/>
      </c>
      <c r="N1249" s="14" t="str" ph="1">
        <f>IFERROR(INDEX([1]!_born[生没年],
MATCH(K1249,[1]!_born[作],0)),"")</f>
        <v/>
      </c>
      <c r="O1249" s="13" t="s" ph="1">
        <v>294</v>
      </c>
      <c r="T1249" s="13" t="s" ph="1">
        <v>3772</v>
      </c>
      <c r="V1249" s="17" ph="1">
        <v>880</v>
      </c>
    </row>
    <row r="1250" spans="1:24" ht="22.5" customHeight="1" ph="1" x14ac:dyDescent="0.35">
      <c r="C1250" s="13" t="s" ph="1">
        <v>3648</v>
      </c>
      <c r="G1250" s="13" t="s" ph="1">
        <v>4758</v>
      </c>
      <c r="H1250" s="13" t="s" ph="1">
        <v>1219</v>
      </c>
      <c r="I1250" s="13" t="s" ph="1">
        <v>6572</v>
      </c>
      <c r="K1250" s="13" t="s" ph="1">
        <v>276</v>
      </c>
      <c r="M1250" s="14" t="str" ph="1">
        <f>IFERROR(INDEX([1]!_born[生没年],
MATCH(I1250,[1]!_born[作],0)),"")</f>
        <v/>
      </c>
      <c r="N1250" s="14" t="str" ph="1">
        <f>IFERROR(INDEX([1]!_born[生没年],
MATCH(K1250,[1]!_born[作],0)),"")</f>
        <v/>
      </c>
      <c r="O1250" s="13" t="s" ph="1">
        <v>682</v>
      </c>
      <c r="T1250" s="13" t="s" ph="1">
        <v>3772</v>
      </c>
      <c r="V1250" s="17" ph="1">
        <v>880</v>
      </c>
    </row>
    <row r="1251" spans="1:24" ht="22.5" customHeight="1" ph="1" x14ac:dyDescent="0.35">
      <c r="A1251" s="106" t="s" ph="1">
        <v>2941</v>
      </c>
      <c r="B1251" s="5" t="s" ph="1">
        <v>1259</v>
      </c>
      <c r="C1251" s="13" t="s" ph="1">
        <v>3648</v>
      </c>
      <c r="G1251" s="13" t="s" ph="1">
        <v>4758</v>
      </c>
      <c r="H1251" s="13" t="s" ph="1">
        <v>61</v>
      </c>
      <c r="I1251" s="13" t="s" ph="1">
        <v>6573</v>
      </c>
      <c r="K1251" s="13" t="s" ph="1">
        <v>2939</v>
      </c>
      <c r="M1251" s="14" t="str" ph="1">
        <f>IFERROR(INDEX([1]!_born[生没年],
MATCH(I1251,[1]!_born[作],0)),"")</f>
        <v/>
      </c>
      <c r="N1251" s="14" t="str" ph="1">
        <f>IFERROR(INDEX([1]!_born[生没年],
MATCH(K1251,[1]!_born[作],0)),"")</f>
        <v/>
      </c>
      <c r="O1251" s="13" t="s" ph="1">
        <v>6574</v>
      </c>
      <c r="R1251" s="16" ph="1">
        <v>31321</v>
      </c>
      <c r="T1251" s="13" t="s" ph="1">
        <v>3772</v>
      </c>
      <c r="U1251" s="16" t="s" ph="1">
        <v>2938</v>
      </c>
      <c r="V1251" s="17" ph="1">
        <v>980</v>
      </c>
      <c r="W1251" s="17" ph="1">
        <v>300</v>
      </c>
      <c r="X1251" s="16" t="s" ph="1">
        <v>2940</v>
      </c>
    </row>
    <row r="1252" spans="1:24" ht="22.5" customHeight="1" ph="1" x14ac:dyDescent="0.35">
      <c r="A1252" s="106" t="s" ph="1">
        <v>2936</v>
      </c>
      <c r="B1252" s="5" t="s" ph="1">
        <v>1259</v>
      </c>
      <c r="C1252" s="13" t="s" ph="1">
        <v>3648</v>
      </c>
      <c r="G1252" s="13" t="s" ph="1">
        <v>4758</v>
      </c>
      <c r="H1252" s="13" t="s" ph="1">
        <v>1219</v>
      </c>
      <c r="I1252" s="13" t="s" ph="1">
        <v>6575</v>
      </c>
      <c r="K1252" s="13" t="s" ph="1">
        <v>6576</v>
      </c>
      <c r="M1252" s="14" t="str" ph="1">
        <f>IFERROR(INDEX([1]!_born[生没年],
MATCH(I1252,[1]!_born[作],0)),"")</f>
        <v/>
      </c>
      <c r="N1252" s="14" t="str" ph="1">
        <f>IFERROR(INDEX([1]!_born[生没年],
MATCH(K1252,[1]!_born[作],0)),"")</f>
        <v/>
      </c>
      <c r="O1252" s="13" t="s" ph="1">
        <v>6577</v>
      </c>
      <c r="R1252" s="16" ph="1">
        <v>32325</v>
      </c>
      <c r="T1252" s="13" t="s" ph="1">
        <v>3772</v>
      </c>
      <c r="U1252" s="16" t="s" ph="1">
        <v>2937</v>
      </c>
      <c r="V1252" s="17" ph="1">
        <v>980</v>
      </c>
      <c r="W1252" s="17" ph="1">
        <v>200</v>
      </c>
      <c r="X1252" s="16" t="s" ph="1">
        <v>2940</v>
      </c>
    </row>
    <row r="1253" spans="1:24" ht="22.5" customHeight="1" ph="1" x14ac:dyDescent="0.35">
      <c r="C1253" s="13" t="s" ph="1">
        <v>3648</v>
      </c>
      <c r="G1253" s="13" t="s" ph="1">
        <v>4758</v>
      </c>
      <c r="H1253" s="13" t="s" ph="1">
        <v>1219</v>
      </c>
      <c r="I1253" s="13" t="s" ph="1">
        <v>6578</v>
      </c>
      <c r="K1253" s="13" t="s" ph="1">
        <v>4991</v>
      </c>
      <c r="M1253" s="14" t="str" ph="1">
        <f>IFERROR(INDEX([1]!_born[生没年],
MATCH(I1253,[1]!_born[作],0)),"")</f>
        <v/>
      </c>
      <c r="N1253" s="14" t="str" ph="1">
        <f>IFERROR(INDEX([1]!_born[生没年],
MATCH(K1253,[1]!_born[作],0)),"")</f>
        <v/>
      </c>
      <c r="O1253" s="13" t="s" ph="1">
        <v>4991</v>
      </c>
      <c r="T1253" s="13" t="s" ph="1">
        <v>3772</v>
      </c>
      <c r="U1253" s="16" ph="1">
        <v>36818</v>
      </c>
      <c r="V1253" s="17" ph="1">
        <f>1238*1.05</f>
        <v>1299.9000000000001</v>
      </c>
      <c r="W1253" s="17" ph="1">
        <f>1238*1.05</f>
        <v>1299.9000000000001</v>
      </c>
    </row>
    <row r="1254" spans="1:24" ht="22.5" customHeight="1" ph="1" x14ac:dyDescent="0.35">
      <c r="A1254" s="106" t="s" ph="1">
        <v>1258</v>
      </c>
      <c r="B1254" s="5" t="s" ph="1">
        <v>1259</v>
      </c>
      <c r="C1254" s="13" t="s" ph="1">
        <v>3648</v>
      </c>
      <c r="G1254" s="13" t="s" ph="1">
        <v>1260</v>
      </c>
      <c r="H1254" s="13" t="s" ph="1">
        <v>61</v>
      </c>
      <c r="I1254" s="13" t="s" ph="1">
        <v>6579</v>
      </c>
      <c r="K1254" s="13" t="s" ph="1">
        <v>6580</v>
      </c>
      <c r="M1254" s="14" t="str" ph="1">
        <f>IFERROR(INDEX([1]!_born[生没年],
MATCH(I1254,[1]!_born[作],0)),"")</f>
        <v/>
      </c>
      <c r="N1254" s="14" t="str" ph="1">
        <f>IFERROR(INDEX([1]!_born[生没年],
MATCH(K1254,[1]!_born[作],0)),"")</f>
        <v/>
      </c>
      <c r="O1254" s="13" t="s" ph="1">
        <v>6581</v>
      </c>
      <c r="T1254" s="13" t="s" ph="1">
        <v>3772</v>
      </c>
      <c r="U1254" s="16" ph="1">
        <v>38916</v>
      </c>
      <c r="V1254" s="17" ph="1">
        <f>1238*1.05</f>
        <v>1299.9000000000001</v>
      </c>
      <c r="W1254" s="17" ph="1">
        <f>1238*1.05</f>
        <v>1299.9000000000001</v>
      </c>
      <c r="X1254" s="13" t="s" ph="1">
        <v>3802</v>
      </c>
    </row>
    <row r="1255" spans="1:24" ht="22.5" customHeight="1" ph="1" x14ac:dyDescent="0.35">
      <c r="C1255" s="13" t="s" ph="1">
        <v>3648</v>
      </c>
      <c r="G1255" s="13" t="s" ph="1">
        <v>4758</v>
      </c>
      <c r="H1255" s="13" t="s" ph="1">
        <v>1219</v>
      </c>
      <c r="I1255" s="13" t="s" ph="1">
        <v>6582</v>
      </c>
      <c r="K1255" s="13" t="s" ph="1">
        <v>3951</v>
      </c>
      <c r="M1255" s="14" t="str" ph="1">
        <f>IFERROR(INDEX([1]!_born[生没年],
MATCH(I1255,[1]!_born[作],0)),"")</f>
        <v/>
      </c>
      <c r="N1255" s="14" t="str" ph="1">
        <f>IFERROR(INDEX([1]!_born[生没年],
MATCH(K1255,[1]!_born[作],0)),"")</f>
        <v/>
      </c>
      <c r="O1255" s="13" t="s" ph="1">
        <v>6583</v>
      </c>
      <c r="S1255" s="13" t="s" ph="1">
        <v>6584</v>
      </c>
      <c r="T1255" s="13" t="s" ph="1">
        <v>6585</v>
      </c>
      <c r="V1255" s="17" ph="1">
        <v>1545</v>
      </c>
    </row>
    <row r="1256" spans="1:24" ht="22.5" customHeight="1" ph="1" x14ac:dyDescent="0.35">
      <c r="C1256" s="13" t="s" ph="1">
        <v>3648</v>
      </c>
      <c r="G1256" s="13" t="s" ph="1">
        <v>4758</v>
      </c>
      <c r="H1256" s="13" t="s" ph="1">
        <v>1219</v>
      </c>
      <c r="I1256" s="13" t="s" ph="1">
        <v>6582</v>
      </c>
      <c r="K1256" s="13" t="s" ph="1">
        <v>3951</v>
      </c>
      <c r="M1256" s="14" t="str" ph="1">
        <f>IFERROR(INDEX([1]!_born[生没年],
MATCH(I1256,[1]!_born[作],0)),"")</f>
        <v/>
      </c>
      <c r="N1256" s="14" t="str" ph="1">
        <f>IFERROR(INDEX([1]!_born[生没年],
MATCH(K1256,[1]!_born[作],0)),"")</f>
        <v/>
      </c>
      <c r="O1256" s="13" t="s" ph="1">
        <v>6586</v>
      </c>
      <c r="S1256" s="13" t="s" ph="1">
        <v>6584</v>
      </c>
      <c r="T1256" s="13" t="s" ph="1">
        <v>6585</v>
      </c>
      <c r="V1256" s="17" ph="1">
        <v>1545</v>
      </c>
    </row>
    <row r="1257" spans="1:24" ht="22.5" customHeight="1" ph="1" x14ac:dyDescent="0.35">
      <c r="C1257" s="13" t="s" ph="1">
        <v>3648</v>
      </c>
      <c r="G1257" s="13" t="s" ph="1">
        <v>4758</v>
      </c>
      <c r="H1257" s="13" t="s" ph="1">
        <v>1219</v>
      </c>
      <c r="I1257" s="13" t="s" ph="1">
        <v>6587</v>
      </c>
      <c r="M1257" s="14" t="str" ph="1">
        <f>IFERROR(INDEX([1]!_born[生没年],
MATCH(I1257,[1]!_born[作],0)),"")</f>
        <v/>
      </c>
      <c r="N1257" s="14" t="str" ph="1">
        <f>IFERROR(INDEX([1]!_born[生没年],
MATCH(K1257,[1]!_born[作],0)),"")</f>
        <v/>
      </c>
      <c r="O1257" s="13" t="s" ph="1">
        <v>6588</v>
      </c>
      <c r="S1257" s="13" t="s" ph="1">
        <v>6589</v>
      </c>
      <c r="T1257" s="13" t="s" ph="1">
        <v>41</v>
      </c>
      <c r="V1257" s="17" ph="1">
        <f>1500*1.05</f>
        <v>1575</v>
      </c>
    </row>
    <row r="1258" spans="1:24" ht="22.5" customHeight="1" ph="1" x14ac:dyDescent="0.35">
      <c r="C1258" s="13" t="s" ph="1">
        <v>3648</v>
      </c>
      <c r="G1258" s="13" t="s" ph="1">
        <v>4758</v>
      </c>
      <c r="H1258" s="13" t="s" ph="1">
        <v>1219</v>
      </c>
      <c r="I1258" s="13" t="s" ph="1">
        <v>6590</v>
      </c>
      <c r="K1258" s="13" t="s" ph="1">
        <v>6591</v>
      </c>
      <c r="M1258" s="14" t="str" ph="1">
        <f>IFERROR(INDEX([1]!_born[生没年],
MATCH(I1258,[1]!_born[作],0)),"")</f>
        <v/>
      </c>
      <c r="N1258" s="14" t="str" ph="1">
        <f>IFERROR(INDEX([1]!_born[生没年],
MATCH(K1258,[1]!_born[作],0)),"")</f>
        <v/>
      </c>
      <c r="O1258" s="13" t="s" ph="1">
        <v>6592</v>
      </c>
      <c r="S1258" s="13" t="s" ph="1">
        <v>6590</v>
      </c>
      <c r="T1258" s="13" t="s" ph="1">
        <v>3958</v>
      </c>
      <c r="V1258" s="17" ph="1">
        <v>880</v>
      </c>
    </row>
    <row r="1259" spans="1:24" ht="22.5" customHeight="1" ph="1" x14ac:dyDescent="0.35">
      <c r="C1259" s="13" t="s" ph="1">
        <v>3648</v>
      </c>
      <c r="G1259" s="13" t="s" ph="1">
        <v>4758</v>
      </c>
      <c r="H1259" s="13" t="s" ph="1">
        <v>1219</v>
      </c>
      <c r="I1259" s="13" t="s" ph="1">
        <v>6590</v>
      </c>
      <c r="K1259" s="13" t="s" ph="1">
        <v>4991</v>
      </c>
      <c r="M1259" s="14" t="str" ph="1">
        <f>IFERROR(INDEX([1]!_born[生没年],
MATCH(I1259,[1]!_born[作],0)),"")</f>
        <v/>
      </c>
      <c r="N1259" s="14" t="str" ph="1">
        <f>IFERROR(INDEX([1]!_born[生没年],
MATCH(K1259,[1]!_born[作],0)),"")</f>
        <v/>
      </c>
      <c r="O1259" s="13" t="s" ph="1">
        <v>6593</v>
      </c>
      <c r="S1259" s="13" t="s" ph="1">
        <v>6590</v>
      </c>
      <c r="T1259" s="13" t="s" ph="1">
        <v>3958</v>
      </c>
      <c r="V1259" s="17" ph="1">
        <v>1200</v>
      </c>
    </row>
    <row r="1260" spans="1:24" ht="22.5" customHeight="1" ph="1" x14ac:dyDescent="0.35">
      <c r="C1260" s="13" t="s" ph="1">
        <v>3648</v>
      </c>
      <c r="G1260" s="13" t="s" ph="1">
        <v>4758</v>
      </c>
      <c r="H1260" s="13" t="s" ph="1">
        <v>1219</v>
      </c>
      <c r="I1260" s="13" t="s" ph="1">
        <v>6590</v>
      </c>
      <c r="K1260" s="13" t="s" ph="1">
        <v>3951</v>
      </c>
      <c r="M1260" s="14" t="str" ph="1">
        <f>IFERROR(INDEX([1]!_born[生没年],
MATCH(I1260,[1]!_born[作],0)),"")</f>
        <v/>
      </c>
      <c r="N1260" s="14" t="str" ph="1">
        <f>IFERROR(INDEX([1]!_born[生没年],
MATCH(K1260,[1]!_born[作],0)),"")</f>
        <v/>
      </c>
      <c r="O1260" s="13" t="s" ph="1">
        <v>6594</v>
      </c>
      <c r="S1260" s="13" t="s" ph="1">
        <v>6590</v>
      </c>
      <c r="T1260" s="13" t="s" ph="1">
        <v>3958</v>
      </c>
      <c r="V1260" s="17" ph="1">
        <v>1600</v>
      </c>
    </row>
    <row r="1261" spans="1:24" ht="22.5" customHeight="1" ph="1" x14ac:dyDescent="0.35">
      <c r="C1261" s="13" t="s" ph="1">
        <v>3648</v>
      </c>
      <c r="G1261" s="13" t="s" ph="1">
        <v>4758</v>
      </c>
      <c r="H1261" s="13" t="s" ph="1">
        <v>1219</v>
      </c>
      <c r="I1261" s="13" t="s" ph="1">
        <v>6590</v>
      </c>
      <c r="K1261" s="13" t="s" ph="1">
        <v>6595</v>
      </c>
      <c r="M1261" s="14" t="str" ph="1">
        <f>IFERROR(INDEX([1]!_born[生没年],
MATCH(I1261,[1]!_born[作],0)),"")</f>
        <v/>
      </c>
      <c r="N1261" s="14" t="str" ph="1">
        <f>IFERROR(INDEX([1]!_born[生没年],
MATCH(K1261,[1]!_born[作],0)),"")</f>
        <v/>
      </c>
      <c r="O1261" s="13" t="s" ph="1">
        <v>6596</v>
      </c>
      <c r="S1261" s="13" t="s" ph="1">
        <v>6590</v>
      </c>
      <c r="T1261" s="13" t="s" ph="1">
        <v>3958</v>
      </c>
      <c r="V1261" s="17" ph="1">
        <v>1600</v>
      </c>
    </row>
    <row r="1262" spans="1:24" ht="22.5" customHeight="1" ph="1" x14ac:dyDescent="0.35">
      <c r="C1262" s="13" t="s" ph="1">
        <v>3648</v>
      </c>
      <c r="G1262" s="13" t="s" ph="1">
        <v>4597</v>
      </c>
      <c r="H1262" s="13" t="s" ph="1">
        <v>4423</v>
      </c>
      <c r="I1262" s="24" t="s" ph="1">
        <v>6597</v>
      </c>
      <c r="M1262" s="14" t="str" ph="1">
        <f>IFERROR(INDEX([1]!_born[生没年],
MATCH(I1262,[1]!_born[作],0)),"")</f>
        <v/>
      </c>
      <c r="N1262" s="14" t="str" ph="1">
        <f>IFERROR(INDEX([1]!_born[生没年],
MATCH(K1262,[1]!_born[作],0)),"")</f>
        <v/>
      </c>
      <c r="O1262" s="24" t="s" ph="1">
        <v>6598</v>
      </c>
      <c r="S1262" s="13" t="s" ph="1">
        <v>6599</v>
      </c>
      <c r="T1262" s="13" t="s" ph="1">
        <v>4420</v>
      </c>
      <c r="U1262" s="16" t="s" ph="1">
        <v>1217</v>
      </c>
      <c r="W1262" s="17" ph="1">
        <v>0</v>
      </c>
    </row>
    <row r="1263" spans="1:24" ht="22.5" customHeight="1" ph="1" x14ac:dyDescent="0.35">
      <c r="C1263" s="13" t="s" ph="1">
        <v>3648</v>
      </c>
      <c r="G1263" s="13" t="s" ph="1">
        <v>4597</v>
      </c>
      <c r="H1263" s="13" t="s" ph="1">
        <v>4423</v>
      </c>
      <c r="I1263" s="24" t="s" ph="1">
        <v>6597</v>
      </c>
      <c r="M1263" s="14" t="str" ph="1">
        <f>IFERROR(INDEX([1]!_born[生没年],
MATCH(I1263,[1]!_born[作],0)),"")</f>
        <v/>
      </c>
      <c r="N1263" s="14" t="str" ph="1">
        <f>IFERROR(INDEX([1]!_born[生没年],
MATCH(K1263,[1]!_born[作],0)),"")</f>
        <v/>
      </c>
      <c r="O1263" s="24" t="s" ph="1">
        <v>6600</v>
      </c>
      <c r="R1263" s="16" t="s" ph="1">
        <v>1263</v>
      </c>
      <c r="T1263" s="13" t="s" ph="1">
        <v>3926</v>
      </c>
      <c r="U1263" s="16" t="s" ph="1">
        <v>1217</v>
      </c>
      <c r="W1263" s="17" ph="1">
        <v>0</v>
      </c>
    </row>
    <row r="1264" spans="1:24" ht="22.5" customHeight="1" ph="1" x14ac:dyDescent="0.35">
      <c r="C1264" s="13" t="s" ph="1">
        <v>3648</v>
      </c>
      <c r="G1264" s="13" t="s" ph="1">
        <v>1264</v>
      </c>
      <c r="I1264" s="13" t="s" ph="1">
        <v>6601</v>
      </c>
      <c r="M1264" s="14" t="str" ph="1">
        <f>IFERROR(INDEX([1]!_born[生没年],
MATCH(I1264,[1]!_born[作],0)),"")</f>
        <v/>
      </c>
      <c r="N1264" s="14" t="str" ph="1">
        <f>IFERROR(INDEX([1]!_born[生没年],
MATCH(K1264,[1]!_born[作],0)),"")</f>
        <v/>
      </c>
      <c r="O1264" s="13" t="s" ph="1">
        <v>6602</v>
      </c>
      <c r="S1264" s="13" t="s" ph="1">
        <v>6603</v>
      </c>
      <c r="T1264" s="13" t="s" ph="1">
        <v>4420</v>
      </c>
      <c r="U1264" s="16" t="s" ph="1">
        <v>1217</v>
      </c>
      <c r="V1264" s="17" ph="1">
        <v>980</v>
      </c>
    </row>
    <row r="1265" spans="1:25" ht="22.5" customHeight="1" ph="1" x14ac:dyDescent="0.35">
      <c r="C1265" s="13" t="s" ph="1">
        <v>3970</v>
      </c>
      <c r="G1265" s="13" t="s" ph="1">
        <v>1264</v>
      </c>
      <c r="H1265" s="13" t="s" ph="1">
        <v>4423</v>
      </c>
      <c r="I1265" s="13" t="s" ph="1">
        <v>6604</v>
      </c>
      <c r="K1265" s="13" t="s" ph="1">
        <v>6605</v>
      </c>
      <c r="L1265" s="13" t="s" ph="1">
        <v>6606</v>
      </c>
      <c r="M1265" s="14" t="str" ph="1">
        <f>IFERROR(INDEX([1]!_born[生没年],
MATCH(I1265,[1]!_born[作],0)),"")</f>
        <v/>
      </c>
      <c r="N1265" s="14" t="str" ph="1">
        <f>IFERROR(INDEX([1]!_born[生没年],
MATCH(K1265,[1]!_born[作],0)),"")</f>
        <v/>
      </c>
      <c r="O1265" s="13" t="s" ph="1">
        <v>6607</v>
      </c>
      <c r="T1265" s="13" t="s" ph="1">
        <v>6608</v>
      </c>
      <c r="U1265" s="16" t="s" ph="1">
        <v>1217</v>
      </c>
      <c r="W1265" s="17" ph="1">
        <v>0</v>
      </c>
    </row>
    <row r="1266" spans="1:25" ht="22.5" customHeight="1" ph="1" x14ac:dyDescent="0.35">
      <c r="C1266" s="13" t="s" ph="1">
        <v>3648</v>
      </c>
      <c r="G1266" s="13" t="s" ph="1">
        <v>3793</v>
      </c>
      <c r="H1266" s="13" t="s" ph="1">
        <v>1219</v>
      </c>
      <c r="I1266" s="13" t="s" ph="1">
        <v>6609</v>
      </c>
      <c r="M1266" s="14" t="str" ph="1">
        <f>IFERROR(INDEX([1]!_born[生没年],
MATCH(I1266,[1]!_born[作],0)),"")</f>
        <v/>
      </c>
      <c r="N1266" s="14" t="str" ph="1">
        <f>IFERROR(INDEX([1]!_born[生没年],
MATCH(K1266,[1]!_born[作],0)),"")</f>
        <v/>
      </c>
      <c r="O1266" s="13" t="s" ph="1">
        <v>6610</v>
      </c>
      <c r="R1266" s="16" t="s" ph="1">
        <v>2932</v>
      </c>
      <c r="S1266" s="13" t="s" ph="1">
        <v>1262</v>
      </c>
      <c r="T1266" s="13" t="s" ph="1">
        <v>6611</v>
      </c>
      <c r="V1266" s="17" ph="1">
        <v>750</v>
      </c>
    </row>
    <row r="1267" spans="1:25" ht="22.5" customHeight="1" ph="1" x14ac:dyDescent="0.35">
      <c r="C1267" s="13" t="s" ph="1">
        <v>3648</v>
      </c>
      <c r="G1267" s="13" t="s" ph="1">
        <v>3793</v>
      </c>
      <c r="H1267" s="13" t="s" ph="1">
        <v>1219</v>
      </c>
      <c r="M1267" s="14" t="str" ph="1">
        <f>IFERROR(INDEX([1]!_born[生没年],
MATCH(I1267,[1]!_born[作],0)),"")</f>
        <v/>
      </c>
      <c r="N1267" s="14" t="str" ph="1">
        <f>IFERROR(INDEX([1]!_born[生没年],
MATCH(K1267,[1]!_born[作],0)),"")</f>
        <v/>
      </c>
      <c r="O1267" s="13" t="s" ph="1">
        <v>6612</v>
      </c>
      <c r="T1267" s="13" t="s" ph="1">
        <v>6613</v>
      </c>
      <c r="U1267" s="16" t="s" ph="1">
        <v>1217</v>
      </c>
      <c r="W1267" s="17" ph="1">
        <v>0</v>
      </c>
    </row>
    <row r="1268" spans="1:25" ht="22.5" customHeight="1" ph="1" x14ac:dyDescent="0.35">
      <c r="C1268" s="13" t="s" ph="1">
        <v>3648</v>
      </c>
      <c r="G1268" s="13" t="s" ph="1">
        <v>3793</v>
      </c>
      <c r="H1268" s="13" t="s" ph="1">
        <v>1219</v>
      </c>
      <c r="I1268" s="13" t="s" ph="1">
        <v>6614</v>
      </c>
      <c r="M1268" s="14" t="str" ph="1">
        <f>IFERROR(INDEX([1]!_born[生没年],
MATCH(I1268,[1]!_born[作],0)),"")</f>
        <v/>
      </c>
      <c r="N1268" s="14" t="str" ph="1">
        <f>IFERROR(INDEX([1]!_born[生没年],
MATCH(K1268,[1]!_born[作],0)),"")</f>
        <v/>
      </c>
      <c r="O1268" s="13" t="s" ph="1">
        <v>6615</v>
      </c>
      <c r="S1268" s="13" t="s" ph="1">
        <v>6616</v>
      </c>
      <c r="T1268" s="13" t="s" ph="1">
        <v>6613</v>
      </c>
      <c r="U1268" s="16" t="s" ph="1">
        <v>1217</v>
      </c>
      <c r="V1268" s="17" ph="1">
        <v>1500</v>
      </c>
      <c r="W1268" s="17" ph="1">
        <v>0</v>
      </c>
    </row>
    <row r="1269" spans="1:25" ht="22.5" customHeight="1" ph="1" x14ac:dyDescent="0.35">
      <c r="C1269" s="13" t="s" ph="1">
        <v>3648</v>
      </c>
      <c r="G1269" s="13" t="s" ph="1">
        <v>3793</v>
      </c>
      <c r="H1269" s="13" t="s" ph="1">
        <v>1219</v>
      </c>
      <c r="I1269" s="13" t="s" ph="1">
        <v>6614</v>
      </c>
      <c r="M1269" s="14" t="str" ph="1">
        <f>IFERROR(INDEX([1]!_born[生没年],
MATCH(I1269,[1]!_born[作],0)),"")</f>
        <v/>
      </c>
      <c r="N1269" s="14" t="str" ph="1">
        <f>IFERROR(INDEX([1]!_born[生没年],
MATCH(K1269,[1]!_born[作],0)),"")</f>
        <v/>
      </c>
      <c r="O1269" s="13" t="s" ph="1">
        <v>6617</v>
      </c>
      <c r="R1269" s="16" t="s" ph="1">
        <v>3186</v>
      </c>
      <c r="S1269" s="13" t="s" ph="1">
        <v>6618</v>
      </c>
      <c r="T1269" s="13" t="s" ph="1">
        <v>6613</v>
      </c>
      <c r="U1269" s="16" ph="1">
        <v>37142</v>
      </c>
      <c r="V1269" s="17" ph="1">
        <v>1800</v>
      </c>
      <c r="W1269" s="17" ph="1">
        <v>900</v>
      </c>
      <c r="X1269" s="13" t="s" ph="1">
        <v>4585</v>
      </c>
    </row>
    <row r="1270" spans="1:25" ht="22.5" customHeight="1" ph="1" x14ac:dyDescent="0.35">
      <c r="C1270" s="13" t="s" ph="1">
        <v>3648</v>
      </c>
      <c r="G1270" s="13" t="s" ph="1">
        <v>3793</v>
      </c>
      <c r="H1270" s="13" t="s" ph="1">
        <v>61</v>
      </c>
      <c r="I1270" s="13" t="s" ph="1">
        <v>6619</v>
      </c>
      <c r="M1270" s="14" t="str" ph="1">
        <f>IFERROR(INDEX([1]!_born[生没年],
MATCH(I1270,[1]!_born[作],0)),"")</f>
        <v/>
      </c>
      <c r="N1270" s="14" t="str" ph="1">
        <f>IFERROR(INDEX([1]!_born[生没年],
MATCH(K1270,[1]!_born[作],0)),"")</f>
        <v/>
      </c>
      <c r="O1270" s="13" t="s" ph="1">
        <v>6620</v>
      </c>
      <c r="R1270" s="16" t="s" ph="1">
        <v>3185</v>
      </c>
      <c r="S1270" s="13" t="s" ph="1">
        <v>6619</v>
      </c>
      <c r="T1270" s="13" t="s" ph="1">
        <v>6613</v>
      </c>
      <c r="U1270" s="16" ph="1">
        <v>44980</v>
      </c>
      <c r="V1270" s="17" ph="1">
        <v>1500</v>
      </c>
      <c r="W1270" s="17" t="s" ph="1">
        <v>1225</v>
      </c>
      <c r="X1270" s="13" t="s" ph="1">
        <v>3883</v>
      </c>
    </row>
    <row r="1271" spans="1:25" ht="22.5" customHeight="1" ph="1" x14ac:dyDescent="0.35">
      <c r="C1271" s="13" t="s" ph="1">
        <v>3648</v>
      </c>
      <c r="G1271" s="13" t="s" ph="1">
        <v>3793</v>
      </c>
      <c r="H1271" s="13" t="s" ph="1">
        <v>1219</v>
      </c>
      <c r="I1271" s="13" t="s" ph="1">
        <v>6621</v>
      </c>
      <c r="M1271" s="14" t="str" ph="1">
        <f>IFERROR(INDEX([1]!_born[生没年],
MATCH(I1271,[1]!_born[作],0)),"")</f>
        <v/>
      </c>
      <c r="N1271" s="14" t="str" ph="1">
        <f>IFERROR(INDEX([1]!_born[生没年],
MATCH(K1271,[1]!_born[作],0)),"")</f>
        <v/>
      </c>
      <c r="O1271" s="13" t="s" ph="1">
        <v>6622</v>
      </c>
      <c r="R1271" s="16" t="s" ph="1">
        <v>3187</v>
      </c>
      <c r="S1271" s="13" t="s" ph="1">
        <v>6623</v>
      </c>
      <c r="T1271" s="13" t="s" ph="1">
        <v>6613</v>
      </c>
      <c r="U1271" s="16" t="s" ph="1">
        <v>1217</v>
      </c>
      <c r="V1271" s="17" ph="1">
        <v>618</v>
      </c>
      <c r="W1271" s="17" ph="1">
        <v>0</v>
      </c>
    </row>
    <row r="1272" spans="1:25" ht="22.5" customHeight="1" ph="1" x14ac:dyDescent="0.35">
      <c r="A1272" s="106" t="s" ph="1">
        <v>2981</v>
      </c>
      <c r="C1272" s="13" t="s" ph="1">
        <v>3648</v>
      </c>
      <c r="G1272" s="13" t="s" ph="1">
        <v>3793</v>
      </c>
      <c r="H1272" s="13" t="s" ph="1">
        <v>61</v>
      </c>
      <c r="I1272" s="13" t="s" ph="1">
        <v>6624</v>
      </c>
      <c r="M1272" s="14" t="str" ph="1">
        <f>IFERROR(INDEX([1]!_born[生没年],
MATCH(I1272,[1]!_born[作],0)),"")</f>
        <v/>
      </c>
      <c r="N1272" s="14" t="str" ph="1">
        <f>IFERROR(INDEX([1]!_born[生没年],
MATCH(K1272,[1]!_born[作],0)),"")</f>
        <v/>
      </c>
      <c r="O1272" s="13" t="s" ph="1">
        <v>6625</v>
      </c>
      <c r="R1272" s="16" t="s" ph="1">
        <v>2982</v>
      </c>
      <c r="S1272" s="13" t="s" ph="1">
        <v>2983</v>
      </c>
      <c r="T1272" s="13" t="s" ph="1">
        <v>6626</v>
      </c>
      <c r="V1272" s="17" ph="1">
        <f>648*1.08</f>
        <v>699.84</v>
      </c>
      <c r="W1272" s="17" ph="1">
        <f>648*1.08</f>
        <v>699.84</v>
      </c>
      <c r="Y1272" s="13" t="s" ph="1">
        <v>6627</v>
      </c>
    </row>
    <row r="1273" spans="1:25" ht="22.5" customHeight="1" ph="1" x14ac:dyDescent="0.35">
      <c r="A1273" s="106" t="s" ph="1">
        <v>2981</v>
      </c>
      <c r="C1273" s="13" t="s" ph="1">
        <v>3648</v>
      </c>
      <c r="G1273" s="13" t="s" ph="1">
        <v>3793</v>
      </c>
      <c r="H1273" s="13" t="s" ph="1">
        <v>61</v>
      </c>
      <c r="I1273" s="13" t="s" ph="1">
        <v>6628</v>
      </c>
      <c r="M1273" s="14" t="str" ph="1">
        <f>IFERROR(INDEX([1]!_born[生没年],
MATCH(I1273,[1]!_born[作],0)),"")</f>
        <v/>
      </c>
      <c r="N1273" s="14" t="str" ph="1">
        <f>IFERROR(INDEX([1]!_born[生没年],
MATCH(K1273,[1]!_born[作],0)),"")</f>
        <v/>
      </c>
      <c r="O1273" s="13" t="s" ph="1">
        <v>6629</v>
      </c>
      <c r="R1273" s="16" ph="1">
        <v>44783</v>
      </c>
      <c r="S1273" s="13" t="s" ph="1">
        <v>6630</v>
      </c>
      <c r="T1273" s="13" t="s" ph="1">
        <v>6631</v>
      </c>
      <c r="V1273" s="17" ph="1">
        <v>0</v>
      </c>
      <c r="W1273" s="17" ph="1">
        <v>0</v>
      </c>
      <c r="X1273" s="13" t="s" ph="1">
        <v>6632</v>
      </c>
    </row>
    <row r="1274" spans="1:25" ht="22.5" customHeight="1" ph="1" x14ac:dyDescent="0.35">
      <c r="C1274" s="13" t="s" ph="1">
        <v>3648</v>
      </c>
      <c r="G1274" s="13" t="s" ph="1">
        <v>4758</v>
      </c>
      <c r="H1274" s="13" t="s" ph="1">
        <v>1219</v>
      </c>
      <c r="I1274" s="13" t="s" ph="1">
        <v>6633</v>
      </c>
      <c r="M1274" s="14" t="str" ph="1">
        <f>IFERROR(INDEX([1]!_born[生没年],
MATCH(I1274,[1]!_born[作],0)),"")</f>
        <v/>
      </c>
      <c r="N1274" s="14" t="str" ph="1">
        <f>IFERROR(INDEX([1]!_born[生没年],
MATCH(K1274,[1]!_born[作],0)),"")</f>
        <v/>
      </c>
      <c r="O1274" s="13" t="s" ph="1">
        <v>6634</v>
      </c>
      <c r="R1274" s="16" t="s" ph="1">
        <v>1265</v>
      </c>
      <c r="T1274" s="13" t="s" ph="1">
        <v>4405</v>
      </c>
      <c r="U1274" s="16" ph="1">
        <v>36735</v>
      </c>
      <c r="V1274" s="17" ph="1">
        <f>850*1.05</f>
        <v>892.5</v>
      </c>
      <c r="W1274" s="17" ph="1">
        <f>850*1.05</f>
        <v>892.5</v>
      </c>
      <c r="X1274" s="13" t="s" ph="1">
        <v>6059</v>
      </c>
    </row>
    <row r="1275" spans="1:25" ht="22.5" customHeight="1" ph="1" x14ac:dyDescent="0.35">
      <c r="C1275" s="13" t="s" ph="1">
        <v>3648</v>
      </c>
      <c r="G1275" s="13" t="s" ph="1">
        <v>4758</v>
      </c>
      <c r="H1275" s="13" t="s" ph="1">
        <v>1219</v>
      </c>
      <c r="I1275" s="13" t="s" ph="1">
        <v>6635</v>
      </c>
      <c r="M1275" s="14" t="str" ph="1">
        <f>IFERROR(INDEX([1]!_born[生没年],
MATCH(I1275,[1]!_born[作],0)),"")</f>
        <v/>
      </c>
      <c r="N1275" s="14" t="str" ph="1">
        <f>IFERROR(INDEX([1]!_born[生没年],
MATCH(K1275,[1]!_born[作],0)),"")</f>
        <v/>
      </c>
      <c r="O1275" s="13" t="s" ph="1">
        <v>6636</v>
      </c>
      <c r="R1275" s="16" t="s" ph="1">
        <v>1265</v>
      </c>
      <c r="T1275" s="13" t="s" ph="1">
        <v>4405</v>
      </c>
      <c r="U1275" s="16" ph="1">
        <v>36735</v>
      </c>
      <c r="V1275" s="17" ph="1">
        <f>560*1.05</f>
        <v>588</v>
      </c>
      <c r="W1275" s="17" ph="1">
        <f>560*1.05</f>
        <v>588</v>
      </c>
      <c r="X1275" s="13" t="s" ph="1">
        <v>6059</v>
      </c>
    </row>
    <row r="1276" spans="1:25" ht="22.5" customHeight="1" ph="1" x14ac:dyDescent="0.35">
      <c r="C1276" s="13" t="s" ph="1">
        <v>3648</v>
      </c>
      <c r="G1276" s="13" t="s" ph="1">
        <v>3599</v>
      </c>
      <c r="H1276" s="13" t="s" ph="1">
        <v>1219</v>
      </c>
      <c r="I1276" s="13" t="s" ph="1">
        <v>6637</v>
      </c>
      <c r="M1276" s="14" t="str" ph="1">
        <f>IFERROR(INDEX([1]!_born[生没年],
MATCH(I1276,[1]!_born[作],0)),"")</f>
        <v/>
      </c>
      <c r="N1276" s="14" t="str" ph="1">
        <f>IFERROR(INDEX([1]!_born[生没年],
MATCH(K1276,[1]!_born[作],0)),"")</f>
        <v/>
      </c>
      <c r="O1276" s="13" t="s" ph="1">
        <v>6638</v>
      </c>
      <c r="R1276" s="16" t="s" ph="1">
        <v>1265</v>
      </c>
      <c r="T1276" s="13" t="s" ph="1">
        <v>4405</v>
      </c>
      <c r="U1276" s="16" ph="1">
        <v>36735</v>
      </c>
      <c r="V1276" s="17" ph="1">
        <f>560*1.05</f>
        <v>588</v>
      </c>
      <c r="W1276" s="17" ph="1">
        <f>560*1.05</f>
        <v>588</v>
      </c>
      <c r="X1276" s="13" t="s" ph="1">
        <v>6059</v>
      </c>
    </row>
    <row r="1277" spans="1:25" ht="22.5" customHeight="1" ph="1" x14ac:dyDescent="0.35">
      <c r="C1277" s="13" t="s" ph="1">
        <v>3648</v>
      </c>
      <c r="G1277" s="13" t="s" ph="1">
        <v>1266</v>
      </c>
      <c r="H1277" s="13" t="s" ph="1">
        <v>1219</v>
      </c>
      <c r="M1277" s="14" t="str" ph="1">
        <f>IFERROR(INDEX([1]!_born[生没年],
MATCH(I1277,[1]!_born[作],0)),"")</f>
        <v/>
      </c>
      <c r="N1277" s="14" t="str" ph="1">
        <f>IFERROR(INDEX([1]!_born[生没年],
MATCH(K1277,[1]!_born[作],0)),"")</f>
        <v/>
      </c>
      <c r="O1277" s="13" t="s" ph="1">
        <v>6639</v>
      </c>
      <c r="R1277" s="16" t="s" ph="1">
        <v>1267</v>
      </c>
      <c r="T1277" s="13" t="s" ph="1">
        <v>4405</v>
      </c>
      <c r="V1277" s="17" ph="1">
        <f>920*1.05</f>
        <v>966</v>
      </c>
    </row>
    <row r="1278" spans="1:25" ht="22.5" customHeight="1" ph="1" x14ac:dyDescent="0.35">
      <c r="C1278" s="13" t="s" ph="1">
        <v>3648</v>
      </c>
      <c r="G1278" s="13" t="s" ph="1">
        <v>3599</v>
      </c>
      <c r="H1278" s="13" t="s" ph="1">
        <v>1219</v>
      </c>
      <c r="I1278" s="13" t="s" ph="1">
        <v>6640</v>
      </c>
      <c r="M1278" s="14" t="str" ph="1">
        <f>IFERROR(INDEX([1]!_born[生没年],
MATCH(I1278,[1]!_born[作],0)),"")</f>
        <v/>
      </c>
      <c r="N1278" s="14" t="str" ph="1">
        <f>IFERROR(INDEX([1]!_born[生没年],
MATCH(K1278,[1]!_born[作],0)),"")</f>
        <v/>
      </c>
      <c r="O1278" s="13" t="s" ph="1">
        <v>6641</v>
      </c>
      <c r="R1278" s="16" t="s" ph="1">
        <v>1268</v>
      </c>
      <c r="T1278" s="13" t="s" ph="1">
        <v>4405</v>
      </c>
      <c r="U1278" s="16" ph="1">
        <v>36717</v>
      </c>
      <c r="V1278" s="17" ph="1">
        <f>560*1.05</f>
        <v>588</v>
      </c>
      <c r="W1278" s="17" ph="1">
        <f>560*1.05</f>
        <v>588</v>
      </c>
      <c r="X1278" s="13" t="s" ph="1">
        <v>3802</v>
      </c>
    </row>
    <row r="1279" spans="1:25" ht="22.5" customHeight="1" ph="1" x14ac:dyDescent="0.35">
      <c r="C1279" s="13" t="s" ph="1">
        <v>3648</v>
      </c>
      <c r="G1279" s="13" t="s" ph="1">
        <v>1266</v>
      </c>
      <c r="H1279" s="13" t="s" ph="1">
        <v>1269</v>
      </c>
      <c r="I1279" s="13" t="s" ph="1">
        <v>6642</v>
      </c>
      <c r="M1279" s="14" t="str" ph="1">
        <f>IFERROR(INDEX([1]!_born[生没年],
MATCH(I1279,[1]!_born[作],0)),"")</f>
        <v/>
      </c>
      <c r="N1279" s="14" t="str" ph="1">
        <f>IFERROR(INDEX([1]!_born[生没年],
MATCH(K1279,[1]!_born[作],0)),"")</f>
        <v/>
      </c>
      <c r="O1279" s="13" t="s" ph="1">
        <v>6643</v>
      </c>
      <c r="R1279" s="16" t="s" ph="1">
        <v>1267</v>
      </c>
      <c r="T1279" s="13" t="s" ph="1">
        <v>4405</v>
      </c>
      <c r="V1279" s="17" ph="1">
        <f>530*1.05</f>
        <v>556.5</v>
      </c>
    </row>
    <row r="1280" spans="1:25" ht="22.5" customHeight="1" ph="1" x14ac:dyDescent="0.35">
      <c r="C1280" s="13" t="s" ph="1">
        <v>3648</v>
      </c>
      <c r="G1280" s="13" t="s" ph="1">
        <v>4758</v>
      </c>
      <c r="H1280" s="13" t="s" ph="1">
        <v>61</v>
      </c>
      <c r="I1280" s="13" t="s" ph="1">
        <v>6644</v>
      </c>
      <c r="K1280" s="13" t="s" ph="1">
        <v>4991</v>
      </c>
      <c r="M1280" s="14" t="str" ph="1">
        <f>IFERROR(INDEX([1]!_born[生没年],
MATCH(I1280,[1]!_born[作],0)),"")</f>
        <v/>
      </c>
      <c r="N1280" s="14" t="str" ph="1">
        <f>IFERROR(INDEX([1]!_born[生没年],
MATCH(K1280,[1]!_born[作],0)),"")</f>
        <v/>
      </c>
      <c r="O1280" s="13" t="s" ph="1">
        <v>6645</v>
      </c>
      <c r="R1280" s="16" t="s" ph="1">
        <v>1267</v>
      </c>
      <c r="T1280" s="13" t="s" ph="1">
        <v>4405</v>
      </c>
      <c r="V1280" s="17" ph="1">
        <f>850*1.05</f>
        <v>892.5</v>
      </c>
    </row>
    <row r="1281" spans="1:24" ht="22.5" customHeight="1" ph="1" x14ac:dyDescent="0.35">
      <c r="A1281" s="106" t="s" ph="1">
        <v>3233</v>
      </c>
      <c r="B1281" s="5" t="s" ph="1">
        <v>3234</v>
      </c>
      <c r="C1281" s="13" t="s" ph="1">
        <v>3648</v>
      </c>
      <c r="G1281" s="13" t="s" ph="1">
        <v>3599</v>
      </c>
      <c r="H1281" s="13" t="s" ph="1">
        <v>1219</v>
      </c>
      <c r="I1281" s="13" t="s" ph="1">
        <v>6646</v>
      </c>
      <c r="J1281" s="13" t="s" ph="1">
        <v>6647</v>
      </c>
      <c r="M1281" s="14" t="str" ph="1">
        <f>IFERROR(INDEX([1]!_born[生没年],
MATCH(I1281,[1]!_born[作],0)),"")</f>
        <v/>
      </c>
      <c r="N1281" s="14" t="str" ph="1">
        <f>IFERROR(INDEX([1]!_born[生没年],
MATCH(K1281,[1]!_born[作],0)),"")</f>
        <v/>
      </c>
      <c r="O1281" s="13" t="s" ph="1">
        <v>6648</v>
      </c>
      <c r="R1281" s="16" ph="1">
        <v>44197</v>
      </c>
      <c r="S1281" s="13" t="s" ph="1">
        <v>6649</v>
      </c>
      <c r="T1281" s="13" t="s" ph="1">
        <v>4405</v>
      </c>
      <c r="U1281" s="16" t="s" ph="1">
        <v>3235</v>
      </c>
      <c r="V1281" s="17" ph="1">
        <f>524*1.1</f>
        <v>576.40000000000009</v>
      </c>
      <c r="W1281" s="17" ph="1">
        <f>524*1.1</f>
        <v>576.40000000000009</v>
      </c>
      <c r="X1281" s="13" t="s" ph="1">
        <v>6650</v>
      </c>
    </row>
    <row r="1282" spans="1:24" ht="22.5" customHeight="1" ph="1" x14ac:dyDescent="0.35">
      <c r="C1282" s="13" t="s" ph="1">
        <v>599</v>
      </c>
      <c r="G1282" s="13" t="s" ph="1">
        <v>3599</v>
      </c>
      <c r="H1282" s="13" t="s" ph="1">
        <v>31</v>
      </c>
      <c r="I1282" s="13" t="s" ph="1">
        <v>1270</v>
      </c>
      <c r="M1282" s="14" t="str" ph="1">
        <f>IFERROR(INDEX([1]!_born[生没年],
MATCH(I1282,[1]!_born[作],0)),"")</f>
        <v/>
      </c>
      <c r="N1282" s="14" t="str" ph="1">
        <f>IFERROR(INDEX([1]!_born[生没年],
MATCH(K1282,[1]!_born[作],0)),"")</f>
        <v/>
      </c>
      <c r="O1282" s="13" t="s" ph="1">
        <v>1271</v>
      </c>
      <c r="T1282" s="13" t="s" ph="1">
        <v>1272</v>
      </c>
      <c r="U1282" s="16" ph="1">
        <v>37434</v>
      </c>
      <c r="V1282" s="17" ph="1">
        <v>0</v>
      </c>
      <c r="W1282" s="17" ph="1">
        <v>0</v>
      </c>
      <c r="X1282" s="13" t="s" ph="1">
        <v>456</v>
      </c>
    </row>
    <row r="1283" spans="1:24" ht="22.5" customHeight="1" ph="1" x14ac:dyDescent="0.35">
      <c r="C1283" s="13" t="s" ph="1">
        <v>599</v>
      </c>
      <c r="G1283" s="13" t="s" ph="1">
        <v>3599</v>
      </c>
      <c r="H1283" s="13" t="s" ph="1">
        <v>31</v>
      </c>
      <c r="I1283" s="13" t="s" ph="1">
        <v>1273</v>
      </c>
      <c r="M1283" s="14" t="str" ph="1">
        <f>IFERROR(INDEX([1]!_born[生没年],
MATCH(I1283,[1]!_born[作],0)),"")</f>
        <v/>
      </c>
      <c r="N1283" s="14" t="str" ph="1">
        <f>IFERROR(INDEX([1]!_born[生没年],
MATCH(K1283,[1]!_born[作],0)),"")</f>
        <v/>
      </c>
      <c r="O1283" s="13" t="s" ph="1">
        <v>1274</v>
      </c>
      <c r="U1283" s="16" t="s" ph="1">
        <v>5221</v>
      </c>
      <c r="X1283" s="13" t="s" ph="1">
        <v>1275</v>
      </c>
    </row>
    <row r="1284" spans="1:24" ht="22.5" customHeight="1" ph="1" x14ac:dyDescent="0.35">
      <c r="C1284" s="13" t="s" ph="1">
        <v>3648</v>
      </c>
      <c r="G1284" s="13" t="s" ph="1">
        <v>1218</v>
      </c>
      <c r="H1284" s="13" t="s" ph="1">
        <v>31</v>
      </c>
      <c r="I1284" s="13" t="s" ph="1">
        <v>6651</v>
      </c>
      <c r="M1284" s="14" t="str" ph="1">
        <f>IFERROR(INDEX([1]!_born[生没年],
MATCH(I1284,[1]!_born[作],0)),"")</f>
        <v/>
      </c>
      <c r="N1284" s="14" t="str" ph="1">
        <f>IFERROR(INDEX([1]!_born[生没年],
MATCH(K1284,[1]!_born[作],0)),"")</f>
        <v/>
      </c>
      <c r="O1284" s="13" t="s" ph="1">
        <v>1276</v>
      </c>
      <c r="R1284" s="16" t="s" ph="1">
        <v>1277</v>
      </c>
      <c r="S1284" s="13" t="s" ph="1">
        <v>6652</v>
      </c>
      <c r="U1284" s="16" t="s" ph="1">
        <v>5221</v>
      </c>
      <c r="V1284" s="17" t="s" ph="1">
        <v>1278</v>
      </c>
      <c r="W1284" s="17" t="s" ph="1">
        <v>1278</v>
      </c>
      <c r="X1284" s="13" t="s" ph="1">
        <v>5222</v>
      </c>
    </row>
    <row r="1285" spans="1:24" ht="22.5" customHeight="1" ph="1" x14ac:dyDescent="0.35">
      <c r="C1285" s="13" t="s" ph="1">
        <v>3648</v>
      </c>
      <c r="G1285" s="13" t="s" ph="1">
        <v>3803</v>
      </c>
      <c r="H1285" s="13" t="s" ph="1">
        <v>31</v>
      </c>
      <c r="I1285" s="13" t="s" ph="1">
        <v>1279</v>
      </c>
      <c r="M1285" s="14" t="str" ph="1">
        <f>IFERROR(INDEX([1]!_born[生没年],
MATCH(I1285,[1]!_born[作],0)),"")</f>
        <v/>
      </c>
      <c r="N1285" s="14" t="str" ph="1">
        <f>IFERROR(INDEX([1]!_born[生没年],
MATCH(K1285,[1]!_born[作],0)),"")</f>
        <v/>
      </c>
      <c r="O1285" s="13" t="s" ph="1">
        <v>1280</v>
      </c>
      <c r="R1285" s="16" t="s" ph="1">
        <v>1281</v>
      </c>
      <c r="S1285" s="13" t="s" ph="1">
        <v>6653</v>
      </c>
      <c r="V1285" s="17" t="s" ph="1">
        <v>1282</v>
      </c>
      <c r="X1285" s="13" t="s" ph="1">
        <v>5222</v>
      </c>
    </row>
    <row r="1286" spans="1:24" ht="22.5" customHeight="1" ph="1" x14ac:dyDescent="0.35">
      <c r="C1286" s="13" t="s" ph="1">
        <v>3648</v>
      </c>
      <c r="G1286" s="13" t="s" ph="1">
        <v>5854</v>
      </c>
      <c r="H1286" s="13" t="s" ph="1">
        <v>31</v>
      </c>
      <c r="I1286" s="13" t="s" ph="1">
        <v>1279</v>
      </c>
      <c r="M1286" s="14" t="str" ph="1">
        <f>IFERROR(INDEX([1]!_born[生没年],
MATCH(I1286,[1]!_born[作],0)),"")</f>
        <v/>
      </c>
      <c r="N1286" s="14" t="str" ph="1">
        <f>IFERROR(INDEX([1]!_born[生没年],
MATCH(K1286,[1]!_born[作],0)),"")</f>
        <v/>
      </c>
      <c r="O1286" s="13" t="s" ph="1">
        <v>1283</v>
      </c>
      <c r="R1286" s="16" t="s" ph="1">
        <v>1284</v>
      </c>
      <c r="S1286" s="13" t="s" ph="1">
        <v>6654</v>
      </c>
      <c r="U1286" s="16" ph="1">
        <v>37435</v>
      </c>
      <c r="V1286" s="17" t="s" ph="1">
        <v>1873</v>
      </c>
      <c r="W1286" s="17" t="s" ph="1">
        <v>1873</v>
      </c>
      <c r="X1286" s="13" t="s" ph="1">
        <v>486</v>
      </c>
    </row>
    <row r="1287" spans="1:24" ht="22.5" customHeight="1" ph="1" x14ac:dyDescent="0.35">
      <c r="C1287" s="13" t="s" ph="1">
        <v>3648</v>
      </c>
      <c r="G1287" s="13" t="s" ph="1">
        <v>5854</v>
      </c>
      <c r="H1287" s="13" t="s" ph="1">
        <v>31</v>
      </c>
      <c r="I1287" s="13" t="s" ph="1">
        <v>1874</v>
      </c>
      <c r="M1287" s="14" t="str" ph="1">
        <f>IFERROR(INDEX([1]!_born[生没年],
MATCH(I1287,[1]!_born[作],0)),"")</f>
        <v/>
      </c>
      <c r="N1287" s="14" t="str" ph="1">
        <f>IFERROR(INDEX([1]!_born[生没年],
MATCH(K1287,[1]!_born[作],0)),"")</f>
        <v/>
      </c>
      <c r="O1287" s="13" t="s" ph="1">
        <v>1875</v>
      </c>
      <c r="R1287" s="16" t="s" ph="1">
        <v>1876</v>
      </c>
      <c r="S1287" s="13" t="s" ph="1">
        <v>6655</v>
      </c>
      <c r="U1287" s="16" ph="1">
        <v>37435</v>
      </c>
      <c r="V1287" s="17" t="s" ph="1">
        <v>1877</v>
      </c>
      <c r="W1287" s="17" t="s" ph="1">
        <v>1877</v>
      </c>
      <c r="X1287" s="13" t="s" ph="1">
        <v>486</v>
      </c>
    </row>
    <row r="1288" spans="1:24" ht="22.5" customHeight="1" ph="1" x14ac:dyDescent="0.35">
      <c r="C1288" s="13" t="s" ph="1">
        <v>3648</v>
      </c>
      <c r="G1288" s="13" t="s" ph="1">
        <v>6656</v>
      </c>
      <c r="H1288" s="13" t="s" ph="1">
        <v>31</v>
      </c>
      <c r="I1288" s="13" t="s" ph="1">
        <v>1878</v>
      </c>
      <c r="M1288" s="14" t="str" ph="1">
        <f>IFERROR(INDEX([1]!_born[生没年],
MATCH(I1288,[1]!_born[作],0)),"")</f>
        <v/>
      </c>
      <c r="N1288" s="14" t="str" ph="1">
        <f>IFERROR(INDEX([1]!_born[生没年],
MATCH(K1288,[1]!_born[作],0)),"")</f>
        <v/>
      </c>
      <c r="O1288" s="13" t="s" ph="1">
        <v>1879</v>
      </c>
      <c r="R1288" s="16" t="s" ph="1">
        <v>1880</v>
      </c>
      <c r="S1288" s="13" t="s" ph="1">
        <v>6657</v>
      </c>
      <c r="U1288" s="16" ph="1">
        <v>37435</v>
      </c>
      <c r="V1288" s="17" t="s" ph="1">
        <v>1881</v>
      </c>
      <c r="W1288" s="17" t="s" ph="1">
        <v>1881</v>
      </c>
      <c r="X1288" s="13" t="s" ph="1">
        <v>486</v>
      </c>
    </row>
    <row r="1289" spans="1:24" ht="22.5" customHeight="1" ph="1" x14ac:dyDescent="0.35">
      <c r="C1289" s="13" t="s" ph="1">
        <v>3648</v>
      </c>
      <c r="G1289" s="13" t="s" ph="1">
        <v>6658</v>
      </c>
      <c r="H1289" s="13" t="s" ph="1">
        <v>31</v>
      </c>
      <c r="I1289" s="13" t="s" ph="1">
        <v>1882</v>
      </c>
      <c r="M1289" s="14" t="str" ph="1">
        <f>IFERROR(INDEX([1]!_born[生没年],
MATCH(I1289,[1]!_born[作],0)),"")</f>
        <v/>
      </c>
      <c r="N1289" s="14" t="str" ph="1">
        <f>IFERROR(INDEX([1]!_born[生没年],
MATCH(K1289,[1]!_born[作],0)),"")</f>
        <v/>
      </c>
      <c r="O1289" s="13" t="s" ph="1">
        <v>1883</v>
      </c>
      <c r="U1289" s="16" t="s" ph="1">
        <v>161</v>
      </c>
      <c r="V1289" s="17" t="s" ph="1">
        <v>1884</v>
      </c>
      <c r="W1289" s="17" t="s" ph="1">
        <v>1885</v>
      </c>
      <c r="X1289" s="13" t="s" ph="1">
        <v>1886</v>
      </c>
    </row>
    <row r="1290" spans="1:24" ht="22.5" customHeight="1" ph="1" x14ac:dyDescent="0.35">
      <c r="C1290" s="13" t="s" ph="1">
        <v>3648</v>
      </c>
      <c r="G1290" s="13" t="s" ph="1">
        <v>3803</v>
      </c>
      <c r="H1290" s="13" t="s" ph="1">
        <v>1269</v>
      </c>
      <c r="I1290" s="13" t="s" ph="1">
        <v>2256</v>
      </c>
      <c r="M1290" s="14" t="str" ph="1">
        <f>IFERROR(INDEX([1]!_born[生没年],
MATCH(I1290,[1]!_born[作],0)),"")</f>
        <v/>
      </c>
      <c r="N1290" s="14" t="str" ph="1">
        <f>IFERROR(INDEX([1]!_born[生没年],
MATCH(K1290,[1]!_born[作],0)),"")</f>
        <v/>
      </c>
      <c r="O1290" s="13" t="s" ph="1">
        <v>2257</v>
      </c>
      <c r="R1290" s="16" t="s" ph="1">
        <v>2258</v>
      </c>
      <c r="S1290" s="13" t="s" ph="1">
        <v>2259</v>
      </c>
      <c r="U1290" s="16" ph="1">
        <v>37447</v>
      </c>
      <c r="V1290" s="17" t="s" ph="1">
        <v>6659</v>
      </c>
      <c r="W1290" s="17" ph="1">
        <v>0</v>
      </c>
      <c r="X1290" s="13" t="s" ph="1">
        <v>80</v>
      </c>
    </row>
    <row r="1291" spans="1:24" ht="22.5" customHeight="1" ph="1" x14ac:dyDescent="0.35">
      <c r="C1291" s="13" t="s" ph="1">
        <v>3648</v>
      </c>
      <c r="G1291" s="13" t="s" ph="1">
        <v>5854</v>
      </c>
      <c r="H1291" s="13" t="s" ph="1">
        <v>1269</v>
      </c>
      <c r="I1291" s="13" t="s" ph="1">
        <v>2260</v>
      </c>
      <c r="M1291" s="14" t="str" ph="1">
        <f>IFERROR(INDEX([1]!_born[生没年],
MATCH(I1291,[1]!_born[作],0)),"")</f>
        <v/>
      </c>
      <c r="N1291" s="14" t="str" ph="1">
        <f>IFERROR(INDEX([1]!_born[生没年],
MATCH(K1291,[1]!_born[作],0)),"")</f>
        <v/>
      </c>
      <c r="O1291" s="13" t="s" ph="1">
        <v>2261</v>
      </c>
      <c r="U1291" s="16" ph="1">
        <v>37447</v>
      </c>
      <c r="V1291" s="17" t="s" ph="1">
        <v>2262</v>
      </c>
      <c r="W1291" s="17" ph="1">
        <v>0</v>
      </c>
      <c r="X1291" s="13" t="s" ph="1">
        <v>80</v>
      </c>
    </row>
    <row r="1292" spans="1:24" ht="22.5" customHeight="1" ph="1" x14ac:dyDescent="0.35">
      <c r="C1292" s="13" t="s" ph="1">
        <v>3648</v>
      </c>
      <c r="G1292" s="13" t="s" ph="1">
        <v>6658</v>
      </c>
      <c r="H1292" s="13" t="s" ph="1">
        <v>1269</v>
      </c>
      <c r="I1292" s="13" t="s" ph="1">
        <v>2263</v>
      </c>
      <c r="M1292" s="14" t="str" ph="1">
        <f>IFERROR(INDEX([1]!_born[生没年],
MATCH(I1292,[1]!_born[作],0)),"")</f>
        <v/>
      </c>
      <c r="N1292" s="14" t="str" ph="1">
        <f>IFERROR(INDEX([1]!_born[生没年],
MATCH(K1292,[1]!_born[作],0)),"")</f>
        <v/>
      </c>
      <c r="O1292" s="13" t="s" ph="1">
        <v>2264</v>
      </c>
      <c r="R1292" s="16" t="s" ph="1">
        <v>2265</v>
      </c>
      <c r="S1292" s="13" t="s" ph="1">
        <v>2266</v>
      </c>
      <c r="T1292" s="13" t="s" ph="1">
        <v>247</v>
      </c>
      <c r="U1292" s="16" ph="1">
        <v>37449</v>
      </c>
      <c r="V1292" s="17" t="s" ph="1">
        <v>2266</v>
      </c>
      <c r="W1292" s="17" t="s" ph="1">
        <v>2266</v>
      </c>
      <c r="X1292" s="13" t="s" ph="1">
        <v>80</v>
      </c>
    </row>
    <row r="1293" spans="1:24" ht="22.5" customHeight="1" ph="1" x14ac:dyDescent="0.35">
      <c r="C1293" s="13" t="s" ph="1">
        <v>3648</v>
      </c>
      <c r="G1293" s="13" t="s" ph="1">
        <v>3803</v>
      </c>
      <c r="H1293" s="13" t="s" ph="1">
        <v>1269</v>
      </c>
      <c r="I1293" s="13" t="s" ph="1">
        <v>683</v>
      </c>
      <c r="M1293" s="14" t="str" ph="1">
        <f>IFERROR(INDEX([1]!_born[生没年],
MATCH(I1293,[1]!_born[作],0)),"")</f>
        <v/>
      </c>
      <c r="N1293" s="14" t="str" ph="1">
        <f>IFERROR(INDEX([1]!_born[生没年],
MATCH(K1293,[1]!_born[作],0)),"")</f>
        <v/>
      </c>
      <c r="O1293" s="13" t="s" ph="1">
        <v>2267</v>
      </c>
      <c r="R1293" s="16" t="s" ph="1">
        <v>2268</v>
      </c>
      <c r="S1293" s="13" t="s" ph="1">
        <v>6660</v>
      </c>
      <c r="U1293" s="16" ph="1">
        <v>37447</v>
      </c>
      <c r="V1293" s="17" t="s" ph="1">
        <v>6661</v>
      </c>
      <c r="W1293" s="17" t="s" ph="1">
        <v>6661</v>
      </c>
      <c r="X1293" s="13" t="s" ph="1">
        <v>6662</v>
      </c>
    </row>
    <row r="1294" spans="1:24" ht="22.5" customHeight="1" ph="1" x14ac:dyDescent="0.35">
      <c r="C1294" s="13" t="s" ph="1">
        <v>3648</v>
      </c>
      <c r="G1294" s="13" t="s" ph="1">
        <v>3803</v>
      </c>
      <c r="H1294" s="13" t="s" ph="1">
        <v>1269</v>
      </c>
      <c r="I1294" s="13" t="s" ph="1">
        <v>2269</v>
      </c>
      <c r="M1294" s="14" t="str" ph="1">
        <f>IFERROR(INDEX([1]!_born[生没年],
MATCH(I1294,[1]!_born[作],0)),"")</f>
        <v/>
      </c>
      <c r="N1294" s="14" t="str" ph="1">
        <f>IFERROR(INDEX([1]!_born[生没年],
MATCH(K1294,[1]!_born[作],0)),"")</f>
        <v/>
      </c>
      <c r="O1294" s="13" t="s" ph="1">
        <v>2270</v>
      </c>
      <c r="R1294" s="16" t="s" ph="1">
        <v>1281</v>
      </c>
      <c r="T1294" s="13" t="s" ph="1">
        <v>247</v>
      </c>
      <c r="U1294" s="16" ph="1">
        <v>37438</v>
      </c>
      <c r="V1294" s="17" ph="1">
        <v>0</v>
      </c>
      <c r="W1294" s="17" ph="1">
        <v>0</v>
      </c>
      <c r="X1294" s="13" t="s" ph="1">
        <v>80</v>
      </c>
    </row>
    <row r="1295" spans="1:24" ht="22.5" customHeight="1" ph="1" x14ac:dyDescent="0.35">
      <c r="C1295" s="13" t="s" ph="1">
        <v>3648</v>
      </c>
      <c r="D1295" s="123" ph="1">
        <v>1</v>
      </c>
      <c r="E1295" s="123" ph="1">
        <v>1</v>
      </c>
      <c r="G1295" s="13" t="s" ph="1">
        <v>6663</v>
      </c>
      <c r="H1295" s="13" t="s" ph="1">
        <v>31</v>
      </c>
      <c r="I1295" s="13" t="s" ph="1">
        <v>6664</v>
      </c>
      <c r="M1295" s="14" t="str" ph="1">
        <f>IFERROR(INDEX([1]!_born[生没年],
MATCH(I1295,[1]!_born[作],0)),"")</f>
        <v/>
      </c>
      <c r="N1295" s="14" t="str" ph="1">
        <f>IFERROR(INDEX([1]!_born[生没年],
MATCH(K1295,[1]!_born[作],0)),"")</f>
        <v/>
      </c>
      <c r="O1295" s="13" t="s" ph="1">
        <v>6665</v>
      </c>
      <c r="S1295" s="13" t="s" ph="1">
        <v>321</v>
      </c>
      <c r="T1295" s="13" t="s" ph="1">
        <v>1249</v>
      </c>
      <c r="U1295" s="16" ph="1">
        <v>37567</v>
      </c>
      <c r="V1295" s="17" ph="1">
        <f>1893*1.05</f>
        <v>1987.65</v>
      </c>
      <c r="W1295" s="17" ph="1">
        <f>1893*1.05</f>
        <v>1987.65</v>
      </c>
      <c r="X1295" s="13" t="s" ph="1">
        <v>3802</v>
      </c>
    </row>
    <row r="1296" spans="1:24" ht="22.5" customHeight="1" ph="1" x14ac:dyDescent="0.35">
      <c r="C1296" s="13" t="s" ph="1">
        <v>3648</v>
      </c>
      <c r="D1296" s="123" ph="1">
        <v>2</v>
      </c>
      <c r="E1296" s="123" ph="1">
        <v>2</v>
      </c>
      <c r="G1296" s="13" t="s" ph="1">
        <v>6663</v>
      </c>
      <c r="H1296" s="13" t="s" ph="1">
        <v>31</v>
      </c>
      <c r="I1296" s="13" t="s" ph="1">
        <v>6664</v>
      </c>
      <c r="M1296" s="14" t="str" ph="1">
        <f>IFERROR(INDEX([1]!_born[生没年],
MATCH(I1296,[1]!_born[作],0)),"")</f>
        <v/>
      </c>
      <c r="N1296" s="14" t="str" ph="1">
        <f>IFERROR(INDEX([1]!_born[生没年],
MATCH(K1296,[1]!_born[作],0)),"")</f>
        <v/>
      </c>
      <c r="O1296" s="13" t="s" ph="1">
        <v>6666</v>
      </c>
      <c r="S1296" s="13" t="s" ph="1">
        <v>321</v>
      </c>
      <c r="T1296" s="13" t="s" ph="1">
        <v>1249</v>
      </c>
      <c r="U1296" s="16" ph="1">
        <v>37552</v>
      </c>
      <c r="V1296" s="17" ph="1">
        <f>2000*1.05</f>
        <v>2100</v>
      </c>
      <c r="W1296" s="17" ph="1">
        <f>2000*1.05</f>
        <v>2100</v>
      </c>
      <c r="X1296" s="13" t="s" ph="1">
        <v>3802</v>
      </c>
    </row>
    <row r="1297" spans="3:25" ht="22.5" customHeight="1" ph="1" x14ac:dyDescent="0.35">
      <c r="C1297" s="13" t="s" ph="1">
        <v>5828</v>
      </c>
      <c r="G1297" s="13" t="s" ph="1">
        <v>6663</v>
      </c>
      <c r="H1297" s="13" t="s" ph="1">
        <v>31</v>
      </c>
      <c r="I1297" s="13" t="s" ph="1">
        <v>578</v>
      </c>
      <c r="K1297" s="13" t="s" ph="1">
        <v>6667</v>
      </c>
      <c r="L1297" s="13" t="s" ph="1">
        <v>6668</v>
      </c>
      <c r="M1297" s="14" t="str" ph="1">
        <f>IFERROR(INDEX([1]!_born[生没年],
MATCH(I1297,[1]!_born[作],0)),"")</f>
        <v/>
      </c>
      <c r="N1297" s="14" t="str" ph="1">
        <f>IFERROR(INDEX([1]!_born[生没年],
MATCH(K1297,[1]!_born[作],0)),"")</f>
        <v/>
      </c>
      <c r="O1297" s="13" t="s" ph="1">
        <v>6669</v>
      </c>
      <c r="S1297" s="13" t="s" ph="1">
        <v>6670</v>
      </c>
      <c r="T1297" s="13" t="s" ph="1">
        <v>6671</v>
      </c>
      <c r="U1297" s="16" ph="1">
        <v>37579</v>
      </c>
      <c r="V1297" s="17" ph="1">
        <v>1030</v>
      </c>
      <c r="W1297" s="17" ph="1">
        <v>1030</v>
      </c>
      <c r="X1297" s="13" t="s" ph="1">
        <v>3802</v>
      </c>
    </row>
    <row r="1298" spans="3:25" ht="22.5" customHeight="1" ph="1" x14ac:dyDescent="0.35">
      <c r="C1298" s="13" t="s" ph="1">
        <v>3648</v>
      </c>
      <c r="G1298" s="13" t="s" ph="1">
        <v>6663</v>
      </c>
      <c r="H1298" s="13" t="s" ph="1">
        <v>1269</v>
      </c>
      <c r="I1298" s="13" t="s" ph="1">
        <v>6672</v>
      </c>
      <c r="M1298" s="14" t="str" ph="1">
        <f>IFERROR(INDEX([1]!_born[生没年],
MATCH(I1298,[1]!_born[作],0)),"")</f>
        <v/>
      </c>
      <c r="N1298" s="14" t="str" ph="1">
        <f>IFERROR(INDEX([1]!_born[生没年],
MATCH(K1298,[1]!_born[作],0)),"")</f>
        <v/>
      </c>
      <c r="O1298" s="13" t="s" ph="1">
        <v>6673</v>
      </c>
      <c r="R1298" s="16" t="s" ph="1">
        <v>2271</v>
      </c>
      <c r="S1298" s="13" t="s" ph="1">
        <v>1244</v>
      </c>
      <c r="T1298" s="13" t="s" ph="1">
        <v>6674</v>
      </c>
      <c r="U1298" s="16" ph="1">
        <v>37485</v>
      </c>
      <c r="V1298" s="17" ph="1">
        <v>770</v>
      </c>
      <c r="W1298" s="17" ph="1">
        <v>50</v>
      </c>
      <c r="X1298" s="13" t="s" ph="1">
        <v>4034</v>
      </c>
    </row>
    <row r="1299" spans="3:25" ht="22.5" customHeight="1" ph="1" x14ac:dyDescent="0.35">
      <c r="C1299" s="13" t="s" ph="1">
        <v>3648</v>
      </c>
      <c r="G1299" s="13" t="s" ph="1">
        <v>6663</v>
      </c>
      <c r="H1299" s="13" t="s" ph="1">
        <v>1269</v>
      </c>
      <c r="I1299" s="13" t="s" ph="1">
        <v>6672</v>
      </c>
      <c r="M1299" s="14" t="str" ph="1">
        <f>IFERROR(INDEX([1]!_born[生没年],
MATCH(I1299,[1]!_born[作],0)),"")</f>
        <v/>
      </c>
      <c r="N1299" s="14" t="str" ph="1">
        <f>IFERROR(INDEX([1]!_born[生没年],
MATCH(K1299,[1]!_born[作],0)),"")</f>
        <v/>
      </c>
      <c r="O1299" s="13" t="s" ph="1">
        <v>6675</v>
      </c>
      <c r="R1299" s="16" t="s" ph="1">
        <v>2272</v>
      </c>
      <c r="S1299" s="13" t="s" ph="1">
        <v>1244</v>
      </c>
      <c r="T1299" s="13" t="s" ph="1">
        <v>6674</v>
      </c>
      <c r="U1299" s="16" ph="1">
        <v>37485</v>
      </c>
      <c r="V1299" s="17" ph="1">
        <v>770</v>
      </c>
      <c r="W1299" s="17" ph="1">
        <v>50</v>
      </c>
      <c r="X1299" s="13" t="s" ph="1">
        <v>4034</v>
      </c>
    </row>
    <row r="1300" spans="3:25" ht="22.5" customHeight="1" ph="1" x14ac:dyDescent="0.35">
      <c r="C1300" s="13" t="s" ph="1">
        <v>6459</v>
      </c>
      <c r="G1300" s="13" t="s" ph="1">
        <v>6663</v>
      </c>
      <c r="H1300" s="13" t="s" ph="1">
        <v>31</v>
      </c>
      <c r="I1300" s="13" t="s" ph="1">
        <v>6676</v>
      </c>
      <c r="M1300" s="14" t="str" ph="1">
        <f>IFERROR(INDEX([1]!_born[生没年],
MATCH(I1300,[1]!_born[作],0)),"")</f>
        <v/>
      </c>
      <c r="N1300" s="14" t="str" ph="1">
        <f>IFERROR(INDEX([1]!_born[生没年],
MATCH(K1300,[1]!_born[作],0)),"")</f>
        <v/>
      </c>
      <c r="O1300" s="13" t="s" ph="1">
        <v>6676</v>
      </c>
      <c r="T1300" s="13" t="s" ph="1">
        <v>4405</v>
      </c>
      <c r="U1300" s="16" t="s" ph="1">
        <v>1217</v>
      </c>
    </row>
    <row r="1301" spans="3:25" ht="22.5" customHeight="1" ph="1" x14ac:dyDescent="0.35">
      <c r="C1301" s="13" t="s" ph="1">
        <v>6459</v>
      </c>
      <c r="G1301" s="13" t="s" ph="1">
        <v>6663</v>
      </c>
      <c r="H1301" s="13" t="s" ph="1">
        <v>31</v>
      </c>
      <c r="I1301" s="13" t="s" ph="1">
        <v>6677</v>
      </c>
      <c r="M1301" s="14" t="str" ph="1">
        <f>IFERROR(INDEX([1]!_born[生没年],
MATCH(I1301,[1]!_born[作],0)),"")</f>
        <v/>
      </c>
      <c r="N1301" s="14" t="str" ph="1">
        <f>IFERROR(INDEX([1]!_born[生没年],
MATCH(K1301,[1]!_born[作],0)),"")</f>
        <v/>
      </c>
      <c r="O1301" s="13" t="s" ph="1">
        <v>6677</v>
      </c>
      <c r="T1301" s="13" t="s" ph="1">
        <v>4405</v>
      </c>
      <c r="U1301" s="16" t="s" ph="1">
        <v>1217</v>
      </c>
    </row>
    <row r="1302" spans="3:25" ht="22.5" customHeight="1" ph="1" x14ac:dyDescent="0.35">
      <c r="C1302" s="13" t="s" ph="1">
        <v>6459</v>
      </c>
      <c r="G1302" s="13" t="s" ph="1">
        <v>6663</v>
      </c>
      <c r="H1302" s="13" t="s" ph="1">
        <v>1269</v>
      </c>
      <c r="I1302" s="13" t="s" ph="1">
        <v>6678</v>
      </c>
      <c r="K1302" s="13" t="s" ph="1">
        <v>6679</v>
      </c>
      <c r="M1302" s="14" t="str" ph="1">
        <f>IFERROR(INDEX([1]!_born[生没年],
MATCH(I1302,[1]!_born[作],0)),"")</f>
        <v/>
      </c>
      <c r="N1302" s="14" t="str" ph="1">
        <f>IFERROR(INDEX([1]!_born[生没年],
MATCH(K1302,[1]!_born[作],0)),"")</f>
        <v/>
      </c>
      <c r="O1302" s="13" t="s" ph="1">
        <v>6680</v>
      </c>
      <c r="T1302" s="13" t="s" ph="1">
        <v>4405</v>
      </c>
      <c r="U1302" s="16" t="s" ph="1">
        <v>1217</v>
      </c>
    </row>
    <row r="1303" spans="3:25" ht="22.5" customHeight="1" ph="1" x14ac:dyDescent="0.35">
      <c r="C1303" s="13" t="s" ph="1">
        <v>6459</v>
      </c>
      <c r="G1303" s="13" t="s" ph="1">
        <v>6663</v>
      </c>
      <c r="H1303" s="13" t="s" ph="1">
        <v>1269</v>
      </c>
      <c r="I1303" s="13" t="s" ph="1">
        <v>6681</v>
      </c>
      <c r="M1303" s="14" t="str" ph="1">
        <f>IFERROR(INDEX([1]!_born[生没年],
MATCH(I1303,[1]!_born[作],0)),"")</f>
        <v/>
      </c>
      <c r="N1303" s="14" t="str" ph="1">
        <f>IFERROR(INDEX([1]!_born[生没年],
MATCH(K1303,[1]!_born[作],0)),"")</f>
        <v/>
      </c>
      <c r="O1303" s="13" t="s" ph="1">
        <v>6681</v>
      </c>
      <c r="R1303" s="16" t="s" ph="1">
        <v>6682</v>
      </c>
      <c r="T1303" s="13" t="s" ph="1">
        <v>4405</v>
      </c>
    </row>
    <row r="1304" spans="3:25" ht="22.5" customHeight="1" ph="1" x14ac:dyDescent="0.35">
      <c r="C1304" s="13" t="s" ph="1">
        <v>6459</v>
      </c>
      <c r="G1304" s="13" t="s" ph="1">
        <v>6663</v>
      </c>
      <c r="H1304" s="13" t="s" ph="1">
        <v>1269</v>
      </c>
      <c r="I1304" s="13" t="s" ph="1">
        <v>6683</v>
      </c>
      <c r="M1304" s="14" t="str" ph="1">
        <f>IFERROR(INDEX([1]!_born[生没年],
MATCH(I1304,[1]!_born[作],0)),"")</f>
        <v/>
      </c>
      <c r="N1304" s="14" t="str" ph="1">
        <f>IFERROR(INDEX([1]!_born[生没年],
MATCH(K1304,[1]!_born[作],0)),"")</f>
        <v/>
      </c>
      <c r="O1304" s="13" t="s" ph="1">
        <v>6683</v>
      </c>
      <c r="R1304" s="16" t="s" ph="1">
        <v>6682</v>
      </c>
      <c r="T1304" s="13" t="s" ph="1">
        <v>4405</v>
      </c>
    </row>
    <row r="1305" spans="3:25" ht="22.5" customHeight="1" ph="1" x14ac:dyDescent="0.35">
      <c r="C1305" s="13" t="s" ph="1">
        <v>6459</v>
      </c>
      <c r="G1305" s="13" t="s" ph="1">
        <v>6663</v>
      </c>
      <c r="H1305" s="13" t="s" ph="1">
        <v>1269</v>
      </c>
      <c r="I1305" s="13" t="s" ph="1">
        <v>6684</v>
      </c>
      <c r="M1305" s="14" t="str" ph="1">
        <f>IFERROR(INDEX([1]!_born[生没年],
MATCH(I1305,[1]!_born[作],0)),"")</f>
        <v/>
      </c>
      <c r="N1305" s="14" t="str" ph="1">
        <f>IFERROR(INDEX([1]!_born[生没年],
MATCH(K1305,[1]!_born[作],0)),"")</f>
        <v/>
      </c>
      <c r="O1305" s="13" t="s" ph="1">
        <v>6684</v>
      </c>
      <c r="R1305" s="16" t="s" ph="1">
        <v>6685</v>
      </c>
      <c r="T1305" s="13" t="s" ph="1">
        <v>4405</v>
      </c>
    </row>
    <row r="1306" spans="3:25" ht="22.5" customHeight="1" ph="1" x14ac:dyDescent="0.35">
      <c r="C1306" s="13" t="s" ph="1">
        <v>6459</v>
      </c>
      <c r="G1306" s="13" t="s" ph="1">
        <v>6663</v>
      </c>
      <c r="H1306" s="13" t="s" ph="1">
        <v>1269</v>
      </c>
      <c r="I1306" s="13" t="s" ph="1">
        <v>6686</v>
      </c>
      <c r="M1306" s="14" t="str" ph="1">
        <f>IFERROR(INDEX([1]!_born[生没年],
MATCH(I1306,[1]!_born[作],0)),"")</f>
        <v/>
      </c>
      <c r="N1306" s="14" t="str" ph="1">
        <f>IFERROR(INDEX([1]!_born[生没年],
MATCH(K1306,[1]!_born[作],0)),"")</f>
        <v/>
      </c>
      <c r="O1306" s="13" t="s" ph="1">
        <v>6686</v>
      </c>
      <c r="R1306" s="16" t="s" ph="1">
        <v>6685</v>
      </c>
      <c r="T1306" s="13" t="s" ph="1">
        <v>4405</v>
      </c>
    </row>
    <row r="1307" spans="3:25" ht="22.5" customHeight="1" ph="1" x14ac:dyDescent="0.35">
      <c r="C1307" s="13" t="s" ph="1">
        <v>3648</v>
      </c>
      <c r="G1307" s="13" t="s" ph="1">
        <v>2273</v>
      </c>
      <c r="H1307" s="13" t="s" ph="1">
        <v>1269</v>
      </c>
      <c r="I1307" s="13" t="s" ph="1">
        <v>659</v>
      </c>
      <c r="M1307" s="14" t="str" ph="1">
        <f>IFERROR(INDEX([1]!_born[生没年],
MATCH(I1307,[1]!_born[作],0)),"")</f>
        <v/>
      </c>
      <c r="N1307" s="14" t="str" ph="1">
        <f>IFERROR(INDEX([1]!_born[生没年],
MATCH(K1307,[1]!_born[作],0)),"")</f>
        <v/>
      </c>
      <c r="O1307" s="13" t="s" ph="1">
        <v>6687</v>
      </c>
      <c r="R1307" s="16" t="s" ph="1">
        <v>6688</v>
      </c>
      <c r="S1307" s="13" t="s" ph="1">
        <v>2274</v>
      </c>
      <c r="T1307" s="13" t="s" ph="1">
        <v>2275</v>
      </c>
      <c r="V1307" s="17" ph="1">
        <v>500</v>
      </c>
    </row>
    <row r="1308" spans="3:25" ht="22.5" customHeight="1" ph="1" x14ac:dyDescent="0.35">
      <c r="C1308" s="13" t="s" ph="1">
        <v>3648</v>
      </c>
      <c r="G1308" s="13" t="s" ph="1">
        <v>2273</v>
      </c>
      <c r="H1308" s="13" t="s" ph="1">
        <v>1257</v>
      </c>
      <c r="I1308" s="13" t="s" ph="1">
        <v>101</v>
      </c>
      <c r="M1308" s="14" t="str" ph="1">
        <f>IFERROR(INDEX([1]!_born[生没年],
MATCH(I1308,[1]!_born[作],0)),"")</f>
        <v/>
      </c>
      <c r="N1308" s="14" t="str" ph="1">
        <f>IFERROR(INDEX([1]!_born[生没年],
MATCH(K1308,[1]!_born[作],0)),"")</f>
        <v/>
      </c>
      <c r="O1308" s="13" t="s" ph="1">
        <v>273</v>
      </c>
      <c r="S1308" s="13" t="s" ph="1">
        <v>2276</v>
      </c>
      <c r="T1308" s="13" t="s" ph="1">
        <v>6185</v>
      </c>
      <c r="V1308" s="17" ph="1">
        <f>1165*1.05</f>
        <v>1223.25</v>
      </c>
    </row>
    <row r="1309" spans="3:25" ht="22.5" customHeight="1" ph="1" x14ac:dyDescent="0.35">
      <c r="C1309" s="13" t="s" ph="1">
        <v>3648</v>
      </c>
      <c r="G1309" s="13" t="s" ph="1">
        <v>2277</v>
      </c>
      <c r="I1309" s="13" t="s" ph="1">
        <v>660</v>
      </c>
      <c r="M1309" s="14" t="str" ph="1">
        <f>IFERROR(INDEX([1]!_born[生没年],
MATCH(I1309,[1]!_born[作],0)),"")</f>
        <v/>
      </c>
      <c r="N1309" s="14" t="str" ph="1">
        <f>IFERROR(INDEX([1]!_born[生没年],
MATCH(K1309,[1]!_born[作],0)),"")</f>
        <v/>
      </c>
      <c r="O1309" s="13" t="s" ph="1">
        <v>6689</v>
      </c>
      <c r="R1309" s="16" t="s" ph="1">
        <v>2278</v>
      </c>
      <c r="T1309" s="13" t="s" ph="1">
        <v>4603</v>
      </c>
      <c r="U1309" s="16" ph="1">
        <v>36717</v>
      </c>
      <c r="V1309" s="17" ph="1">
        <f>900*1.05</f>
        <v>945</v>
      </c>
      <c r="W1309" s="17" ph="1">
        <f>900*1.05</f>
        <v>945</v>
      </c>
      <c r="X1309" s="13" t="s" ph="1">
        <v>3802</v>
      </c>
      <c r="Y1309" s="24" t="s" ph="1">
        <v>6690</v>
      </c>
    </row>
    <row r="1310" spans="3:25" ht="22.5" customHeight="1" ph="1" x14ac:dyDescent="0.35">
      <c r="C1310" s="13" t="s" ph="1">
        <v>3648</v>
      </c>
      <c r="G1310" s="13" t="s" ph="1">
        <v>2277</v>
      </c>
      <c r="I1310" s="13" t="s" ph="1">
        <v>596</v>
      </c>
      <c r="M1310" s="14" t="str" ph="1">
        <f>IFERROR(INDEX([1]!_born[生没年],
MATCH(I1310,[1]!_born[作],0)),"")</f>
        <v/>
      </c>
      <c r="N1310" s="14" t="str" ph="1">
        <f>IFERROR(INDEX([1]!_born[生没年],
MATCH(K1310,[1]!_born[作],0)),"")</f>
        <v/>
      </c>
      <c r="O1310" s="13" t="s" ph="1">
        <v>6691</v>
      </c>
      <c r="R1310" s="16" t="s" ph="1">
        <v>2279</v>
      </c>
      <c r="T1310" s="13" t="s" ph="1">
        <v>4603</v>
      </c>
      <c r="U1310" s="16" ph="1">
        <v>36717</v>
      </c>
      <c r="V1310" s="17" ph="1">
        <f>900*1.05</f>
        <v>945</v>
      </c>
      <c r="W1310" s="17" ph="1">
        <f>900*1.05</f>
        <v>945</v>
      </c>
      <c r="X1310" s="13" t="s" ph="1">
        <v>3802</v>
      </c>
      <c r="Y1310" s="24" t="s" ph="1">
        <v>6692</v>
      </c>
    </row>
    <row r="1311" spans="3:25" ht="22.5" customHeight="1" ph="1" x14ac:dyDescent="0.35">
      <c r="C1311" s="13" t="s" ph="1">
        <v>3648</v>
      </c>
      <c r="G1311" s="13" t="s" ph="1">
        <v>1260</v>
      </c>
      <c r="I1311" s="13" t="s" ph="1">
        <v>6693</v>
      </c>
      <c r="M1311" s="14" t="str" ph="1">
        <f>IFERROR(INDEX([1]!_born[生没年],
MATCH(I1311,[1]!_born[作],0)),"")</f>
        <v/>
      </c>
      <c r="N1311" s="14" t="str" ph="1">
        <f>IFERROR(INDEX([1]!_born[生没年],
MATCH(K1311,[1]!_born[作],0)),"")</f>
        <v/>
      </c>
      <c r="O1311" s="13" t="s" ph="1">
        <v>530</v>
      </c>
      <c r="R1311" s="16" t="s" ph="1">
        <v>2280</v>
      </c>
      <c r="S1311" s="13" t="s" ph="1">
        <v>2281</v>
      </c>
      <c r="U1311" s="16" ph="1">
        <v>36807</v>
      </c>
      <c r="V1311" s="17" ph="1">
        <v>580</v>
      </c>
      <c r="W1311" s="17" ph="1">
        <v>1000</v>
      </c>
      <c r="X1311" s="13" t="s" ph="1">
        <v>4394</v>
      </c>
    </row>
    <row r="1312" spans="3:25" ht="22.5" customHeight="1" ph="1" x14ac:dyDescent="0.35">
      <c r="C1312" s="13" t="s" ph="1">
        <v>3648</v>
      </c>
      <c r="G1312" s="13" t="s" ph="1">
        <v>1260</v>
      </c>
      <c r="I1312" s="13" t="s" ph="1">
        <v>6694</v>
      </c>
      <c r="M1312" s="14" t="str" ph="1">
        <f>IFERROR(INDEX([1]!_born[生没年],
MATCH(I1312,[1]!_born[作],0)),"")</f>
        <v/>
      </c>
      <c r="N1312" s="14" t="str" ph="1">
        <f>IFERROR(INDEX([1]!_born[生没年],
MATCH(K1312,[1]!_born[作],0)),"")</f>
        <v/>
      </c>
      <c r="O1312" s="13" t="s" ph="1">
        <v>530</v>
      </c>
      <c r="R1312" s="16" t="s" ph="1">
        <v>2282</v>
      </c>
      <c r="V1312" s="17" ph="1">
        <v>600</v>
      </c>
    </row>
    <row r="1313" spans="1:25" ht="22.5" customHeight="1" ph="1" x14ac:dyDescent="0.35">
      <c r="C1313" s="13" t="s" ph="1">
        <v>3648</v>
      </c>
      <c r="G1313" s="13" t="s" ph="1">
        <v>1260</v>
      </c>
      <c r="I1313" s="13" t="s" ph="1">
        <v>6694</v>
      </c>
      <c r="M1313" s="14" t="str" ph="1">
        <f>IFERROR(INDEX([1]!_born[生没年],
MATCH(I1313,[1]!_born[作],0)),"")</f>
        <v/>
      </c>
      <c r="N1313" s="14" t="str" ph="1">
        <f>IFERROR(INDEX([1]!_born[生没年],
MATCH(K1313,[1]!_born[作],0)),"")</f>
        <v/>
      </c>
      <c r="O1313" s="13" t="s" ph="1">
        <v>384</v>
      </c>
      <c r="R1313" s="16" t="s" ph="1">
        <v>2282</v>
      </c>
      <c r="V1313" s="17" ph="1">
        <v>500</v>
      </c>
    </row>
    <row r="1314" spans="1:25" ht="22.5" customHeight="1" ph="1" x14ac:dyDescent="0.35">
      <c r="A1314" s="106" t="s" ph="1">
        <v>2283</v>
      </c>
      <c r="C1314" s="13" t="s" ph="1">
        <v>3648</v>
      </c>
      <c r="G1314" s="13" t="s" ph="1">
        <v>1260</v>
      </c>
      <c r="I1314" s="13" t="s" ph="1">
        <v>538</v>
      </c>
      <c r="M1314" s="14" t="str" ph="1">
        <f>IFERROR(INDEX([1]!_born[生没年],
MATCH(I1314,[1]!_born[作],0)),"")</f>
        <v/>
      </c>
      <c r="N1314" s="14" t="str" ph="1">
        <f>IFERROR(INDEX([1]!_born[生没年],
MATCH(K1314,[1]!_born[作],0)),"")</f>
        <v/>
      </c>
      <c r="O1314" s="13" t="s" ph="1">
        <v>6695</v>
      </c>
      <c r="R1314" s="16" t="s" ph="1">
        <v>2284</v>
      </c>
      <c r="S1314" s="13" t="s" ph="1">
        <v>6696</v>
      </c>
      <c r="T1314" s="13" t="s" ph="1">
        <v>384</v>
      </c>
      <c r="U1314" s="16" ph="1">
        <v>39158</v>
      </c>
      <c r="V1314" s="17" ph="1">
        <f>1905*1.05</f>
        <v>2000.25</v>
      </c>
      <c r="W1314" s="17" ph="1">
        <f>1905*1.05</f>
        <v>2000.25</v>
      </c>
      <c r="X1314" s="13" t="s" ph="1">
        <v>3802</v>
      </c>
    </row>
    <row r="1315" spans="1:25" ht="22.5" customHeight="1" ph="1" x14ac:dyDescent="0.35">
      <c r="C1315" s="13" t="s" ph="1">
        <v>3648</v>
      </c>
      <c r="G1315" s="13" t="s" ph="1">
        <v>1260</v>
      </c>
      <c r="H1315" s="13" t="s" ph="1">
        <v>1269</v>
      </c>
      <c r="I1315" s="13" t="s" ph="1">
        <v>44</v>
      </c>
      <c r="M1315" s="14" t="str" ph="1">
        <f>IFERROR(INDEX([1]!_born[生没年],
MATCH(I1315,[1]!_born[作],0)),"")</f>
        <v/>
      </c>
      <c r="N1315" s="14" t="str" ph="1">
        <f>IFERROR(INDEX([1]!_born[生没年],
MATCH(K1315,[1]!_born[作],0)),"")</f>
        <v/>
      </c>
      <c r="O1315" s="13" t="s" ph="1">
        <v>156</v>
      </c>
      <c r="R1315" s="16" t="s" ph="1">
        <v>50</v>
      </c>
      <c r="S1315" s="13" t="s" ph="1">
        <v>2285</v>
      </c>
      <c r="T1315" s="13" t="s" ph="1">
        <v>3806</v>
      </c>
      <c r="U1315" s="16" t="s" ph="1">
        <v>1217</v>
      </c>
    </row>
    <row r="1316" spans="1:25" ht="22.5" customHeight="1" ph="1" x14ac:dyDescent="0.35">
      <c r="C1316" s="13" t="s" ph="1">
        <v>3648</v>
      </c>
      <c r="G1316" s="13" t="s" ph="1">
        <v>3599</v>
      </c>
      <c r="H1316" s="13" t="s" ph="1">
        <v>1219</v>
      </c>
      <c r="I1316" s="13" t="s" ph="1">
        <v>44</v>
      </c>
      <c r="M1316" s="14" t="str" ph="1">
        <f>IFERROR(INDEX([1]!_born[生没年],
MATCH(I1316,[1]!_born[作],0)),"")</f>
        <v/>
      </c>
      <c r="N1316" s="14" t="str" ph="1">
        <f>IFERROR(INDEX([1]!_born[生没年],
MATCH(K1316,[1]!_born[作],0)),"")</f>
        <v/>
      </c>
      <c r="O1316" s="13" t="s" ph="1">
        <v>6697</v>
      </c>
      <c r="R1316" s="16" t="s" ph="1">
        <v>2287</v>
      </c>
      <c r="S1316" s="13" t="s" ph="1">
        <v>2451</v>
      </c>
      <c r="T1316" s="13" t="s" ph="1">
        <v>3806</v>
      </c>
      <c r="U1316" s="16" ph="1">
        <v>37257</v>
      </c>
      <c r="V1316" s="17" ph="1">
        <v>500</v>
      </c>
      <c r="W1316" s="17" ph="1">
        <v>500</v>
      </c>
      <c r="X1316" s="5" t="s" ph="1">
        <v>6698</v>
      </c>
      <c r="Y1316" s="5" ph="1"/>
    </row>
    <row r="1317" spans="1:25" ht="22.5" customHeight="1" ph="1" x14ac:dyDescent="0.35">
      <c r="C1317" s="13" t="s" ph="1">
        <v>3648</v>
      </c>
      <c r="G1317" s="13" t="s" ph="1">
        <v>746</v>
      </c>
      <c r="H1317" s="13" t="s" ph="1">
        <v>61</v>
      </c>
      <c r="I1317" s="13" t="s" ph="1">
        <v>44</v>
      </c>
      <c r="M1317" s="14" t="str" ph="1">
        <f>IFERROR(INDEX([1]!_born[生没年],
MATCH(I1317,[1]!_born[作],0)),"")</f>
        <v/>
      </c>
      <c r="N1317" s="14" t="str" ph="1">
        <f>IFERROR(INDEX([1]!_born[生没年],
MATCH(K1317,[1]!_born[作],0)),"")</f>
        <v/>
      </c>
      <c r="O1317" s="13" t="s" ph="1">
        <v>6699</v>
      </c>
      <c r="R1317" s="16" ph="1">
        <v>38944</v>
      </c>
      <c r="S1317" s="13" t="s" ph="1">
        <v>2286</v>
      </c>
      <c r="T1317" s="13" t="s" ph="1">
        <v>3806</v>
      </c>
      <c r="U1317" s="16" ph="1">
        <v>38944</v>
      </c>
      <c r="V1317" s="17" ph="1">
        <f>552*1.05</f>
        <v>579.6</v>
      </c>
      <c r="W1317" s="17" ph="1">
        <f>552*1.05</f>
        <v>579.6</v>
      </c>
      <c r="X1317" s="5" t="s" ph="1">
        <v>6698</v>
      </c>
      <c r="Y1317" s="5" ph="1"/>
    </row>
    <row r="1318" spans="1:25" ht="22.5" customHeight="1" ph="1" x14ac:dyDescent="0.35">
      <c r="A1318" s="106" t="s" ph="1">
        <v>2449</v>
      </c>
      <c r="C1318" s="13" t="s" ph="1">
        <v>3648</v>
      </c>
      <c r="G1318" s="13" t="s" ph="1">
        <v>1727</v>
      </c>
      <c r="H1318" s="13" t="s" ph="1">
        <v>1219</v>
      </c>
      <c r="I1318" s="13" t="s" ph="1">
        <v>44</v>
      </c>
      <c r="M1318" s="14" t="str" ph="1">
        <f>IFERROR(INDEX([1]!_born[生没年],
MATCH(I1318,[1]!_born[作],0)),"")</f>
        <v/>
      </c>
      <c r="N1318" s="14" t="str" ph="1">
        <f>IFERROR(INDEX([1]!_born[生没年],
MATCH(K1318,[1]!_born[作],0)),"")</f>
        <v/>
      </c>
      <c r="O1318" s="13" t="s" ph="1">
        <v>6700</v>
      </c>
      <c r="R1318" s="16" ph="1">
        <v>40057</v>
      </c>
      <c r="S1318" s="13" t="s" ph="1">
        <v>2450</v>
      </c>
      <c r="T1318" s="13" t="s" ph="1">
        <v>3806</v>
      </c>
      <c r="U1318" s="16" ph="1">
        <v>40057</v>
      </c>
      <c r="V1318" s="17" ph="1">
        <f>600*1.05</f>
        <v>630</v>
      </c>
      <c r="W1318" s="17" ph="1">
        <f>600*1.05</f>
        <v>630</v>
      </c>
      <c r="X1318" s="5" t="s" ph="1">
        <v>6698</v>
      </c>
      <c r="Y1318" s="5" ph="1"/>
    </row>
    <row r="1319" spans="1:25" ht="22.5" customHeight="1" ph="1" x14ac:dyDescent="0.35">
      <c r="C1319" s="13" t="s" ph="1">
        <v>3648</v>
      </c>
      <c r="G1319" s="13" t="s" ph="1">
        <v>1260</v>
      </c>
      <c r="I1319" s="24" t="s" ph="1">
        <v>250</v>
      </c>
      <c r="M1319" s="14" t="str" ph="1">
        <f>IFERROR(INDEX([1]!_born[生没年],
MATCH(I1319,[1]!_born[作],0)),"")</f>
        <v/>
      </c>
      <c r="N1319" s="14" t="str" ph="1">
        <f>IFERROR(INDEX([1]!_born[生没年],
MATCH(K1319,[1]!_born[作],0)),"")</f>
        <v/>
      </c>
      <c r="O1319" s="24" t="s" ph="1">
        <v>250</v>
      </c>
      <c r="R1319" s="16" t="s" ph="1">
        <v>2288</v>
      </c>
      <c r="S1319" s="13" t="s" ph="1">
        <v>2289</v>
      </c>
      <c r="T1319" s="13" t="s" ph="1">
        <v>250</v>
      </c>
      <c r="V1319" s="17" ph="1">
        <v>790</v>
      </c>
      <c r="Y1319" s="24" t="s" ph="1">
        <v>6701</v>
      </c>
    </row>
    <row r="1320" spans="1:25" ht="22.5" customHeight="1" ph="1" x14ac:dyDescent="0.35">
      <c r="C1320" s="13" t="s" ph="1">
        <v>3648</v>
      </c>
      <c r="G1320" s="13" t="s" ph="1">
        <v>1260</v>
      </c>
      <c r="I1320" s="13" t="s" ph="1">
        <v>251</v>
      </c>
      <c r="M1320" s="14" t="str" ph="1">
        <f>IFERROR(INDEX([1]!_born[生没年],
MATCH(I1320,[1]!_born[作],0)),"")</f>
        <v/>
      </c>
      <c r="N1320" s="14" t="str" ph="1">
        <f>IFERROR(INDEX([1]!_born[生没年],
MATCH(K1320,[1]!_born[作],0)),"")</f>
        <v/>
      </c>
      <c r="O1320" s="13" t="s" ph="1">
        <v>251</v>
      </c>
    </row>
    <row r="1321" spans="1:25" ht="22.5" customHeight="1" ph="1" x14ac:dyDescent="0.35">
      <c r="C1321" s="13" t="s" ph="1">
        <v>3648</v>
      </c>
      <c r="G1321" s="13" t="s" ph="1">
        <v>1260</v>
      </c>
      <c r="I1321" s="13" t="s" ph="1">
        <v>6702</v>
      </c>
      <c r="M1321" s="14" t="str" ph="1">
        <f>IFERROR(INDEX([1]!_born[生没年],
MATCH(I1321,[1]!_born[作],0)),"")</f>
        <v/>
      </c>
      <c r="N1321" s="14" t="str" ph="1">
        <f>IFERROR(INDEX([1]!_born[生没年],
MATCH(K1321,[1]!_born[作],0)),"")</f>
        <v/>
      </c>
      <c r="O1321" s="13" t="s" ph="1">
        <v>6702</v>
      </c>
      <c r="Y1321" s="13" t="s" ph="1">
        <v>6703</v>
      </c>
    </row>
    <row r="1322" spans="1:25" ht="22.5" customHeight="1" ph="1" x14ac:dyDescent="0.35">
      <c r="C1322" s="13" t="s" ph="1">
        <v>3648</v>
      </c>
      <c r="G1322" s="13" t="s" ph="1">
        <v>1765</v>
      </c>
      <c r="M1322" s="14" t="str" ph="1">
        <f>IFERROR(INDEX([1]!_born[生没年],
MATCH(I1322,[1]!_born[作],0)),"")</f>
        <v/>
      </c>
      <c r="N1322" s="14" t="str" ph="1">
        <f>IFERROR(INDEX([1]!_born[生没年],
MATCH(K1322,[1]!_born[作],0)),"")</f>
        <v/>
      </c>
      <c r="O1322" s="13" t="s" ph="1">
        <v>6704</v>
      </c>
      <c r="U1322" s="16" t="s" ph="1">
        <v>6705</v>
      </c>
    </row>
    <row r="1323" spans="1:25" ht="22.5" customHeight="1" ph="1" x14ac:dyDescent="0.35">
      <c r="C1323" s="13" t="s" ph="1">
        <v>3648</v>
      </c>
      <c r="G1323" s="13" t="s" ph="1">
        <v>3599</v>
      </c>
      <c r="I1323" s="13" t="s" ph="1">
        <v>6106</v>
      </c>
      <c r="M1323" s="14" t="str" ph="1">
        <f>IFERROR(INDEX([1]!_born[生没年],
MATCH(I1323,[1]!_born[作],0)),"")</f>
        <v/>
      </c>
      <c r="N1323" s="14" t="str" ph="1">
        <f>IFERROR(INDEX([1]!_born[生没年],
MATCH(K1323,[1]!_born[作],0)),"")</f>
        <v/>
      </c>
      <c r="O1323" s="13" t="s" ph="1">
        <v>6706</v>
      </c>
      <c r="T1323" s="13" t="s" ph="1">
        <v>3607</v>
      </c>
      <c r="V1323" s="17" ph="1">
        <v>980</v>
      </c>
      <c r="W1323" s="17" ph="1">
        <v>0</v>
      </c>
    </row>
    <row r="1324" spans="1:25" ht="22.5" customHeight="1" ph="1" x14ac:dyDescent="0.35">
      <c r="C1324" s="13" t="s" ph="1">
        <v>3648</v>
      </c>
      <c r="G1324" s="13" t="s" ph="1">
        <v>3803</v>
      </c>
      <c r="H1324" s="13" t="s" ph="1">
        <v>1269</v>
      </c>
      <c r="I1324" s="13" t="s" ph="1">
        <v>6707</v>
      </c>
      <c r="M1324" s="14" t="str" ph="1">
        <f>IFERROR(INDEX([1]!_born[生没年],
MATCH(I1324,[1]!_born[作],0)),"")</f>
        <v/>
      </c>
      <c r="N1324" s="14" t="str" ph="1">
        <f>IFERROR(INDEX([1]!_born[生没年],
MATCH(K1324,[1]!_born[作],0)),"")</f>
        <v/>
      </c>
      <c r="O1324" s="13" t="s" ph="1">
        <v>6708</v>
      </c>
      <c r="R1324" s="16" t="s" ph="1">
        <v>2290</v>
      </c>
      <c r="S1324" s="13" t="s" ph="1">
        <v>2291</v>
      </c>
      <c r="T1324" s="13" t="s" ph="1">
        <v>3926</v>
      </c>
      <c r="V1324" s="17" ph="1">
        <v>560</v>
      </c>
    </row>
    <row r="1325" spans="1:25" ht="22.5" customHeight="1" ph="1" x14ac:dyDescent="0.35">
      <c r="C1325" s="13" t="s" ph="1">
        <v>3648</v>
      </c>
      <c r="G1325" s="13" t="s" ph="1">
        <v>3803</v>
      </c>
      <c r="H1325" s="13" t="s" ph="1">
        <v>1269</v>
      </c>
      <c r="I1325" s="13" t="s" ph="1">
        <v>6709</v>
      </c>
      <c r="M1325" s="14" t="str" ph="1">
        <f>IFERROR(INDEX([1]!_born[生没年],
MATCH(I1325,[1]!_born[作],0)),"")</f>
        <v/>
      </c>
      <c r="N1325" s="14" t="str" ph="1">
        <f>IFERROR(INDEX([1]!_born[生没年],
MATCH(K1325,[1]!_born[作],0)),"")</f>
        <v/>
      </c>
      <c r="O1325" s="13" t="s" ph="1">
        <v>6710</v>
      </c>
      <c r="R1325" s="16" t="s" ph="1">
        <v>1238</v>
      </c>
      <c r="S1325" s="13" t="s" ph="1">
        <v>6711</v>
      </c>
      <c r="T1325" s="13" t="s" ph="1">
        <v>6712</v>
      </c>
      <c r="V1325" s="17" ph="1">
        <f>905*1.05</f>
        <v>950.25</v>
      </c>
    </row>
    <row r="1326" spans="1:25" ht="22.5" customHeight="1" ph="1" x14ac:dyDescent="0.35">
      <c r="C1326" s="13" t="s" ph="1">
        <v>3648</v>
      </c>
      <c r="G1326" s="13" t="s" ph="1">
        <v>1727</v>
      </c>
      <c r="I1326" s="24" t="s" ph="1">
        <v>6713</v>
      </c>
      <c r="M1326" s="14" t="str" ph="1">
        <f>IFERROR(INDEX([1]!_born[生没年],
MATCH(I1326,[1]!_born[作],0)),"")</f>
        <v/>
      </c>
      <c r="N1326" s="14" t="str" ph="1">
        <f>IFERROR(INDEX([1]!_born[生没年],
MATCH(K1326,[1]!_born[作],0)),"")</f>
        <v/>
      </c>
      <c r="O1326" s="24" t="s" ph="1">
        <v>6713</v>
      </c>
      <c r="Y1326" s="24" t="s" ph="1">
        <v>6714</v>
      </c>
    </row>
    <row r="1327" spans="1:25" ht="22.5" customHeight="1" ph="1" x14ac:dyDescent="0.35">
      <c r="C1327" s="13" t="s" ph="1">
        <v>3648</v>
      </c>
      <c r="G1327" s="13" t="s" ph="1">
        <v>746</v>
      </c>
      <c r="H1327" s="13" t="s" ph="1">
        <v>4423</v>
      </c>
      <c r="I1327" s="13" t="s" ph="1">
        <v>6715</v>
      </c>
      <c r="M1327" s="14" t="str" ph="1">
        <f>IFERROR(INDEX([1]!_born[生没年],
MATCH(I1327,[1]!_born[作],0)),"")</f>
        <v/>
      </c>
      <c r="N1327" s="14" t="str" ph="1">
        <f>IFERROR(INDEX([1]!_born[生没年],
MATCH(K1327,[1]!_born[作],0)),"")</f>
        <v/>
      </c>
      <c r="O1327" s="13" t="s" ph="1">
        <v>6716</v>
      </c>
      <c r="R1327" s="16" t="s" ph="1">
        <v>3245</v>
      </c>
      <c r="T1327" s="13" t="s" ph="1">
        <v>3244</v>
      </c>
      <c r="V1327" s="17" ph="1">
        <v>0</v>
      </c>
      <c r="W1327" s="17" ph="1">
        <v>0</v>
      </c>
    </row>
    <row r="1328" spans="1:25" ht="22.5" customHeight="1" ph="1" x14ac:dyDescent="0.35">
      <c r="C1328" s="13" t="s" ph="1">
        <v>3648</v>
      </c>
      <c r="G1328" s="13" t="s" ph="1">
        <v>1727</v>
      </c>
      <c r="I1328" s="13" t="s" ph="1">
        <v>6717</v>
      </c>
      <c r="M1328" s="14" t="str" ph="1">
        <f>IFERROR(INDEX([1]!_born[生没年],
MATCH(I1328,[1]!_born[作],0)),"")</f>
        <v/>
      </c>
      <c r="N1328" s="14" t="str" ph="1">
        <f>IFERROR(INDEX([1]!_born[生没年],
MATCH(K1328,[1]!_born[作],0)),"")</f>
        <v/>
      </c>
      <c r="O1328" s="13" t="s" ph="1">
        <v>6718</v>
      </c>
      <c r="R1328" s="16" t="s" ph="1">
        <v>2292</v>
      </c>
      <c r="T1328" s="13" t="s" ph="1">
        <v>5130</v>
      </c>
      <c r="U1328" s="16" ph="1">
        <v>36735</v>
      </c>
      <c r="V1328" s="17" ph="1">
        <v>500</v>
      </c>
      <c r="W1328" s="17" ph="1">
        <v>500</v>
      </c>
    </row>
    <row r="1329" spans="1:25" ht="22.5" customHeight="1" ph="1" x14ac:dyDescent="0.35">
      <c r="C1329" s="13" t="s" ph="1">
        <v>3648</v>
      </c>
      <c r="G1329" s="13" t="s" ph="1">
        <v>3803</v>
      </c>
      <c r="I1329" s="13" t="s" ph="1">
        <v>6719</v>
      </c>
      <c r="M1329" s="14" t="str" ph="1">
        <f>IFERROR(INDEX([1]!_born[生没年],
MATCH(I1329,[1]!_born[作],0)),"")</f>
        <v/>
      </c>
      <c r="N1329" s="14" t="str" ph="1">
        <f>IFERROR(INDEX([1]!_born[生没年],
MATCH(K1329,[1]!_born[作],0)),"")</f>
        <v/>
      </c>
      <c r="O1329" s="13" t="s" ph="1">
        <v>6720</v>
      </c>
      <c r="R1329" s="16" t="s" ph="1">
        <v>6721</v>
      </c>
      <c r="T1329" s="13" t="s" ph="1">
        <v>6719</v>
      </c>
      <c r="W1329" s="17" ph="1">
        <v>0</v>
      </c>
    </row>
    <row r="1330" spans="1:25" ht="22.5" customHeight="1" ph="1" x14ac:dyDescent="0.35">
      <c r="C1330" s="13" t="s" ph="1">
        <v>3648</v>
      </c>
      <c r="G1330" s="13" t="s" ph="1">
        <v>3803</v>
      </c>
      <c r="M1330" s="14" t="str" ph="1">
        <f>IFERROR(INDEX([1]!_born[生没年],
MATCH(I1330,[1]!_born[作],0)),"")</f>
        <v/>
      </c>
      <c r="N1330" s="14" t="str" ph="1">
        <f>IFERROR(INDEX([1]!_born[生没年],
MATCH(K1330,[1]!_born[作],0)),"")</f>
        <v/>
      </c>
      <c r="O1330" s="13" t="s" ph="1">
        <v>6722</v>
      </c>
      <c r="S1330" s="13" t="s" ph="1">
        <v>6723</v>
      </c>
      <c r="T1330" s="13" t="s" ph="1">
        <v>4974</v>
      </c>
      <c r="V1330" s="17" ph="1">
        <f>1200*1.05</f>
        <v>1260</v>
      </c>
      <c r="W1330" s="17" ph="1">
        <f>1200*1.05</f>
        <v>1260</v>
      </c>
    </row>
    <row r="1331" spans="1:25" ht="22.5" customHeight="1" ph="1" x14ac:dyDescent="0.35">
      <c r="C1331" s="13" t="s" ph="1">
        <v>3648</v>
      </c>
      <c r="G1331" s="13" t="s" ph="1">
        <v>3803</v>
      </c>
      <c r="I1331" s="13" t="s" ph="1">
        <v>2866</v>
      </c>
      <c r="M1331" s="14" t="str" ph="1">
        <f>IFERROR(INDEX([1]!_born[生没年],
MATCH(I1331,[1]!_born[作],0)),"")</f>
        <v/>
      </c>
      <c r="N1331" s="14" t="str" ph="1">
        <f>IFERROR(INDEX([1]!_born[生没年],
MATCH(K1331,[1]!_born[作],0)),"")</f>
        <v/>
      </c>
      <c r="O1331" s="13" t="s" ph="1">
        <v>6724</v>
      </c>
      <c r="S1331" s="13" t="s" ph="1">
        <v>6725</v>
      </c>
      <c r="T1331" s="13" t="s" ph="1">
        <v>2866</v>
      </c>
      <c r="U1331" s="16" t="s" ph="1">
        <v>2867</v>
      </c>
      <c r="V1331" s="17" ph="1">
        <v>0</v>
      </c>
      <c r="W1331" s="17" ph="1">
        <v>0</v>
      </c>
      <c r="Y1331" s="13" t="s" ph="1">
        <v>6726</v>
      </c>
    </row>
    <row r="1332" spans="1:25" ht="22.5" customHeight="1" ph="1" x14ac:dyDescent="0.35">
      <c r="C1332" s="13" t="s" ph="1">
        <v>3648</v>
      </c>
      <c r="G1332" s="13" t="s" ph="1">
        <v>1727</v>
      </c>
      <c r="I1332" s="13" t="s" ph="1">
        <v>45</v>
      </c>
      <c r="M1332" s="14" t="str" ph="1">
        <f>IFERROR(INDEX([1]!_born[生没年],
MATCH(I1332,[1]!_born[作],0)),"")</f>
        <v/>
      </c>
      <c r="N1332" s="14" t="str" ph="1">
        <f>IFERROR(INDEX([1]!_born[生没年],
MATCH(K1332,[1]!_born[作],0)),"")</f>
        <v/>
      </c>
      <c r="O1332" s="13" t="s" ph="1">
        <v>45</v>
      </c>
      <c r="U1332" s="16" t="s" ph="1">
        <v>1217</v>
      </c>
    </row>
    <row r="1333" spans="1:25" ht="22.5" customHeight="1" ph="1" x14ac:dyDescent="0.35">
      <c r="C1333" s="13" t="s" ph="1">
        <v>3648</v>
      </c>
      <c r="G1333" s="13" t="s" ph="1">
        <v>1727</v>
      </c>
      <c r="I1333" s="13" t="s" ph="1">
        <v>45</v>
      </c>
      <c r="M1333" s="14" t="str" ph="1">
        <f>IFERROR(INDEX([1]!_born[生没年],
MATCH(I1333,[1]!_born[作],0)),"")</f>
        <v/>
      </c>
      <c r="N1333" s="14" t="str" ph="1">
        <f>IFERROR(INDEX([1]!_born[生没年],
MATCH(K1333,[1]!_born[作],0)),"")</f>
        <v/>
      </c>
      <c r="O1333" s="13" t="s" ph="1">
        <v>45</v>
      </c>
      <c r="U1333" s="16" t="s" ph="1">
        <v>1217</v>
      </c>
    </row>
    <row r="1334" spans="1:25" ht="22.5" customHeight="1" ph="1" x14ac:dyDescent="0.35">
      <c r="C1334" s="13" t="s" ph="1">
        <v>3648</v>
      </c>
      <c r="G1334" s="13" t="s" ph="1">
        <v>1727</v>
      </c>
      <c r="I1334" s="13" t="s" ph="1">
        <v>6727</v>
      </c>
      <c r="M1334" s="14" t="str" ph="1">
        <f>IFERROR(INDEX([1]!_born[生没年],
MATCH(I1334,[1]!_born[作],0)),"")</f>
        <v/>
      </c>
      <c r="N1334" s="14" t="str" ph="1">
        <f>IFERROR(INDEX([1]!_born[生没年],
MATCH(K1334,[1]!_born[作],0)),"")</f>
        <v/>
      </c>
      <c r="O1334" s="13" t="s" ph="1">
        <v>6727</v>
      </c>
      <c r="U1334" s="16" t="s" ph="1">
        <v>1217</v>
      </c>
    </row>
    <row r="1335" spans="1:25" ht="22.5" customHeight="1" ph="1" x14ac:dyDescent="0.35">
      <c r="C1335" s="13" t="s" ph="1">
        <v>3648</v>
      </c>
      <c r="G1335" s="13" t="s" ph="1">
        <v>746</v>
      </c>
      <c r="I1335" s="13" t="s" ph="1">
        <v>6728</v>
      </c>
      <c r="M1335" s="14" t="str" ph="1">
        <f>IFERROR(INDEX([1]!_born[生没年],
MATCH(I1335,[1]!_born[作],0)),"")</f>
        <v/>
      </c>
      <c r="N1335" s="14" t="str" ph="1">
        <f>IFERROR(INDEX([1]!_born[生没年],
MATCH(K1335,[1]!_born[作],0)),"")</f>
        <v/>
      </c>
      <c r="O1335" s="13" t="s" ph="1">
        <v>6728</v>
      </c>
      <c r="U1335" s="16" t="s" ph="1">
        <v>50</v>
      </c>
    </row>
    <row r="1336" spans="1:25" ht="22.5" customHeight="1" ph="1" x14ac:dyDescent="0.35">
      <c r="C1336" s="13" t="s" ph="1">
        <v>3648</v>
      </c>
      <c r="G1336" s="13" t="s" ph="1">
        <v>1727</v>
      </c>
      <c r="I1336" s="13" t="s" ph="1">
        <v>6729</v>
      </c>
      <c r="M1336" s="14" t="str" ph="1">
        <f>IFERROR(INDEX([1]!_born[生没年],
MATCH(I1336,[1]!_born[作],0)),"")</f>
        <v/>
      </c>
      <c r="N1336" s="14" t="str" ph="1">
        <f>IFERROR(INDEX([1]!_born[生没年],
MATCH(K1336,[1]!_born[作],0)),"")</f>
        <v/>
      </c>
      <c r="O1336" s="13" t="s" ph="1">
        <v>6729</v>
      </c>
      <c r="R1336" s="16" ph="1">
        <v>41091</v>
      </c>
      <c r="S1336" s="13" t="s" ph="1">
        <v>6730</v>
      </c>
      <c r="U1336" s="16" ph="1">
        <v>41103</v>
      </c>
      <c r="V1336" s="17" ph="1">
        <v>0</v>
      </c>
      <c r="W1336" s="17" ph="1">
        <v>0</v>
      </c>
      <c r="X1336" s="13" t="s" ph="1">
        <v>6731</v>
      </c>
    </row>
    <row r="1337" spans="1:25" s="7" customFormat="1" ht="22.5" customHeight="1" ph="1" x14ac:dyDescent="0.35">
      <c r="A1337" s="106" ph="1"/>
      <c r="B1337" s="5" ph="1"/>
      <c r="C1337" s="9" t="s" ph="1">
        <v>1285</v>
      </c>
      <c r="D1337" s="122" ph="1"/>
      <c r="E1337" s="122" ph="1"/>
      <c r="G1337" s="8" t="s" ph="1">
        <v>3970</v>
      </c>
      <c r="H1337" s="9" ph="1"/>
      <c r="M1337" s="7" t="str" ph="1">
        <f>IFERROR(INDEX([1]!_born[生没年],
MATCH(I1337,[1]!_born[作],0)),"")</f>
        <v/>
      </c>
      <c r="N1337" s="7" t="str" ph="1">
        <f>IFERROR(INDEX([1]!_born[生没年],
MATCH(K1337,[1]!_born[作],0)),"")</f>
        <v/>
      </c>
      <c r="R1337" s="10" ph="1"/>
      <c r="U1337" s="10" ph="1"/>
      <c r="V1337" s="11" ph="1"/>
      <c r="W1337" s="11" ph="1"/>
    </row>
    <row r="1338" spans="1:25" ht="22.5" customHeight="1" ph="1" x14ac:dyDescent="0.35">
      <c r="C1338" s="13" t="s" ph="1">
        <v>3970</v>
      </c>
      <c r="G1338" s="13" t="s" ph="1">
        <v>1309</v>
      </c>
      <c r="H1338" s="13" t="s" ph="1">
        <v>1269</v>
      </c>
      <c r="I1338" s="13" t="s" ph="1">
        <v>6732</v>
      </c>
      <c r="K1338" s="13" t="s" ph="1">
        <v>6733</v>
      </c>
      <c r="L1338" s="13" t="s" ph="1">
        <v>3628</v>
      </c>
      <c r="M1338" s="14" t="str" ph="1">
        <f>IFERROR(INDEX([1]!_born[生没年],
MATCH(I1338,[1]!_born[作],0)),"")</f>
        <v/>
      </c>
      <c r="N1338" s="14" t="str" ph="1">
        <f>IFERROR(INDEX([1]!_born[生没年],
MATCH(K1338,[1]!_born[作],0)),"")</f>
        <v/>
      </c>
      <c r="O1338" s="13" t="s" ph="1">
        <v>6734</v>
      </c>
      <c r="T1338" s="13" t="s" ph="1">
        <v>6735</v>
      </c>
    </row>
    <row r="1339" spans="1:25" ht="22.5" customHeight="1" ph="1" x14ac:dyDescent="0.35">
      <c r="C1339" s="13" t="s" ph="1">
        <v>3970</v>
      </c>
      <c r="G1339" s="13" t="s" ph="1">
        <v>1309</v>
      </c>
      <c r="H1339" s="13" t="s" ph="1">
        <v>1269</v>
      </c>
      <c r="I1339" s="13" t="s" ph="1">
        <v>6732</v>
      </c>
      <c r="K1339" s="13" t="s" ph="1">
        <v>6733</v>
      </c>
      <c r="L1339" s="13" t="s" ph="1">
        <v>3628</v>
      </c>
      <c r="M1339" s="14" t="str" ph="1">
        <f>IFERROR(INDEX([1]!_born[生没年],
MATCH(I1339,[1]!_born[作],0)),"")</f>
        <v/>
      </c>
      <c r="N1339" s="14" t="str" ph="1">
        <f>IFERROR(INDEX([1]!_born[生没年],
MATCH(K1339,[1]!_born[作],0)),"")</f>
        <v/>
      </c>
      <c r="O1339" s="13" t="s" ph="1">
        <v>6734</v>
      </c>
      <c r="T1339" s="13" t="s" ph="1">
        <v>6735</v>
      </c>
    </row>
    <row r="1340" spans="1:25" ht="22.5" customHeight="1" ph="1" x14ac:dyDescent="0.35">
      <c r="C1340" s="13" t="s" ph="1">
        <v>6282</v>
      </c>
      <c r="G1340" s="13" t="s" ph="1">
        <v>1309</v>
      </c>
      <c r="H1340" s="13" t="s" ph="1">
        <v>1269</v>
      </c>
      <c r="I1340" s="13" t="s" ph="1">
        <v>6732</v>
      </c>
      <c r="K1340" s="13" t="s" ph="1">
        <v>6733</v>
      </c>
      <c r="L1340" s="13" t="s" ph="1">
        <v>3628</v>
      </c>
      <c r="M1340" s="14" t="str" ph="1">
        <f>IFERROR(INDEX([1]!_born[生没年],
MATCH(I1340,[1]!_born[作],0)),"")</f>
        <v/>
      </c>
      <c r="N1340" s="14" t="str" ph="1">
        <f>IFERROR(INDEX([1]!_born[生没年],
MATCH(K1340,[1]!_born[作],0)),"")</f>
        <v/>
      </c>
      <c r="O1340" s="13" t="s" ph="1">
        <v>6736</v>
      </c>
      <c r="R1340" s="16" t="s" ph="1">
        <v>2293</v>
      </c>
      <c r="T1340" s="13" t="s" ph="1">
        <v>6735</v>
      </c>
      <c r="W1340" s="17" ph="1">
        <f>3800*1.05</f>
        <v>3990</v>
      </c>
    </row>
    <row r="1341" spans="1:25" ht="22.5" customHeight="1" ph="1" x14ac:dyDescent="0.35">
      <c r="C1341" s="13" t="s" ph="1">
        <v>6737</v>
      </c>
      <c r="G1341" s="13" t="s" ph="1">
        <v>2294</v>
      </c>
      <c r="H1341" s="13" t="s" ph="1">
        <v>1269</v>
      </c>
      <c r="I1341" s="31" t="s" ph="1">
        <v>6738</v>
      </c>
      <c r="M1341" s="14" t="str" ph="1">
        <f>IFERROR(INDEX([1]!_born[生没年],
MATCH(I1341,[1]!_born[作],0)),"")</f>
        <v/>
      </c>
      <c r="N1341" s="14" t="str" ph="1">
        <f>IFERROR(INDEX([1]!_born[生没年],
MATCH(K1341,[1]!_born[作],0)),"")</f>
        <v/>
      </c>
      <c r="O1341" s="13" t="s" ph="1">
        <v>6739</v>
      </c>
      <c r="R1341" s="16" t="s" ph="1">
        <v>2295</v>
      </c>
      <c r="T1341" s="13" t="s" ph="1">
        <v>520</v>
      </c>
      <c r="U1341" s="16" ph="1">
        <v>37377</v>
      </c>
      <c r="V1341" s="17" ph="1">
        <v>290</v>
      </c>
    </row>
    <row r="1342" spans="1:25" ht="22.5" customHeight="1" ph="1" x14ac:dyDescent="0.35">
      <c r="C1342" s="13" t="s" ph="1">
        <v>6737</v>
      </c>
      <c r="D1342" s="123" ph="1">
        <v>9</v>
      </c>
      <c r="E1342" s="123" t="s" ph="1">
        <v>1225</v>
      </c>
      <c r="G1342" s="13" t="s" ph="1">
        <v>2294</v>
      </c>
      <c r="H1342" s="13" t="s" ph="1">
        <v>1269</v>
      </c>
      <c r="I1342" s="31" t="s" ph="1">
        <v>6738</v>
      </c>
      <c r="M1342" s="14" t="str" ph="1">
        <f>IFERROR(INDEX([1]!_born[生没年],
MATCH(I1342,[1]!_born[作],0)),"")</f>
        <v/>
      </c>
      <c r="N1342" s="14" t="str" ph="1">
        <f>IFERROR(INDEX([1]!_born[生没年],
MATCH(K1342,[1]!_born[作],0)),"")</f>
        <v/>
      </c>
      <c r="O1342" s="13" t="s" ph="1">
        <v>2296</v>
      </c>
      <c r="R1342" s="16" t="s" ph="1">
        <v>2297</v>
      </c>
      <c r="T1342" s="13" t="s" ph="1">
        <v>520</v>
      </c>
      <c r="U1342" s="16" ph="1">
        <v>37377</v>
      </c>
      <c r="V1342" s="17" ph="1">
        <v>500</v>
      </c>
    </row>
    <row r="1343" spans="1:25" ht="22.5" customHeight="1" ph="1" x14ac:dyDescent="0.35">
      <c r="C1343" s="13" t="s" ph="1">
        <v>6737</v>
      </c>
      <c r="D1343" s="123" ph="1">
        <v>15</v>
      </c>
      <c r="E1343" s="123" t="s" ph="1">
        <v>3145</v>
      </c>
      <c r="G1343" s="13" t="s" ph="1">
        <v>2294</v>
      </c>
      <c r="H1343" s="13" t="s" ph="1">
        <v>1269</v>
      </c>
      <c r="I1343" s="31" t="s" ph="1">
        <v>6738</v>
      </c>
      <c r="M1343" s="14" t="str" ph="1">
        <f>IFERROR(INDEX([1]!_born[生没年],
MATCH(I1343,[1]!_born[作],0)),"")</f>
        <v/>
      </c>
      <c r="N1343" s="14" t="str" ph="1">
        <f>IFERROR(INDEX([1]!_born[生没年],
MATCH(K1343,[1]!_born[作],0)),"")</f>
        <v/>
      </c>
      <c r="O1343" s="13" t="s" ph="1">
        <v>2298</v>
      </c>
      <c r="R1343" s="16" t="s" ph="1">
        <v>2299</v>
      </c>
      <c r="T1343" s="13" t="s" ph="1">
        <v>520</v>
      </c>
      <c r="U1343" s="16" ph="1">
        <v>37377</v>
      </c>
      <c r="V1343" s="17" ph="1">
        <v>500</v>
      </c>
    </row>
    <row r="1344" spans="1:25" ht="22.5" customHeight="1" ph="1" x14ac:dyDescent="0.35">
      <c r="C1344" s="13" t="s" ph="1">
        <v>6737</v>
      </c>
      <c r="D1344" s="123" ph="1">
        <v>17</v>
      </c>
      <c r="E1344" s="123" t="s" ph="1">
        <v>3145</v>
      </c>
      <c r="G1344" s="13" t="s" ph="1">
        <v>2294</v>
      </c>
      <c r="H1344" s="13" t="s" ph="1">
        <v>1269</v>
      </c>
      <c r="I1344" s="31" t="s" ph="1">
        <v>6738</v>
      </c>
      <c r="M1344" s="14" t="str" ph="1">
        <f>IFERROR(INDEX([1]!_born[生没年],
MATCH(I1344,[1]!_born[作],0)),"")</f>
        <v/>
      </c>
      <c r="N1344" s="14" t="str" ph="1">
        <f>IFERROR(INDEX([1]!_born[生没年],
MATCH(K1344,[1]!_born[作],0)),"")</f>
        <v/>
      </c>
      <c r="O1344" s="13" t="s" ph="1">
        <v>2300</v>
      </c>
      <c r="R1344" s="16" t="s" ph="1">
        <v>2301</v>
      </c>
      <c r="T1344" s="13" t="s" ph="1">
        <v>520</v>
      </c>
      <c r="U1344" s="16" ph="1">
        <v>37377</v>
      </c>
      <c r="V1344" s="17" ph="1">
        <v>500</v>
      </c>
    </row>
    <row r="1345" spans="1:25" ht="22.5" customHeight="1" ph="1" x14ac:dyDescent="0.35">
      <c r="C1345" s="13" t="s" ph="1">
        <v>6737</v>
      </c>
      <c r="D1345" s="123" ph="1">
        <v>22</v>
      </c>
      <c r="E1345" s="123" t="s" ph="1">
        <v>3145</v>
      </c>
      <c r="G1345" s="13" t="s" ph="1">
        <v>2294</v>
      </c>
      <c r="H1345" s="13" t="s" ph="1">
        <v>1269</v>
      </c>
      <c r="I1345" s="31" t="s" ph="1">
        <v>6738</v>
      </c>
      <c r="M1345" s="14" t="str" ph="1">
        <f>IFERROR(INDEX([1]!_born[生没年],
MATCH(I1345,[1]!_born[作],0)),"")</f>
        <v/>
      </c>
      <c r="N1345" s="14" t="str" ph="1">
        <f>IFERROR(INDEX([1]!_born[生没年],
MATCH(K1345,[1]!_born[作],0)),"")</f>
        <v/>
      </c>
      <c r="O1345" s="13" t="s" ph="1">
        <v>2302</v>
      </c>
      <c r="R1345" s="16" t="s" ph="1">
        <v>2303</v>
      </c>
      <c r="T1345" s="13" t="s" ph="1">
        <v>520</v>
      </c>
      <c r="U1345" s="16" ph="1">
        <v>37377</v>
      </c>
      <c r="V1345" s="17" ph="1">
        <v>500</v>
      </c>
    </row>
    <row r="1346" spans="1:25" ht="22.5" customHeight="1" ph="1" x14ac:dyDescent="0.35">
      <c r="C1346" s="13" t="s" ph="1">
        <v>6737</v>
      </c>
      <c r="D1346" s="123" ph="1">
        <v>30</v>
      </c>
      <c r="E1346" s="123" t="s" ph="1">
        <v>3145</v>
      </c>
      <c r="G1346" s="13" t="s" ph="1">
        <v>2294</v>
      </c>
      <c r="H1346" s="13" t="s" ph="1">
        <v>1269</v>
      </c>
      <c r="I1346" s="31" t="s" ph="1">
        <v>6738</v>
      </c>
      <c r="M1346" s="14" t="str" ph="1">
        <f>IFERROR(INDEX([1]!_born[生没年],
MATCH(I1346,[1]!_born[作],0)),"")</f>
        <v/>
      </c>
      <c r="N1346" s="14" t="str" ph="1">
        <f>IFERROR(INDEX([1]!_born[生没年],
MATCH(K1346,[1]!_born[作],0)),"")</f>
        <v/>
      </c>
      <c r="O1346" s="13" t="s" ph="1">
        <v>2304</v>
      </c>
      <c r="R1346" s="16" t="s" ph="1">
        <v>2305</v>
      </c>
      <c r="T1346" s="13" t="s" ph="1">
        <v>520</v>
      </c>
      <c r="U1346" s="16" ph="1">
        <v>37377</v>
      </c>
      <c r="V1346" s="17" ph="1">
        <v>500</v>
      </c>
    </row>
    <row r="1347" spans="1:25" ht="22.5" customHeight="1" ph="1" x14ac:dyDescent="0.35">
      <c r="A1347" s="106" t="s" ph="1">
        <v>2453</v>
      </c>
      <c r="B1347" s="5" t="s" ph="1">
        <v>2454</v>
      </c>
      <c r="C1347" s="13" t="s" ph="1">
        <v>3970</v>
      </c>
      <c r="G1347" s="13" t="s" ph="1">
        <v>2294</v>
      </c>
      <c r="I1347" s="13" t="s" ph="1">
        <v>6740</v>
      </c>
      <c r="J1347" s="13" t="s" ph="1">
        <v>3671</v>
      </c>
      <c r="K1347" s="13" t="s" ph="1">
        <v>6741</v>
      </c>
      <c r="L1347" s="13" t="s" ph="1">
        <v>4049</v>
      </c>
      <c r="M1347" s="14" t="str" ph="1">
        <f>IFERROR(INDEX([1]!_born[生没年],
MATCH(I1347,[1]!_born[作],0)),"")</f>
        <v/>
      </c>
      <c r="N1347" s="14" t="str" ph="1">
        <f>IFERROR(INDEX([1]!_born[生没年],
MATCH(K1347,[1]!_born[作],0)),"")</f>
        <v/>
      </c>
      <c r="O1347" s="13" t="s" ph="1">
        <v>6742</v>
      </c>
      <c r="R1347" s="16" ph="1">
        <v>39913</v>
      </c>
      <c r="S1347" s="13" t="s" ph="1">
        <v>6743</v>
      </c>
      <c r="T1347" s="13" t="s" ph="1">
        <v>6744</v>
      </c>
      <c r="U1347" s="16" t="s" ph="1">
        <v>2455</v>
      </c>
      <c r="V1347" s="17" ph="1">
        <f>4500*1.05</f>
        <v>4725</v>
      </c>
    </row>
    <row r="1348" spans="1:25" s="19" customFormat="1" ht="22.5" customHeight="1" ph="1" x14ac:dyDescent="0.35">
      <c r="A1348" s="107" ph="1"/>
      <c r="B1348" s="18" ph="1"/>
      <c r="C1348" s="19" t="s" ph="1">
        <v>6745</v>
      </c>
      <c r="D1348" s="124" ph="1"/>
      <c r="E1348" s="124" ph="1"/>
      <c r="G1348" s="19" t="s" ph="1">
        <v>112</v>
      </c>
      <c r="M1348" s="27" t="str" ph="1">
        <f>IFERROR(INDEX([1]!_born[生没年],
MATCH(I1348,[1]!_born[作],0)),"")</f>
        <v/>
      </c>
      <c r="N1348" s="27" t="str" ph="1">
        <f>IFERROR(INDEX([1]!_born[生没年],
MATCH(K1348,[1]!_born[作],0)),"")</f>
        <v/>
      </c>
      <c r="O1348" s="120" t="s" ph="1">
        <v>6746</v>
      </c>
      <c r="R1348" s="20" ph="1"/>
      <c r="T1348" s="19" t="s" ph="1">
        <v>6747</v>
      </c>
      <c r="U1348" s="20" ph="1"/>
      <c r="V1348" s="21" ph="1"/>
      <c r="W1348" s="21" ph="1"/>
      <c r="X1348" s="21" ph="1"/>
      <c r="Y1348" s="113" t="s" ph="1">
        <v>6748</v>
      </c>
    </row>
    <row r="1349" spans="1:25" ht="22.5" customHeight="1" ph="1" x14ac:dyDescent="0.35">
      <c r="A1349" s="106" t="s" ph="1">
        <v>2929</v>
      </c>
      <c r="C1349" s="13" t="s" ph="1">
        <v>3970</v>
      </c>
      <c r="G1349" s="13" t="s" ph="1">
        <v>112</v>
      </c>
      <c r="I1349" s="13" t="s" ph="1">
        <v>6749</v>
      </c>
      <c r="M1349" s="14" t="str" ph="1">
        <f>IFERROR(INDEX([1]!_born[生没年],
MATCH(I1349,[1]!_born[作],0)),"")</f>
        <v/>
      </c>
      <c r="N1349" s="14" t="str" ph="1">
        <f>IFERROR(INDEX([1]!_born[生没年],
MATCH(K1349,[1]!_born[作],0)),"")</f>
        <v/>
      </c>
      <c r="O1349" s="13" t="s" ph="1">
        <v>6750</v>
      </c>
      <c r="R1349" s="16" ph="1">
        <v>37225</v>
      </c>
      <c r="T1349" s="13" t="s" ph="1">
        <v>4944</v>
      </c>
      <c r="U1349" s="16" ph="1">
        <v>42630</v>
      </c>
      <c r="V1349" s="17" ph="1">
        <f>6500*1.05</f>
        <v>6825</v>
      </c>
      <c r="W1349" s="17" ph="1">
        <v>2266</v>
      </c>
      <c r="X1349" s="13" t="s" ph="1">
        <v>6751</v>
      </c>
    </row>
    <row r="1350" spans="1:25" ht="22.5" customHeight="1" ph="1" x14ac:dyDescent="0.35">
      <c r="C1350" s="13" t="s" ph="1">
        <v>3970</v>
      </c>
      <c r="G1350" s="13" t="s" ph="1">
        <v>1309</v>
      </c>
      <c r="M1350" s="14" t="str" ph="1">
        <f>IFERROR(INDEX([1]!_born[生没年],
MATCH(I1350,[1]!_born[作],0)),"")</f>
        <v/>
      </c>
      <c r="N1350" s="14" t="str" ph="1">
        <f>IFERROR(INDEX([1]!_born[生没年],
MATCH(K1350,[1]!_born[作],0)),"")</f>
        <v/>
      </c>
      <c r="O1350" s="13" t="s" ph="1">
        <v>6752</v>
      </c>
      <c r="R1350" s="16" t="s" ph="1">
        <v>1261</v>
      </c>
      <c r="T1350" s="13" t="s" ph="1">
        <v>3607</v>
      </c>
      <c r="V1350" s="17" ph="1">
        <v>12000</v>
      </c>
    </row>
    <row r="1351" spans="1:25" ht="22.5" customHeight="1" ph="1" x14ac:dyDescent="0.35">
      <c r="A1351" s="106" t="s" ph="1">
        <v>2628</v>
      </c>
      <c r="C1351" s="13" t="s" ph="1">
        <v>3970</v>
      </c>
      <c r="G1351" s="13" t="s" ph="1">
        <v>112</v>
      </c>
      <c r="I1351" s="13" t="s" ph="1">
        <v>6753</v>
      </c>
      <c r="M1351" s="14" t="str" ph="1">
        <f>IFERROR(INDEX([1]!_born[生没年],
MATCH(I1351,[1]!_born[作],0)),"")</f>
        <v/>
      </c>
      <c r="N1351" s="14" t="str" ph="1">
        <f>IFERROR(INDEX([1]!_born[生没年],
MATCH(K1351,[1]!_born[作],0)),"")</f>
        <v/>
      </c>
      <c r="O1351" s="105" t="s" ph="1">
        <v>6754</v>
      </c>
      <c r="R1351" s="16" ph="1">
        <v>1971</v>
      </c>
      <c r="T1351" s="13" t="s" ph="1">
        <v>6755</v>
      </c>
      <c r="U1351" s="16" ph="1">
        <v>41221</v>
      </c>
      <c r="V1351" s="17" ph="1">
        <v>1600</v>
      </c>
      <c r="W1351" s="17" ph="1">
        <f>380+250</f>
        <v>630</v>
      </c>
      <c r="X1351" s="13" t="s" ph="1">
        <v>5062</v>
      </c>
    </row>
    <row r="1352" spans="1:25" ht="22.5" customHeight="1" ph="1" x14ac:dyDescent="0.35">
      <c r="C1352" s="13" t="s" ph="1">
        <v>3970</v>
      </c>
      <c r="G1352" s="13" t="s" ph="1">
        <v>1309</v>
      </c>
      <c r="M1352" s="14" t="str" ph="1">
        <f>IFERROR(INDEX([1]!_born[生没年],
MATCH(I1352,[1]!_born[作],0)),"")</f>
        <v/>
      </c>
      <c r="N1352" s="14" t="str" ph="1">
        <f>IFERROR(INDEX([1]!_born[生没年],
MATCH(K1352,[1]!_born[作],0)),"")</f>
        <v/>
      </c>
      <c r="O1352" s="13" t="s" ph="1">
        <v>6756</v>
      </c>
      <c r="R1352" s="16" t="s" ph="1">
        <v>1261</v>
      </c>
      <c r="T1352" s="13" t="s" ph="1">
        <v>4493</v>
      </c>
      <c r="U1352" s="16" t="s" ph="1">
        <v>1217</v>
      </c>
    </row>
    <row r="1353" spans="1:25" ht="22.5" customHeight="1" ph="1" x14ac:dyDescent="0.35">
      <c r="C1353" s="13" t="s" ph="1">
        <v>3970</v>
      </c>
      <c r="G1353" s="13" t="s" ph="1">
        <v>3803</v>
      </c>
      <c r="I1353" s="13" t="s" ph="1">
        <v>6757</v>
      </c>
      <c r="J1353" s="13" t="s" ph="1">
        <v>3616</v>
      </c>
      <c r="M1353" s="14" t="str" ph="1">
        <f>IFERROR(INDEX([1]!_born[生没年],
MATCH(I1353,[1]!_born[作],0)),"")</f>
        <v/>
      </c>
      <c r="N1353" s="14" t="str" ph="1">
        <f>IFERROR(INDEX([1]!_born[生没年],
MATCH(K1353,[1]!_born[作],0)),"")</f>
        <v/>
      </c>
      <c r="O1353" s="13" t="s" ph="1">
        <v>6758</v>
      </c>
      <c r="T1353" s="13" t="s" ph="1">
        <v>3938</v>
      </c>
      <c r="U1353" s="16" t="s" ph="1">
        <v>1217</v>
      </c>
      <c r="V1353" s="17" ph="1">
        <v>1400</v>
      </c>
    </row>
    <row r="1354" spans="1:25" ht="22.5" customHeight="1" ph="1" x14ac:dyDescent="0.35">
      <c r="A1354" s="106" t="s" ph="1">
        <v>2930</v>
      </c>
      <c r="B1354" s="5" t="s" ph="1">
        <v>2933</v>
      </c>
      <c r="C1354" s="13" t="s" ph="1">
        <v>3970</v>
      </c>
      <c r="G1354" s="13" t="s" ph="1">
        <v>3803</v>
      </c>
      <c r="I1354" s="13" t="s" ph="1">
        <v>6759</v>
      </c>
      <c r="J1354" s="13" t="s" ph="1">
        <v>3616</v>
      </c>
      <c r="M1354" s="14" t="str" ph="1">
        <f>IFERROR(INDEX([1]!_born[生没年],
MATCH(I1354,[1]!_born[作],0)),"")</f>
        <v/>
      </c>
      <c r="N1354" s="14" t="str" ph="1">
        <f>IFERROR(INDEX([1]!_born[生没年],
MATCH(K1354,[1]!_born[作],0)),"")</f>
        <v/>
      </c>
      <c r="O1354" s="13" t="s" ph="1">
        <v>6760</v>
      </c>
      <c r="R1354" s="16" ph="1">
        <v>39896</v>
      </c>
      <c r="T1354" s="13" t="s" ph="1">
        <v>6761</v>
      </c>
      <c r="U1354" s="16" ph="1">
        <v>42630</v>
      </c>
      <c r="V1354" s="17" ph="1">
        <f>2700*1.08</f>
        <v>2916</v>
      </c>
      <c r="W1354" s="17" ph="1">
        <f>2700*1.08</f>
        <v>2916</v>
      </c>
      <c r="X1354" s="13" t="s" ph="1">
        <v>6751</v>
      </c>
    </row>
    <row r="1355" spans="1:25" ht="22.5" customHeight="1" ph="1" x14ac:dyDescent="0.35">
      <c r="C1355" s="13" t="s" ph="1">
        <v>3970</v>
      </c>
      <c r="G1355" s="13" t="s" ph="1">
        <v>3803</v>
      </c>
      <c r="I1355" s="13" t="s" ph="1">
        <v>6762</v>
      </c>
      <c r="M1355" s="14" t="str" ph="1">
        <f>IFERROR(INDEX([1]!_born[生没年],
MATCH(I1355,[1]!_born[作],0)),"")</f>
        <v/>
      </c>
      <c r="N1355" s="14" t="str" ph="1">
        <f>IFERROR(INDEX([1]!_born[生没年],
MATCH(K1355,[1]!_born[作],0)),"")</f>
        <v/>
      </c>
      <c r="O1355" s="13" t="s" ph="1">
        <v>6763</v>
      </c>
      <c r="R1355" s="16" t="s" ph="1">
        <v>1374</v>
      </c>
      <c r="T1355" s="13" t="s" ph="1">
        <v>6764</v>
      </c>
      <c r="V1355" s="17" ph="1">
        <v>1900</v>
      </c>
      <c r="W1355" s="17" ph="1">
        <v>200</v>
      </c>
    </row>
    <row r="1356" spans="1:25" ht="22.5" customHeight="1" ph="1" x14ac:dyDescent="0.35">
      <c r="C1356" s="13" t="s" ph="1">
        <v>3970</v>
      </c>
      <c r="G1356" s="13" t="s" ph="1">
        <v>3803</v>
      </c>
      <c r="M1356" s="14" t="str" ph="1">
        <f>IFERROR(INDEX([1]!_born[生没年],
MATCH(I1356,[1]!_born[作],0)),"")</f>
        <v/>
      </c>
      <c r="N1356" s="14" t="str" ph="1">
        <f>IFERROR(INDEX([1]!_born[生没年],
MATCH(K1356,[1]!_born[作],0)),"")</f>
        <v/>
      </c>
      <c r="O1356" s="13" t="s" ph="1">
        <v>6765</v>
      </c>
      <c r="R1356" s="16" t="s" ph="1">
        <v>2306</v>
      </c>
      <c r="T1356" s="13" t="s" ph="1">
        <v>6766</v>
      </c>
      <c r="V1356" s="17" ph="1">
        <v>3600</v>
      </c>
      <c r="W1356" s="17" ph="1">
        <v>1400</v>
      </c>
    </row>
    <row r="1357" spans="1:25" ht="22.5" customHeight="1" ph="1" x14ac:dyDescent="0.35">
      <c r="C1357" s="13" t="s" ph="1">
        <v>3970</v>
      </c>
      <c r="G1357" s="13" t="s" ph="1">
        <v>3803</v>
      </c>
      <c r="M1357" s="14" t="str" ph="1">
        <f>IFERROR(INDEX([1]!_born[生没年],
MATCH(I1357,[1]!_born[作],0)),"")</f>
        <v/>
      </c>
      <c r="N1357" s="14" t="str" ph="1">
        <f>IFERROR(INDEX([1]!_born[生没年],
MATCH(K1357,[1]!_born[作],0)),"")</f>
        <v/>
      </c>
      <c r="O1357" s="13" t="s" ph="1">
        <v>6767</v>
      </c>
      <c r="R1357" s="16" t="s" ph="1">
        <v>154</v>
      </c>
      <c r="T1357" s="13" t="s" ph="1">
        <v>6768</v>
      </c>
      <c r="V1357" s="17" ph="1">
        <v>2300</v>
      </c>
      <c r="W1357" s="17" ph="1">
        <v>850</v>
      </c>
    </row>
    <row r="1358" spans="1:25" ht="22.5" customHeight="1" ph="1" x14ac:dyDescent="0.35">
      <c r="A1358" s="106" t="s" ph="1">
        <v>3184</v>
      </c>
      <c r="C1358" s="13" t="s" ph="1">
        <v>3970</v>
      </c>
      <c r="G1358" s="13" t="s" ph="1">
        <v>3803</v>
      </c>
      <c r="I1358" s="13" t="s" ph="1">
        <v>2939</v>
      </c>
      <c r="J1358" s="13" t="s" ph="1">
        <v>3616</v>
      </c>
      <c r="M1358" s="14" t="str" ph="1">
        <f>IFERROR(INDEX([1]!_born[生没年],
MATCH(I1358,[1]!_born[作],0)),"")</f>
        <v/>
      </c>
      <c r="N1358" s="14" t="str" ph="1">
        <f>IFERROR(INDEX([1]!_born[生没年],
MATCH(K1358,[1]!_born[作],0)),"")</f>
        <v/>
      </c>
      <c r="O1358" s="13" t="s" ph="1">
        <v>6769</v>
      </c>
      <c r="R1358" s="16" ph="1">
        <v>22240</v>
      </c>
      <c r="T1358" s="13" t="s" ph="1">
        <v>4629</v>
      </c>
      <c r="U1358" s="16" ph="1">
        <v>44980</v>
      </c>
      <c r="V1358" s="17" ph="1">
        <v>1950</v>
      </c>
      <c r="W1358" s="17" ph="1">
        <v>100</v>
      </c>
      <c r="X1358" s="13" t="s" ph="1">
        <v>3883</v>
      </c>
    </row>
    <row r="1359" spans="1:25" ht="22.5" customHeight="1" ph="1" x14ac:dyDescent="0.35">
      <c r="C1359" s="13" t="s" ph="1">
        <v>3970</v>
      </c>
      <c r="G1359" s="13" t="s" ph="1">
        <v>3803</v>
      </c>
      <c r="I1359" s="13" t="s" ph="1">
        <v>6770</v>
      </c>
      <c r="J1359" s="13" t="s" ph="1">
        <v>3616</v>
      </c>
      <c r="K1359" s="13" t="s" ph="1">
        <v>6771</v>
      </c>
      <c r="L1359" s="13" t="s" ph="1">
        <v>3671</v>
      </c>
      <c r="M1359" s="14" t="str" ph="1">
        <f>IFERROR(INDEX([1]!_born[生没年],
MATCH(I1359,[1]!_born[作],0)),"")</f>
        <v/>
      </c>
      <c r="N1359" s="14" t="str" ph="1">
        <f>IFERROR(INDEX([1]!_born[生没年],
MATCH(K1359,[1]!_born[作],0)),"")</f>
        <v/>
      </c>
      <c r="O1359" s="13" t="s" ph="1">
        <v>6772</v>
      </c>
      <c r="R1359" s="16" ph="1">
        <v>19438</v>
      </c>
      <c r="S1359" s="13" t="s" ph="1">
        <v>6773</v>
      </c>
      <c r="T1359" s="13" t="s" ph="1">
        <v>6774</v>
      </c>
      <c r="U1359" s="16" ph="1">
        <v>44980</v>
      </c>
      <c r="V1359" s="17" ph="1">
        <v>980</v>
      </c>
      <c r="W1359" s="17" ph="1">
        <v>500</v>
      </c>
      <c r="X1359" s="13" t="s" ph="1">
        <v>3883</v>
      </c>
    </row>
    <row r="1360" spans="1:25" ht="22.5" customHeight="1" ph="1" x14ac:dyDescent="0.35">
      <c r="A1360" s="106" t="s" ph="1">
        <v>3180</v>
      </c>
      <c r="B1360" s="5" t="s" ph="1">
        <v>3181</v>
      </c>
      <c r="C1360" s="13" t="s" ph="1">
        <v>3970</v>
      </c>
      <c r="G1360" s="13" t="s" ph="1">
        <v>3803</v>
      </c>
      <c r="I1360" s="13" t="s" ph="1">
        <v>3182</v>
      </c>
      <c r="J1360" s="13" t="s" ph="1">
        <v>3616</v>
      </c>
      <c r="K1360" s="13" t="s" ph="1">
        <v>6775</v>
      </c>
      <c r="L1360" s="13" t="s" ph="1">
        <v>3628</v>
      </c>
      <c r="M1360" s="14" t="str" ph="1">
        <f>IFERROR(INDEX([1]!_born[生没年],
MATCH(I1360,[1]!_born[作],0)),"")</f>
        <v/>
      </c>
      <c r="N1360" s="14" t="str" ph="1">
        <f>IFERROR(INDEX([1]!_born[生没年],
MATCH(K1360,[1]!_born[作],0)),"")</f>
        <v/>
      </c>
      <c r="O1360" s="13" t="s" ph="1">
        <v>6776</v>
      </c>
      <c r="R1360" s="16" ph="1">
        <v>42366</v>
      </c>
      <c r="T1360" s="13" t="s" ph="1">
        <v>3183</v>
      </c>
      <c r="U1360" s="16" ph="1">
        <v>44980</v>
      </c>
      <c r="V1360" s="17" ph="1">
        <v>1600</v>
      </c>
      <c r="W1360" s="17" t="s" ph="1">
        <v>1225</v>
      </c>
      <c r="X1360" s="13" t="s" ph="1">
        <v>3883</v>
      </c>
    </row>
    <row r="1361" spans="1:25" ht="22.5" customHeight="1" ph="1" x14ac:dyDescent="0.35">
      <c r="C1361" s="13" t="s" ph="1">
        <v>6777</v>
      </c>
      <c r="G1361" s="13" t="s" ph="1">
        <v>3793</v>
      </c>
      <c r="H1361" s="13" t="s" ph="1">
        <v>1269</v>
      </c>
      <c r="I1361" s="13" t="s" ph="1">
        <v>586</v>
      </c>
      <c r="K1361" s="13" t="s" ph="1">
        <v>6778</v>
      </c>
      <c r="M1361" s="14" t="str" ph="1">
        <f>IFERROR(INDEX([1]!_born[生没年],
MATCH(I1361,[1]!_born[作],0)),"")</f>
        <v/>
      </c>
      <c r="N1361" s="14" t="str" ph="1">
        <f>IFERROR(INDEX([1]!_born[生没年],
MATCH(K1361,[1]!_born[作],0)),"")</f>
        <v/>
      </c>
      <c r="O1361" s="22" t="s" ph="1">
        <v>6779</v>
      </c>
      <c r="R1361" s="16" t="s" ph="1">
        <v>1339</v>
      </c>
      <c r="T1361" s="13" t="s" ph="1">
        <v>4297</v>
      </c>
      <c r="U1361" s="16" ph="1">
        <v>37492</v>
      </c>
      <c r="V1361" s="17" ph="1">
        <v>6800</v>
      </c>
      <c r="W1361" s="17" ph="1">
        <v>2000</v>
      </c>
      <c r="X1361" s="13" t="s" ph="1">
        <v>4034</v>
      </c>
    </row>
    <row r="1362" spans="1:25" ht="22.5" customHeight="1" ph="1" x14ac:dyDescent="0.35">
      <c r="C1362" s="13" t="s" ph="1">
        <v>3970</v>
      </c>
      <c r="G1362" s="13" t="s" ph="1">
        <v>4758</v>
      </c>
      <c r="H1362" s="13" t="s" ph="1">
        <v>1257</v>
      </c>
      <c r="I1362" s="13" t="s" ph="1">
        <v>6780</v>
      </c>
      <c r="M1362" s="14" t="str" ph="1">
        <f>IFERROR(INDEX([1]!_born[生没年],
MATCH(I1362,[1]!_born[作],0)),"")</f>
        <v/>
      </c>
      <c r="N1362" s="14" t="str" ph="1">
        <f>IFERROR(INDEX([1]!_born[生没年],
MATCH(K1362,[1]!_born[作],0)),"")</f>
        <v/>
      </c>
      <c r="O1362" s="13" t="s" ph="1">
        <v>6781</v>
      </c>
      <c r="R1362" s="16" t="s" ph="1">
        <v>2307</v>
      </c>
      <c r="T1362" s="13" t="s" ph="1">
        <v>6782</v>
      </c>
      <c r="U1362" s="16">
        <v>38100</v>
      </c>
      <c r="V1362" s="17" ph="1">
        <v>1500</v>
      </c>
      <c r="W1362" s="17" ph="1">
        <v>315</v>
      </c>
      <c r="X1362" s="13" t="s" ph="1">
        <v>6783</v>
      </c>
      <c r="Y1362" s="13" t="s" ph="1">
        <v>3633</v>
      </c>
    </row>
    <row r="1363" spans="1:25" ht="22.5" customHeight="1" ph="1" x14ac:dyDescent="0.35">
      <c r="C1363" s="13" t="s" ph="1">
        <v>3970</v>
      </c>
      <c r="G1363" s="13" t="s" ph="1">
        <v>3803</v>
      </c>
      <c r="H1363" s="13" t="s" ph="1">
        <v>1269</v>
      </c>
      <c r="M1363" s="14" t="str" ph="1">
        <f>IFERROR(INDEX([1]!_born[生没年],
MATCH(I1363,[1]!_born[作],0)),"")</f>
        <v/>
      </c>
      <c r="N1363" s="14" t="str" ph="1">
        <f>IFERROR(INDEX([1]!_born[生没年],
MATCH(K1363,[1]!_born[作],0)),"")</f>
        <v/>
      </c>
      <c r="O1363" s="13" t="s" ph="1">
        <v>6784</v>
      </c>
      <c r="R1363" s="16" t="s" ph="1">
        <v>1339</v>
      </c>
      <c r="T1363" s="13" t="s" ph="1">
        <v>6785</v>
      </c>
      <c r="U1363" s="16">
        <v>38261</v>
      </c>
      <c r="V1363" s="17" ph="1">
        <v>3000</v>
      </c>
      <c r="W1363" s="17" ph="1">
        <v>1575</v>
      </c>
      <c r="X1363" s="13" t="s" ph="1">
        <v>6783</v>
      </c>
      <c r="Y1363" s="13" t="s" ph="1">
        <v>6146</v>
      </c>
    </row>
    <row r="1364" spans="1:25" ht="22.5" customHeight="1" ph="1" x14ac:dyDescent="0.35">
      <c r="C1364" s="13" t="s" ph="1">
        <v>4106</v>
      </c>
      <c r="G1364" s="13" t="s" ph="1">
        <v>4758</v>
      </c>
      <c r="H1364" s="13" t="s" ph="1">
        <v>1269</v>
      </c>
      <c r="I1364" s="13" t="s" ph="1">
        <v>2308</v>
      </c>
      <c r="M1364" s="14" t="str" ph="1">
        <f>IFERROR(INDEX([1]!_born[生没年],
MATCH(I1364,[1]!_born[作],0)),"")</f>
        <v/>
      </c>
      <c r="N1364" s="14" t="str" ph="1">
        <f>IFERROR(INDEX([1]!_born[生没年],
MATCH(K1364,[1]!_born[作],0)),"")</f>
        <v/>
      </c>
      <c r="O1364" s="13" t="s" ph="1">
        <v>6786</v>
      </c>
      <c r="T1364" s="13" t="s" ph="1">
        <v>6787</v>
      </c>
    </row>
    <row r="1365" spans="1:25" ht="22.5" customHeight="1" ph="1" x14ac:dyDescent="0.35">
      <c r="C1365" s="13" t="s" ph="1">
        <v>6282</v>
      </c>
      <c r="G1365" s="13" t="s" ph="1">
        <v>3803</v>
      </c>
      <c r="H1365" s="13" t="s" ph="1">
        <v>1257</v>
      </c>
      <c r="I1365" s="13" t="s" ph="1">
        <v>2309</v>
      </c>
      <c r="M1365" s="14" t="str" ph="1">
        <f>IFERROR(INDEX([1]!_born[生没年],
MATCH(I1365,[1]!_born[作],0)),"")</f>
        <v/>
      </c>
      <c r="N1365" s="14" t="str" ph="1">
        <f>IFERROR(INDEX([1]!_born[生没年],
MATCH(K1365,[1]!_born[作],0)),"")</f>
        <v/>
      </c>
      <c r="O1365" s="13" t="s" ph="1">
        <v>2310</v>
      </c>
      <c r="T1365" s="13" t="s" ph="1">
        <v>81</v>
      </c>
      <c r="U1365" s="16" t="s" ph="1">
        <v>5221</v>
      </c>
      <c r="V1365" s="17" t="s" ph="1">
        <v>2311</v>
      </c>
      <c r="X1365" s="13" t="s" ph="1">
        <v>5222</v>
      </c>
    </row>
    <row r="1366" spans="1:25" ht="22.5" customHeight="1" ph="1" x14ac:dyDescent="0.35">
      <c r="C1366" s="13" t="s" ph="1">
        <v>3970</v>
      </c>
      <c r="G1366" s="13" t="s" ph="1">
        <v>3803</v>
      </c>
      <c r="H1366" s="13" t="s" ph="1">
        <v>1257</v>
      </c>
      <c r="M1366" s="14" t="str" ph="1">
        <f>IFERROR(INDEX([1]!_born[生没年],
MATCH(I1366,[1]!_born[作],0)),"")</f>
        <v/>
      </c>
      <c r="N1366" s="14" t="str" ph="1">
        <f>IFERROR(INDEX([1]!_born[生没年],
MATCH(K1366,[1]!_born[作],0)),"")</f>
        <v/>
      </c>
      <c r="O1366" s="13" t="s" ph="1">
        <v>6788</v>
      </c>
      <c r="T1366" s="13" t="s" ph="1">
        <v>3643</v>
      </c>
      <c r="U1366" s="16" t="s" ph="1">
        <v>1217</v>
      </c>
      <c r="V1366" s="17" ph="1">
        <v>2300</v>
      </c>
      <c r="W1366" s="17" ph="1">
        <v>0</v>
      </c>
    </row>
    <row r="1367" spans="1:25" ht="22.5" customHeight="1" ph="1" x14ac:dyDescent="0.35">
      <c r="C1367" s="13" t="s" ph="1">
        <v>3970</v>
      </c>
      <c r="G1367" s="13" t="s" ph="1">
        <v>3803</v>
      </c>
      <c r="H1367" s="13" t="s" ph="1">
        <v>1257</v>
      </c>
      <c r="M1367" s="14" t="str" ph="1">
        <f>IFERROR(INDEX([1]!_born[生没年],
MATCH(I1367,[1]!_born[作],0)),"")</f>
        <v/>
      </c>
      <c r="N1367" s="14" t="str" ph="1">
        <f>IFERROR(INDEX([1]!_born[生没年],
MATCH(K1367,[1]!_born[作],0)),"")</f>
        <v/>
      </c>
      <c r="O1367" s="13" t="s" ph="1">
        <v>6789</v>
      </c>
      <c r="R1367" s="16" t="s" ph="1">
        <v>2312</v>
      </c>
      <c r="T1367" s="13" t="s" ph="1">
        <v>3643</v>
      </c>
      <c r="U1367" s="16" ph="1">
        <v>37415</v>
      </c>
      <c r="V1367" s="17" ph="1">
        <v>3990</v>
      </c>
    </row>
    <row r="1368" spans="1:25" ht="22.5" customHeight="1" ph="1" x14ac:dyDescent="0.35">
      <c r="A1368" s="106" t="s" ph="1">
        <v>2313</v>
      </c>
      <c r="C1368" s="13" t="s" ph="1">
        <v>3970</v>
      </c>
      <c r="G1368" s="13" t="s" ph="1">
        <v>3803</v>
      </c>
      <c r="H1368" s="13" t="s" ph="1">
        <v>1257</v>
      </c>
      <c r="M1368" s="14" t="str" ph="1">
        <f>IFERROR(INDEX([1]!_born[生没年],
MATCH(I1368,[1]!_born[作],0)),"")</f>
        <v/>
      </c>
      <c r="N1368" s="14" t="str" ph="1">
        <f>IFERROR(INDEX([1]!_born[生没年],
MATCH(K1368,[1]!_born[作],0)),"")</f>
        <v/>
      </c>
      <c r="O1368" s="13" t="s" ph="1">
        <v>6790</v>
      </c>
      <c r="R1368" s="16" t="s" ph="1">
        <v>1345</v>
      </c>
      <c r="T1368" s="13" t="s" ph="1">
        <v>3643</v>
      </c>
      <c r="U1368" s="16" t="s" ph="1">
        <v>1217</v>
      </c>
      <c r="V1368" s="17" ph="1">
        <v>4800</v>
      </c>
    </row>
    <row r="1369" spans="1:25" ht="22.5" customHeight="1" ph="1" x14ac:dyDescent="0.35">
      <c r="A1369" s="106" t="s" ph="1">
        <v>2314</v>
      </c>
      <c r="C1369" s="13" t="s" ph="1">
        <v>3970</v>
      </c>
      <c r="G1369" s="13" t="s" ph="1">
        <v>3803</v>
      </c>
      <c r="H1369" s="13" t="s" ph="1">
        <v>1257</v>
      </c>
      <c r="M1369" s="14" t="str" ph="1">
        <f>IFERROR(INDEX([1]!_born[生没年],
MATCH(I1369,[1]!_born[作],0)),"")</f>
        <v/>
      </c>
      <c r="N1369" s="14" t="str" ph="1">
        <f>IFERROR(INDEX([1]!_born[生没年],
MATCH(K1369,[1]!_born[作],0)),"")</f>
        <v/>
      </c>
      <c r="O1369" s="13" t="s" ph="1">
        <v>6791</v>
      </c>
      <c r="R1369" s="16" t="s" ph="1">
        <v>1363</v>
      </c>
      <c r="T1369" s="13" t="s" ph="1">
        <v>6792</v>
      </c>
      <c r="U1369" s="16" t="s" ph="1">
        <v>1217</v>
      </c>
    </row>
    <row r="1370" spans="1:25" ht="22.5" customHeight="1" ph="1" x14ac:dyDescent="0.35">
      <c r="A1370" s="106" t="s" ph="1">
        <v>2315</v>
      </c>
      <c r="B1370" s="5" t="s" ph="1">
        <v>2316</v>
      </c>
      <c r="C1370" s="13" t="s" ph="1">
        <v>3970</v>
      </c>
      <c r="G1370" s="13" t="s" ph="1">
        <v>3803</v>
      </c>
      <c r="H1370" s="13" t="s" ph="1">
        <v>1257</v>
      </c>
      <c r="I1370" s="13" t="s" ph="1">
        <v>6793</v>
      </c>
      <c r="J1370" s="13" t="s" ph="1">
        <v>3752</v>
      </c>
      <c r="M1370" s="14" t="str" ph="1">
        <f>IFERROR(INDEX([1]!_born[生没年],
MATCH(I1370,[1]!_born[作],0)),"")</f>
        <v/>
      </c>
      <c r="N1370" s="14" t="str" ph="1">
        <f>IFERROR(INDEX([1]!_born[生没年],
MATCH(K1370,[1]!_born[作],0)),"")</f>
        <v/>
      </c>
      <c r="O1370" s="13" t="s" ph="1">
        <v>6794</v>
      </c>
      <c r="R1370" s="16" t="s" ph="1">
        <v>2317</v>
      </c>
      <c r="T1370" s="13" t="s" ph="1">
        <v>6795</v>
      </c>
      <c r="U1370" s="16" ph="1">
        <v>37932</v>
      </c>
      <c r="V1370" s="17" ph="1">
        <f>3500*1.05</f>
        <v>3675</v>
      </c>
      <c r="W1370" s="17" ph="1">
        <f>2100*1.05</f>
        <v>2205</v>
      </c>
      <c r="X1370" s="13" t="s" ph="1">
        <v>6783</v>
      </c>
      <c r="Y1370" s="13" t="s" ph="1">
        <v>6796</v>
      </c>
    </row>
    <row r="1371" spans="1:25" ht="22.5" customHeight="1" ph="1" x14ac:dyDescent="0.35">
      <c r="A1371" s="106" t="s" ph="1">
        <v>2318</v>
      </c>
      <c r="B1371" s="5" t="s" ph="1">
        <v>2319</v>
      </c>
      <c r="C1371" s="13" t="s" ph="1">
        <v>3970</v>
      </c>
      <c r="G1371" s="13" t="s" ph="1">
        <v>3803</v>
      </c>
      <c r="H1371" s="13" t="s" ph="1">
        <v>1257</v>
      </c>
      <c r="I1371" s="13" t="s" ph="1">
        <v>370</v>
      </c>
      <c r="M1371" s="14" t="str" ph="1">
        <f>IFERROR(INDEX([1]!_born[生没年],
MATCH(I1371,[1]!_born[作],0)),"")</f>
        <v/>
      </c>
      <c r="N1371" s="14" t="str" ph="1">
        <f>IFERROR(INDEX([1]!_born[生没年],
MATCH(K1371,[1]!_born[作],0)),"")</f>
        <v/>
      </c>
      <c r="O1371" s="13" t="s" ph="1">
        <v>6797</v>
      </c>
      <c r="R1371" s="16" t="s" ph="1">
        <v>2320</v>
      </c>
      <c r="T1371" s="13" t="s" ph="1">
        <v>2321</v>
      </c>
      <c r="U1371" s="16" ph="1">
        <v>38008</v>
      </c>
      <c r="V1371" s="17" ph="1">
        <f>3000*1.05</f>
        <v>3150</v>
      </c>
      <c r="W1371" s="17" ph="1">
        <f>1700*1.05</f>
        <v>1785</v>
      </c>
      <c r="X1371" s="13" t="s" ph="1">
        <v>6783</v>
      </c>
    </row>
    <row r="1372" spans="1:25" ht="22.5" customHeight="1" ph="1" x14ac:dyDescent="0.35">
      <c r="A1372" s="106" t="s" ph="1">
        <v>2322</v>
      </c>
      <c r="B1372" s="5" t="s" ph="1">
        <v>2323</v>
      </c>
      <c r="C1372" s="13" t="s" ph="1">
        <v>3970</v>
      </c>
      <c r="D1372" s="123" ph="1">
        <v>1</v>
      </c>
      <c r="E1372" s="123" ph="1">
        <v>1</v>
      </c>
      <c r="G1372" s="13" t="s" ph="1">
        <v>3803</v>
      </c>
      <c r="H1372" s="13" t="s" ph="1">
        <v>1257</v>
      </c>
      <c r="I1372" s="13" t="s" ph="1">
        <v>6798</v>
      </c>
      <c r="M1372" s="14" t="str" ph="1">
        <f>IFERROR(INDEX([1]!_born[生没年],
MATCH(I1372,[1]!_born[作],0)),"")</f>
        <v/>
      </c>
      <c r="N1372" s="14" t="str" ph="1">
        <f>IFERROR(INDEX([1]!_born[生没年],
MATCH(K1372,[1]!_born[作],0)),"")</f>
        <v/>
      </c>
      <c r="O1372" s="13" t="s" ph="1">
        <v>6799</v>
      </c>
      <c r="T1372" s="13" t="s" ph="1">
        <v>1249</v>
      </c>
      <c r="V1372" s="17" ph="1">
        <f>1893*1.03</f>
        <v>1949.79</v>
      </c>
      <c r="W1372" s="17" ph="1">
        <f>1893*1.05</f>
        <v>1987.65</v>
      </c>
      <c r="X1372" s="13" t="s" ph="1">
        <v>3802</v>
      </c>
    </row>
    <row r="1373" spans="1:25" ht="22.5" customHeight="1" ph="1" x14ac:dyDescent="0.35">
      <c r="A1373" s="106" t="s" ph="1">
        <v>2324</v>
      </c>
      <c r="B1373" s="5" t="s" ph="1">
        <v>2323</v>
      </c>
      <c r="C1373" s="13" t="s" ph="1">
        <v>3970</v>
      </c>
      <c r="D1373" s="123" ph="1">
        <v>2</v>
      </c>
      <c r="E1373" s="123" ph="1">
        <v>2</v>
      </c>
      <c r="G1373" s="13" t="s" ph="1">
        <v>3803</v>
      </c>
      <c r="H1373" s="13" t="s" ph="1">
        <v>1257</v>
      </c>
      <c r="I1373" s="13" t="s" ph="1">
        <v>6798</v>
      </c>
      <c r="M1373" s="14" t="str" ph="1">
        <f>IFERROR(INDEX([1]!_born[生没年],
MATCH(I1373,[1]!_born[作],0)),"")</f>
        <v/>
      </c>
      <c r="N1373" s="14" t="str" ph="1">
        <f>IFERROR(INDEX([1]!_born[生没年],
MATCH(K1373,[1]!_born[作],0)),"")</f>
        <v/>
      </c>
      <c r="O1373" s="13" t="s" ph="1">
        <v>6800</v>
      </c>
      <c r="T1373" s="13" t="s" ph="1">
        <v>1249</v>
      </c>
      <c r="V1373" s="17" ph="1">
        <f>1893*1.03</f>
        <v>1949.79</v>
      </c>
      <c r="W1373" s="17" ph="1">
        <f>1893*1.05</f>
        <v>1987.65</v>
      </c>
      <c r="X1373" s="13" t="s" ph="1">
        <v>3802</v>
      </c>
    </row>
    <row r="1374" spans="1:25" ht="22.5" customHeight="1" ph="1" x14ac:dyDescent="0.35">
      <c r="A1374" s="106" t="s" ph="1">
        <v>3110</v>
      </c>
      <c r="B1374" s="5" t="s" ph="1">
        <v>3111</v>
      </c>
      <c r="C1374" s="13" t="s" ph="1">
        <v>3970</v>
      </c>
      <c r="G1374" s="13" t="s" ph="1">
        <v>3803</v>
      </c>
      <c r="H1374" s="13" t="s" ph="1">
        <v>1035</v>
      </c>
      <c r="I1374" s="13" t="s" ph="1">
        <v>6801</v>
      </c>
      <c r="M1374" s="14" t="str" ph="1">
        <f>IFERROR(INDEX([1]!_born[生没年],
MATCH(I1374,[1]!_born[作],0)),"")</f>
        <v/>
      </c>
      <c r="N1374" s="14" t="str" ph="1">
        <f>IFERROR(INDEX([1]!_born[生没年],
MATCH(K1374,[1]!_born[作],0)),"")</f>
        <v/>
      </c>
      <c r="O1374" s="13" t="s" ph="1">
        <v>6802</v>
      </c>
      <c r="R1374" s="16" ph="1">
        <v>38786</v>
      </c>
      <c r="T1374" s="13" t="s" ph="1">
        <v>3643</v>
      </c>
      <c r="U1374" s="16" t="s" ph="1">
        <v>2937</v>
      </c>
      <c r="V1374" s="17" ph="1">
        <f>2000*1.05</f>
        <v>2100</v>
      </c>
      <c r="W1374" s="17" ph="1">
        <f>2000*1.05</f>
        <v>2100</v>
      </c>
      <c r="X1374" s="13" t="s" ph="1">
        <v>4265</v>
      </c>
    </row>
    <row r="1375" spans="1:25" ht="22.5" customHeight="1" ph="1" x14ac:dyDescent="0.35">
      <c r="A1375" s="106" t="s" ph="1">
        <v>2325</v>
      </c>
      <c r="C1375" s="13" t="s" ph="1">
        <v>3970</v>
      </c>
      <c r="G1375" s="13" t="s" ph="1">
        <v>3803</v>
      </c>
      <c r="H1375" s="13" t="s" ph="1">
        <v>2326</v>
      </c>
      <c r="I1375" s="13" t="s" ph="1">
        <v>6803</v>
      </c>
      <c r="M1375" s="14" t="str" ph="1">
        <f>IFERROR(INDEX([1]!_born[生没年],
MATCH(I1375,[1]!_born[作],0)),"")</f>
        <v/>
      </c>
      <c r="N1375" s="14" t="str" ph="1">
        <f>IFERROR(INDEX([1]!_born[生没年],
MATCH(K1375,[1]!_born[作],0)),"")</f>
        <v/>
      </c>
      <c r="O1375" s="13" t="s" ph="1">
        <v>6804</v>
      </c>
      <c r="R1375" s="16" t="s" ph="1">
        <v>2327</v>
      </c>
      <c r="T1375" s="13" t="s" ph="1">
        <v>3988</v>
      </c>
      <c r="W1375" s="17" ph="1">
        <v>700</v>
      </c>
      <c r="X1375" s="13" t="s" ph="1">
        <v>6805</v>
      </c>
    </row>
    <row r="1376" spans="1:25" ht="22.5" customHeight="1" ph="1" x14ac:dyDescent="0.35">
      <c r="A1376" s="106" t="s" ph="1">
        <v>2328</v>
      </c>
      <c r="B1376" s="5" t="s" ph="1">
        <v>2316</v>
      </c>
      <c r="C1376" s="13" t="s" ph="1">
        <v>3970</v>
      </c>
      <c r="G1376" s="13" t="s" ph="1">
        <v>3803</v>
      </c>
      <c r="H1376" s="13" t="s" ph="1">
        <v>2326</v>
      </c>
      <c r="I1376" s="13" t="s" ph="1">
        <v>6806</v>
      </c>
      <c r="M1376" s="14" t="str" ph="1">
        <f>IFERROR(INDEX([1]!_born[生没年],
MATCH(I1376,[1]!_born[作],0)),"")</f>
        <v/>
      </c>
      <c r="N1376" s="14" t="str" ph="1">
        <f>IFERROR(INDEX([1]!_born[生没年],
MATCH(K1376,[1]!_born[作],0)),"")</f>
        <v/>
      </c>
      <c r="O1376" s="13" t="s" ph="1">
        <v>6807</v>
      </c>
      <c r="T1376" s="13" t="s" ph="1">
        <v>3988</v>
      </c>
      <c r="U1376" s="16" ph="1">
        <v>38111</v>
      </c>
      <c r="V1376" s="17" ph="1">
        <f>3000*1.05</f>
        <v>3150</v>
      </c>
      <c r="W1376" s="17" ph="1">
        <f>3000*1.05</f>
        <v>3150</v>
      </c>
      <c r="X1376" s="13" t="s" ph="1">
        <v>6808</v>
      </c>
    </row>
    <row r="1377" spans="1:25" ht="22.5" customHeight="1" ph="1" x14ac:dyDescent="0.35">
      <c r="A1377" s="106" t="s" ph="1">
        <v>2329</v>
      </c>
      <c r="B1377" s="5" t="s" ph="1">
        <v>2330</v>
      </c>
      <c r="C1377" s="13" t="s" ph="1">
        <v>6282</v>
      </c>
      <c r="G1377" s="13" t="s" ph="1">
        <v>3803</v>
      </c>
      <c r="H1377" s="13" t="s" ph="1">
        <v>2326</v>
      </c>
      <c r="I1377" s="13" t="s" ph="1">
        <v>6809</v>
      </c>
      <c r="K1377" s="13" t="s" ph="1">
        <v>6810</v>
      </c>
      <c r="M1377" s="14" t="str" ph="1">
        <f>IFERROR(INDEX([1]!_born[生没年],
MATCH(I1377,[1]!_born[作],0)),"")</f>
        <v/>
      </c>
      <c r="N1377" s="14" t="str" ph="1">
        <f>IFERROR(INDEX([1]!_born[生没年],
MATCH(K1377,[1]!_born[作],0)),"")</f>
        <v/>
      </c>
      <c r="O1377" s="13" t="s" ph="1">
        <v>6811</v>
      </c>
      <c r="R1377" s="16" t="s" ph="1">
        <v>2331</v>
      </c>
      <c r="T1377" s="13" t="s" ph="1">
        <v>6812</v>
      </c>
      <c r="U1377" s="16" ph="1">
        <v>38111</v>
      </c>
      <c r="V1377" s="17" ph="1">
        <f>950*1.05</f>
        <v>997.5</v>
      </c>
      <c r="W1377" s="17" ph="1">
        <f>950*1.05</f>
        <v>997.5</v>
      </c>
      <c r="X1377" s="13" t="s" ph="1">
        <v>3802</v>
      </c>
    </row>
    <row r="1378" spans="1:25" ht="22.5" customHeight="1" ph="1" x14ac:dyDescent="0.35">
      <c r="A1378" s="106" t="s" ph="1">
        <v>2332</v>
      </c>
      <c r="B1378" s="5" t="s" ph="1">
        <v>2333</v>
      </c>
      <c r="C1378" s="13" t="s" ph="1">
        <v>6813</v>
      </c>
      <c r="G1378" s="13" t="s" ph="1">
        <v>3803</v>
      </c>
      <c r="H1378" s="13" t="s" ph="1">
        <v>1269</v>
      </c>
      <c r="M1378" s="14" t="str" ph="1">
        <f>IFERROR(INDEX([1]!_born[生没年],
MATCH(I1378,[1]!_born[作],0)),"")</f>
        <v/>
      </c>
      <c r="N1378" s="14" t="str" ph="1">
        <f>IFERROR(INDEX([1]!_born[生没年],
MATCH(K1378,[1]!_born[作],0)),"")</f>
        <v/>
      </c>
      <c r="O1378" s="13" t="s" ph="1">
        <v>6814</v>
      </c>
      <c r="R1378" s="16" t="s" ph="1">
        <v>2334</v>
      </c>
      <c r="T1378" s="13" t="s" ph="1">
        <v>4402</v>
      </c>
      <c r="U1378" s="16" ph="1">
        <v>39573</v>
      </c>
      <c r="V1378" s="17" ph="1">
        <f>3800*1.05</f>
        <v>3990</v>
      </c>
      <c r="W1378" s="17" ph="1">
        <f>3800*1.05</f>
        <v>3990</v>
      </c>
      <c r="X1378" s="13" t="s" ph="1">
        <v>3802</v>
      </c>
      <c r="Y1378" s="13" t="s" ph="1">
        <v>6815</v>
      </c>
    </row>
    <row r="1379" spans="1:25" ht="22.5" customHeight="1" ph="1" x14ac:dyDescent="0.35">
      <c r="A1379" s="106" t="s" ph="1">
        <v>2335</v>
      </c>
      <c r="B1379" s="5" t="s" ph="1">
        <v>2336</v>
      </c>
      <c r="C1379" s="13" t="s" ph="1">
        <v>3970</v>
      </c>
      <c r="G1379" s="13" t="s" ph="1">
        <v>3803</v>
      </c>
      <c r="H1379" s="13" t="s" ph="1">
        <v>1269</v>
      </c>
      <c r="I1379" s="13" t="s" ph="1">
        <v>6816</v>
      </c>
      <c r="M1379" s="14" t="str" ph="1">
        <f>IFERROR(INDEX([1]!_born[生没年],
MATCH(I1379,[1]!_born[作],0)),"")</f>
        <v/>
      </c>
      <c r="N1379" s="14" t="str" ph="1">
        <f>IFERROR(INDEX([1]!_born[生没年],
MATCH(K1379,[1]!_born[作],0)),"")</f>
        <v/>
      </c>
      <c r="O1379" s="13" t="s" ph="1">
        <v>6817</v>
      </c>
      <c r="R1379" s="16" t="s" ph="1">
        <v>2337</v>
      </c>
      <c r="S1379" s="13" t="s" ph="1">
        <v>6818</v>
      </c>
      <c r="T1379" s="13" t="s" ph="1">
        <v>6819</v>
      </c>
      <c r="U1379" s="16" ph="1">
        <v>39573</v>
      </c>
      <c r="V1379" s="17" ph="1">
        <f>10000*1.05</f>
        <v>10500</v>
      </c>
      <c r="W1379" s="17" ph="1">
        <f>10000*1.05</f>
        <v>10500</v>
      </c>
      <c r="X1379" s="13" t="s" ph="1">
        <v>3802</v>
      </c>
    </row>
    <row r="1380" spans="1:25" s="19" customFormat="1" ht="22.5" customHeight="1" ph="1" x14ac:dyDescent="0.35">
      <c r="A1380" s="107" ph="1"/>
      <c r="B1380" s="18" ph="1"/>
      <c r="C1380" s="19" t="s" ph="1">
        <v>6745</v>
      </c>
      <c r="D1380" s="124" ph="1"/>
      <c r="E1380" s="124" ph="1"/>
      <c r="G1380" s="19" t="s" ph="1">
        <v>4647</v>
      </c>
      <c r="H1380" s="19" t="s" ph="1">
        <v>1269</v>
      </c>
      <c r="M1380" s="27" t="str" ph="1">
        <f>IFERROR(INDEX([1]!_born[生没年],
MATCH(I1380,[1]!_born[作],0)),"")</f>
        <v/>
      </c>
      <c r="N1380" s="27" t="str" ph="1">
        <f>IFERROR(INDEX([1]!_born[生没年],
MATCH(K1380,[1]!_born[作],0)),"")</f>
        <v/>
      </c>
      <c r="O1380" s="19" t="s" ph="1">
        <v>6820</v>
      </c>
      <c r="R1380" s="20" ph="1"/>
      <c r="T1380" s="19" t="s" ph="1">
        <v>6821</v>
      </c>
      <c r="U1380" s="20" t="s" ph="1">
        <v>1217</v>
      </c>
      <c r="V1380" s="21" ph="1"/>
      <c r="W1380" s="21" ph="1"/>
      <c r="Y1380" s="19" t="s" ph="1">
        <v>6822</v>
      </c>
    </row>
    <row r="1381" spans="1:25" ht="22.5" customHeight="1" ph="1" x14ac:dyDescent="0.35">
      <c r="C1381" s="13" t="s" ph="1">
        <v>3970</v>
      </c>
      <c r="G1381" s="13" t="s" ph="1">
        <v>3803</v>
      </c>
      <c r="H1381" s="13" t="s" ph="1">
        <v>1269</v>
      </c>
      <c r="M1381" s="14" t="str" ph="1">
        <f>IFERROR(INDEX([1]!_born[生没年],
MATCH(I1381,[1]!_born[作],0)),"")</f>
        <v/>
      </c>
      <c r="N1381" s="14" t="str" ph="1">
        <f>IFERROR(INDEX([1]!_born[生没年],
MATCH(K1381,[1]!_born[作],0)),"")</f>
        <v/>
      </c>
      <c r="O1381" s="13" t="s" ph="1">
        <v>6823</v>
      </c>
      <c r="T1381" s="13" t="s" ph="1">
        <v>6819</v>
      </c>
      <c r="U1381" s="16" t="s" ph="1">
        <v>1217</v>
      </c>
    </row>
    <row r="1382" spans="1:25" ht="22.5" customHeight="1" ph="1" x14ac:dyDescent="0.35">
      <c r="A1382" s="106" t="s" ph="1">
        <v>3048</v>
      </c>
      <c r="B1382" s="5" t="s" ph="1">
        <v>2346</v>
      </c>
      <c r="C1382" s="13" t="s" ph="1">
        <v>3970</v>
      </c>
      <c r="G1382" s="13" t="s" ph="1">
        <v>6824</v>
      </c>
      <c r="H1382" s="13" t="s" ph="1">
        <v>61</v>
      </c>
      <c r="I1382" s="13" t="s" ph="1">
        <v>6825</v>
      </c>
      <c r="J1382" s="13" t="s" ph="1">
        <v>3671</v>
      </c>
      <c r="K1382" s="13" t="s" ph="1">
        <v>6826</v>
      </c>
      <c r="L1382" s="13" t="s" ph="1">
        <v>3616</v>
      </c>
      <c r="M1382" s="14" t="str" ph="1">
        <f>IFERROR(INDEX([1]!_born[生没年],
MATCH(I1382,[1]!_born[作],0)),"")</f>
        <v/>
      </c>
      <c r="N1382" s="14" t="str" ph="1">
        <f>IFERROR(INDEX([1]!_born[生没年],
MATCH(K1382,[1]!_born[作],0)),"")</f>
        <v/>
      </c>
      <c r="O1382" s="13" t="s" ph="1">
        <v>6827</v>
      </c>
      <c r="R1382" s="16" t="s" ph="1">
        <v>6828</v>
      </c>
      <c r="T1382" s="13" t="s" ph="1">
        <v>3728</v>
      </c>
      <c r="V1382" s="17" ph="1">
        <f>2900*1.05</f>
        <v>3045</v>
      </c>
      <c r="W1382" s="17" ph="1">
        <f>2900*1.05</f>
        <v>3045</v>
      </c>
      <c r="X1382" s="13" t="s" ph="1">
        <v>6829</v>
      </c>
    </row>
    <row r="1383" spans="1:25" ht="22.5" customHeight="1" ph="1" x14ac:dyDescent="0.35">
      <c r="A1383" s="106" t="s" ph="1">
        <v>3049</v>
      </c>
      <c r="B1383" s="5" t="s" ph="1">
        <v>2346</v>
      </c>
      <c r="C1383" s="13" t="s" ph="1">
        <v>3970</v>
      </c>
      <c r="G1383" s="13" t="s" ph="1">
        <v>6824</v>
      </c>
      <c r="H1383" s="13" t="s" ph="1">
        <v>61</v>
      </c>
      <c r="I1383" s="13" t="s" ph="1">
        <v>6830</v>
      </c>
      <c r="J1383" s="13" t="s" ph="1">
        <v>3616</v>
      </c>
      <c r="K1383" s="13" t="s" ph="1">
        <v>6831</v>
      </c>
      <c r="L1383" s="13" t="s" ph="1">
        <v>3616</v>
      </c>
      <c r="M1383" s="14" t="str" ph="1">
        <f>IFERROR(INDEX([1]!_born[生没年],
MATCH(I1383,[1]!_born[作],0)),"")</f>
        <v/>
      </c>
      <c r="N1383" s="14" t="str" ph="1">
        <f>IFERROR(INDEX([1]!_born[生没年],
MATCH(K1383,[1]!_born[作],0)),"")</f>
        <v/>
      </c>
      <c r="O1383" s="13" t="s" ph="1">
        <v>6832</v>
      </c>
      <c r="R1383" s="16" t="s" ph="1">
        <v>6833</v>
      </c>
      <c r="T1383" s="13" t="s" ph="1">
        <v>3728</v>
      </c>
      <c r="V1383" s="17" ph="1">
        <f>3000*1.05</f>
        <v>3150</v>
      </c>
      <c r="W1383" s="17" ph="1">
        <f>3000*1.05</f>
        <v>3150</v>
      </c>
      <c r="X1383" s="13" t="s" ph="1">
        <v>6829</v>
      </c>
    </row>
    <row r="1384" spans="1:25" ht="22.5" customHeight="1" ph="1" x14ac:dyDescent="0.35">
      <c r="A1384" s="106" t="s" ph="1">
        <v>3050</v>
      </c>
      <c r="B1384" s="5" t="s" ph="1">
        <v>3051</v>
      </c>
      <c r="C1384" s="13" t="s" ph="1">
        <v>3970</v>
      </c>
      <c r="G1384" s="13" t="s" ph="1">
        <v>6824</v>
      </c>
      <c r="H1384" s="13" t="s" ph="1">
        <v>61</v>
      </c>
      <c r="I1384" s="13" t="s" ph="1">
        <v>6834</v>
      </c>
      <c r="J1384" s="13" t="s" ph="1">
        <v>6835</v>
      </c>
      <c r="M1384" s="14" t="str" ph="1">
        <f>IFERROR(INDEX([1]!_born[生没年],
MATCH(I1384,[1]!_born[作],0)),"")</f>
        <v/>
      </c>
      <c r="N1384" s="14" t="str" ph="1">
        <f>IFERROR(INDEX([1]!_born[生没年],
MATCH(K1384,[1]!_born[作],0)),"")</f>
        <v/>
      </c>
      <c r="O1384" s="13" t="s" ph="1">
        <v>6836</v>
      </c>
      <c r="R1384" s="16" ph="1">
        <v>39903</v>
      </c>
      <c r="S1384" s="13" t="s" ph="1">
        <v>6837</v>
      </c>
      <c r="T1384" s="13" t="s" ph="1">
        <v>3728</v>
      </c>
      <c r="U1384" s="16" ph="1">
        <v>39903</v>
      </c>
      <c r="V1384" s="17" ph="1">
        <v>0</v>
      </c>
      <c r="W1384" s="17" ph="1">
        <v>0</v>
      </c>
      <c r="X1384" s="13" t="s" ph="1">
        <v>6838</v>
      </c>
    </row>
    <row r="1385" spans="1:25" ht="22.5" customHeight="1" ph="1" x14ac:dyDescent="0.35">
      <c r="C1385" s="13" t="s" ph="1">
        <v>3970</v>
      </c>
      <c r="G1385" s="13" t="s" ph="1">
        <v>6824</v>
      </c>
      <c r="H1385" s="13" t="s" ph="1">
        <v>1219</v>
      </c>
      <c r="I1385" s="13" t="s" ph="1">
        <v>6839</v>
      </c>
      <c r="J1385" s="13" t="s" ph="1">
        <v>3616</v>
      </c>
      <c r="M1385" s="14" t="str" ph="1">
        <f>IFERROR(INDEX([1]!_born[生没年],
MATCH(I1385,[1]!_born[作],0)),"")</f>
        <v/>
      </c>
      <c r="N1385" s="14" t="str" ph="1">
        <f>IFERROR(INDEX([1]!_born[生没年],
MATCH(K1385,[1]!_born[作],0)),"")</f>
        <v/>
      </c>
      <c r="O1385" s="13" t="s" ph="1">
        <v>6840</v>
      </c>
      <c r="T1385" s="13" t="s" ph="1">
        <v>6841</v>
      </c>
      <c r="V1385" s="17" ph="1">
        <v>2000</v>
      </c>
      <c r="W1385" s="17" ph="1">
        <v>1000</v>
      </c>
    </row>
    <row r="1386" spans="1:25" ht="22.5" customHeight="1" ph="1" x14ac:dyDescent="0.35">
      <c r="C1386" s="13" t="s" ph="1">
        <v>3970</v>
      </c>
      <c r="G1386" s="13" t="s" ph="1">
        <v>3803</v>
      </c>
      <c r="H1386" s="13" t="s" ph="1">
        <v>1219</v>
      </c>
      <c r="M1386" s="14" t="str" ph="1">
        <f>IFERROR(INDEX([1]!_born[生没年],
MATCH(I1386,[1]!_born[作],0)),"")</f>
        <v/>
      </c>
      <c r="N1386" s="14" t="str" ph="1">
        <f>IFERROR(INDEX([1]!_born[生没年],
MATCH(K1386,[1]!_born[作],0)),"")</f>
        <v/>
      </c>
      <c r="O1386" s="13" t="s" ph="1">
        <v>6842</v>
      </c>
      <c r="T1386" s="13" t="s" ph="1">
        <v>4110</v>
      </c>
    </row>
    <row r="1387" spans="1:25" ht="22.5" customHeight="1" ph="1" x14ac:dyDescent="0.35">
      <c r="A1387" s="106" t="s" ph="1">
        <v>2338</v>
      </c>
      <c r="B1387" s="5" t="s" ph="1">
        <v>2339</v>
      </c>
      <c r="C1387" s="13" t="s" ph="1">
        <v>6813</v>
      </c>
      <c r="G1387" s="13" t="s" ph="1">
        <v>3803</v>
      </c>
      <c r="H1387" s="13" t="s" ph="1">
        <v>1219</v>
      </c>
      <c r="I1387" s="13" t="s" ph="1">
        <v>6843</v>
      </c>
      <c r="J1387" s="13" t="s" ph="1">
        <v>6844</v>
      </c>
      <c r="M1387" s="14" t="str" ph="1">
        <f>IFERROR(INDEX([1]!_born[生没年],
MATCH(I1387,[1]!_born[作],0)),"")</f>
        <v/>
      </c>
      <c r="N1387" s="14" t="str" ph="1">
        <f>IFERROR(INDEX([1]!_born[生没年],
MATCH(K1387,[1]!_born[作],0)),"")</f>
        <v/>
      </c>
      <c r="O1387" s="13" t="s" ph="1">
        <v>6845</v>
      </c>
      <c r="R1387" s="16" t="s" ph="1">
        <v>2340</v>
      </c>
      <c r="S1387" s="13" t="s" ph="1">
        <v>6846</v>
      </c>
      <c r="T1387" s="13" t="s" ph="1">
        <v>3938</v>
      </c>
      <c r="U1387" s="16" ph="1">
        <v>39573</v>
      </c>
      <c r="V1387" s="17" ph="1">
        <f>10000*1.05</f>
        <v>10500</v>
      </c>
      <c r="W1387" s="17" ph="1">
        <f>10000*1.05</f>
        <v>10500</v>
      </c>
      <c r="X1387" s="13" t="s" ph="1">
        <v>3802</v>
      </c>
    </row>
    <row r="1388" spans="1:25" ht="22.5" customHeight="1" ph="1" x14ac:dyDescent="0.35">
      <c r="C1388" s="13" t="s" ph="1">
        <v>3970</v>
      </c>
      <c r="G1388" s="13" t="s" ph="1">
        <v>3803</v>
      </c>
      <c r="H1388" s="13" t="s" ph="1">
        <v>1219</v>
      </c>
      <c r="I1388" s="13" t="s" ph="1">
        <v>6847</v>
      </c>
      <c r="J1388" s="13" t="s" ph="1">
        <v>3616</v>
      </c>
      <c r="M1388" s="14" t="str" ph="1">
        <f>IFERROR(INDEX([1]!_born[生没年],
MATCH(I1388,[1]!_born[作],0)),"")</f>
        <v/>
      </c>
      <c r="N1388" s="14" t="str" ph="1">
        <f>IFERROR(INDEX([1]!_born[生没年],
MATCH(K1388,[1]!_born[作],0)),"")</f>
        <v/>
      </c>
      <c r="O1388" s="13" t="s" ph="1">
        <v>6848</v>
      </c>
      <c r="R1388" s="16" t="s" ph="1">
        <v>2341</v>
      </c>
      <c r="S1388" s="13" t="s" ph="1">
        <v>6849</v>
      </c>
      <c r="T1388" s="13" t="s" ph="1">
        <v>3938</v>
      </c>
      <c r="U1388" s="16" ph="1">
        <v>39573</v>
      </c>
      <c r="V1388" s="17" ph="1">
        <v>0</v>
      </c>
      <c r="W1388" s="17" ph="1">
        <v>0</v>
      </c>
      <c r="X1388" s="13" t="s" ph="1">
        <v>3802</v>
      </c>
      <c r="Y1388" s="13" t="s" ph="1">
        <v>6850</v>
      </c>
    </row>
    <row r="1389" spans="1:25" ht="22.5" customHeight="1" ph="1" x14ac:dyDescent="0.35">
      <c r="A1389" s="106" t="s" ph="1">
        <v>2342</v>
      </c>
      <c r="B1389" s="5" t="s" ph="1">
        <v>2343</v>
      </c>
      <c r="C1389" s="13" t="s" ph="1">
        <v>3970</v>
      </c>
      <c r="G1389" s="13" t="s" ph="1">
        <v>3803</v>
      </c>
      <c r="H1389" s="13" t="s" ph="1">
        <v>1219</v>
      </c>
      <c r="I1389" s="13" t="s" ph="1">
        <v>6851</v>
      </c>
      <c r="J1389" s="13" t="s" ph="1">
        <v>3616</v>
      </c>
      <c r="M1389" s="14" t="str" ph="1">
        <f>IFERROR(INDEX([1]!_born[生没年],
MATCH(I1389,[1]!_born[作],0)),"")</f>
        <v/>
      </c>
      <c r="N1389" s="14" t="str" ph="1">
        <f>IFERROR(INDEX([1]!_born[生没年],
MATCH(K1389,[1]!_born[作],0)),"")</f>
        <v/>
      </c>
      <c r="O1389" s="13" t="s" ph="1">
        <v>6852</v>
      </c>
      <c r="R1389" s="16" t="s" ph="1">
        <v>2344</v>
      </c>
      <c r="T1389" s="13" t="s" ph="1">
        <v>3938</v>
      </c>
      <c r="U1389" s="16" ph="1">
        <v>39573</v>
      </c>
      <c r="V1389" s="17" ph="1">
        <f>8000*1.05</f>
        <v>8400</v>
      </c>
      <c r="W1389" s="17" ph="1">
        <f>7500*1.05</f>
        <v>7875</v>
      </c>
      <c r="X1389" s="13" t="s" ph="1">
        <v>3802</v>
      </c>
      <c r="Y1389" s="13" t="s" ph="1">
        <v>6853</v>
      </c>
    </row>
    <row r="1390" spans="1:25" s="19" customFormat="1" ht="22.5" customHeight="1" ph="1" x14ac:dyDescent="0.35">
      <c r="A1390" s="107" ph="1"/>
      <c r="B1390" s="18" ph="1"/>
      <c r="C1390" s="19" t="s" ph="1">
        <v>6745</v>
      </c>
      <c r="D1390" s="124" ph="1"/>
      <c r="E1390" s="124" ph="1"/>
      <c r="G1390" s="19" t="s" ph="1">
        <v>4647</v>
      </c>
      <c r="H1390" s="19" t="s" ph="1">
        <v>1219</v>
      </c>
      <c r="I1390" s="19" t="s" ph="1">
        <v>6854</v>
      </c>
      <c r="J1390" s="19" t="s" ph="1">
        <v>3721</v>
      </c>
      <c r="M1390" s="27" t="str" ph="1">
        <f>IFERROR(INDEX([1]!_born[生没年],
MATCH(I1390,[1]!_born[作],0)),"")</f>
        <v/>
      </c>
      <c r="N1390" s="27" t="str" ph="1">
        <f>IFERROR(INDEX([1]!_born[生没年],
MATCH(K1390,[1]!_born[作],0)),"")</f>
        <v/>
      </c>
      <c r="O1390" s="19" t="s" ph="1">
        <v>6855</v>
      </c>
      <c r="R1390" s="20" ph="1"/>
      <c r="T1390" s="19" t="s" ph="1">
        <v>6856</v>
      </c>
      <c r="U1390" s="20" t="s" ph="1">
        <v>1217</v>
      </c>
      <c r="V1390" s="21" ph="1"/>
      <c r="W1390" s="21" ph="1"/>
      <c r="Y1390" s="19" t="s" ph="1">
        <v>6822</v>
      </c>
    </row>
    <row r="1391" spans="1:25" ht="22.5" customHeight="1" ph="1" x14ac:dyDescent="0.35">
      <c r="A1391" s="106" t="s" ph="1">
        <v>2345</v>
      </c>
      <c r="B1391" s="5" t="s" ph="1">
        <v>2346</v>
      </c>
      <c r="C1391" s="13" t="s" ph="1">
        <v>3970</v>
      </c>
      <c r="G1391" s="13" t="s" ph="1">
        <v>3803</v>
      </c>
      <c r="H1391" s="13" t="s" ph="1">
        <v>1219</v>
      </c>
      <c r="I1391" s="13" t="s" ph="1">
        <v>6857</v>
      </c>
      <c r="M1391" s="14" t="str" ph="1">
        <f>IFERROR(INDEX([1]!_born[生没年],
MATCH(I1391,[1]!_born[作],0)),"")</f>
        <v/>
      </c>
      <c r="N1391" s="14" t="str" ph="1">
        <f>IFERROR(INDEX([1]!_born[生没年],
MATCH(K1391,[1]!_born[作],0)),"")</f>
        <v/>
      </c>
      <c r="O1391" s="13" t="s" ph="1">
        <v>6858</v>
      </c>
      <c r="R1391" s="16" t="s" ph="1">
        <v>2347</v>
      </c>
      <c r="T1391" s="13" t="s" ph="1">
        <v>4626</v>
      </c>
      <c r="U1391" s="16" ph="1">
        <v>39573</v>
      </c>
      <c r="V1391" s="17" ph="1">
        <f>1262*1.05</f>
        <v>1325.1000000000001</v>
      </c>
      <c r="W1391" s="17" ph="1">
        <f>1262*1.05</f>
        <v>1325.1000000000001</v>
      </c>
      <c r="X1391" s="13" t="s" ph="1">
        <v>3802</v>
      </c>
    </row>
    <row r="1392" spans="1:25" s="19" customFormat="1" ht="22.5" customHeight="1" ph="1" x14ac:dyDescent="0.35">
      <c r="A1392" s="107" ph="1"/>
      <c r="B1392" s="18" ph="1"/>
      <c r="C1392" s="19" t="s" ph="1">
        <v>6745</v>
      </c>
      <c r="D1392" s="124" ph="1"/>
      <c r="E1392" s="124" ph="1"/>
      <c r="G1392" s="19" t="s" ph="1">
        <v>4647</v>
      </c>
      <c r="H1392" s="19" t="s" ph="1">
        <v>1219</v>
      </c>
      <c r="M1392" s="27" t="str" ph="1">
        <f>IFERROR(INDEX([1]!_born[生没年],
MATCH(I1392,[1]!_born[作],0)),"")</f>
        <v/>
      </c>
      <c r="N1392" s="27" t="str" ph="1">
        <f>IFERROR(INDEX([1]!_born[生没年],
MATCH(K1392,[1]!_born[作],0)),"")</f>
        <v/>
      </c>
      <c r="O1392" s="19" t="s" ph="1">
        <v>6859</v>
      </c>
      <c r="R1392" s="20" t="s" ph="1">
        <v>1295</v>
      </c>
      <c r="T1392" s="19" t="s" ph="1">
        <v>5067</v>
      </c>
      <c r="U1392" s="20" t="s" ph="1">
        <v>1217</v>
      </c>
      <c r="V1392" s="21" ph="1"/>
      <c r="W1392" s="21" ph="1"/>
      <c r="Y1392" s="19" t="s" ph="1">
        <v>6860</v>
      </c>
    </row>
    <row r="1393" spans="1:24" ht="22.5" customHeight="1" ph="1" x14ac:dyDescent="0.35">
      <c r="C1393" s="13" t="s" ph="1">
        <v>3970</v>
      </c>
      <c r="G1393" s="13" t="s" ph="1">
        <v>3803</v>
      </c>
      <c r="H1393" s="13" t="s" ph="1">
        <v>1269</v>
      </c>
      <c r="I1393" s="13" t="s" ph="1">
        <v>2348</v>
      </c>
      <c r="K1393" s="13" t="s" ph="1">
        <v>2349</v>
      </c>
      <c r="L1393" s="13" t="s" ph="1">
        <v>2349</v>
      </c>
      <c r="M1393" s="14" t="str" ph="1">
        <f>IFERROR(INDEX([1]!_born[生没年],
MATCH(I1393,[1]!_born[作],0)),"")</f>
        <v/>
      </c>
      <c r="N1393" s="14" t="str" ph="1">
        <f>IFERROR(INDEX([1]!_born[生没年],
MATCH(K1393,[1]!_born[作],0)),"")</f>
        <v/>
      </c>
      <c r="O1393" s="13" t="s" ph="1">
        <v>6861</v>
      </c>
      <c r="U1393" s="16" t="s" ph="1">
        <v>1217</v>
      </c>
      <c r="V1393" s="17" ph="1">
        <v>36.4</v>
      </c>
    </row>
    <row r="1394" spans="1:24" ht="22.5" customHeight="1" ph="1" x14ac:dyDescent="0.35">
      <c r="C1394" s="13" t="s" ph="1">
        <v>3970</v>
      </c>
      <c r="G1394" s="13" t="s" ph="1">
        <v>1260</v>
      </c>
      <c r="H1394" s="13" t="s" ph="1">
        <v>1257</v>
      </c>
      <c r="M1394" s="14" t="str" ph="1">
        <f>IFERROR(INDEX([1]!_born[生没年],
MATCH(I1394,[1]!_born[作],0)),"")</f>
        <v/>
      </c>
      <c r="N1394" s="14" t="str" ph="1">
        <f>IFERROR(INDEX([1]!_born[生没年],
MATCH(K1394,[1]!_born[作],0)),"")</f>
        <v/>
      </c>
      <c r="O1394" s="15" t="s" ph="1">
        <v>6862</v>
      </c>
      <c r="T1394" s="13" t="s" ph="1">
        <v>6863</v>
      </c>
      <c r="U1394" s="16" t="s" ph="1">
        <v>1217</v>
      </c>
      <c r="V1394" s="17" ph="1">
        <v>3600</v>
      </c>
    </row>
    <row r="1395" spans="1:24" ht="22.5" customHeight="1" ph="1" x14ac:dyDescent="0.35">
      <c r="C1395" s="13" t="s" ph="1">
        <v>3970</v>
      </c>
      <c r="G1395" s="13" t="s" ph="1">
        <v>1786</v>
      </c>
      <c r="H1395" s="13" t="s" ph="1">
        <v>1219</v>
      </c>
      <c r="M1395" s="14" t="str" ph="1">
        <f>IFERROR(INDEX([1]!_born[生没年],
MATCH(I1395,[1]!_born[作],0)),"")</f>
        <v/>
      </c>
      <c r="N1395" s="14" t="str" ph="1">
        <f>IFERROR(INDEX([1]!_born[生没年],
MATCH(K1395,[1]!_born[作],0)),"")</f>
        <v/>
      </c>
      <c r="O1395" s="13" t="s" ph="1">
        <v>6864</v>
      </c>
      <c r="U1395" s="16" t="s" ph="1">
        <v>1217</v>
      </c>
    </row>
    <row r="1396" spans="1:24" ht="22.5" customHeight="1" ph="1" x14ac:dyDescent="0.35">
      <c r="C1396" s="13" t="s" ph="1">
        <v>6865</v>
      </c>
      <c r="G1396" s="13" t="s" ph="1">
        <v>3793</v>
      </c>
      <c r="H1396" s="13" t="s" ph="1">
        <v>1219</v>
      </c>
      <c r="I1396" s="13" t="s" ph="1">
        <v>6866</v>
      </c>
      <c r="J1396" s="13" t="s" ph="1">
        <v>3616</v>
      </c>
      <c r="M1396" s="14" t="str" ph="1">
        <f>IFERROR(INDEX([1]!_born[生没年],
MATCH(I1396,[1]!_born[作],0)),"")</f>
        <v/>
      </c>
      <c r="N1396" s="14" t="str" ph="1">
        <f>IFERROR(INDEX([1]!_born[生没年],
MATCH(K1396,[1]!_born[作],0)),"")</f>
        <v/>
      </c>
      <c r="O1396" s="15" t="s" ph="1">
        <v>6867</v>
      </c>
      <c r="T1396" s="13" t="s" ph="1">
        <v>6868</v>
      </c>
      <c r="U1396" s="16" t="s" ph="1">
        <v>1217</v>
      </c>
      <c r="V1396" s="17" ph="1">
        <v>2000</v>
      </c>
    </row>
    <row r="1397" spans="1:24" ht="22.5" customHeight="1" ph="1" x14ac:dyDescent="0.35">
      <c r="C1397" s="13" t="s" ph="1">
        <v>3970</v>
      </c>
      <c r="G1397" s="13" t="s" ph="1">
        <v>3803</v>
      </c>
      <c r="M1397" s="14" t="str" ph="1">
        <f>IFERROR(INDEX([1]!_born[生没年],
MATCH(I1397,[1]!_born[作],0)),"")</f>
        <v/>
      </c>
      <c r="N1397" s="14" t="str" ph="1">
        <f>IFERROR(INDEX([1]!_born[生没年],
MATCH(K1397,[1]!_born[作],0)),"")</f>
        <v/>
      </c>
      <c r="O1397" s="13" t="s" ph="1">
        <v>6869</v>
      </c>
    </row>
    <row r="1398" spans="1:24" ht="22.5" customHeight="1" ph="1" x14ac:dyDescent="0.35">
      <c r="C1398" s="13" t="s" ph="1">
        <v>3970</v>
      </c>
      <c r="G1398" s="13" t="s" ph="1">
        <v>3803</v>
      </c>
      <c r="M1398" s="14" t="str" ph="1">
        <f>IFERROR(INDEX([1]!_born[生没年],
MATCH(I1398,[1]!_born[作],0)),"")</f>
        <v/>
      </c>
      <c r="N1398" s="14" t="str" ph="1">
        <f>IFERROR(INDEX([1]!_born[生没年],
MATCH(K1398,[1]!_born[作],0)),"")</f>
        <v/>
      </c>
      <c r="O1398" s="13" t="s" ph="1">
        <v>6870</v>
      </c>
      <c r="R1398" s="16" t="s" ph="1">
        <v>1317</v>
      </c>
      <c r="T1398" s="13" t="s" ph="1">
        <v>4626</v>
      </c>
    </row>
    <row r="1399" spans="1:24" ht="22.5" customHeight="1" ph="1" x14ac:dyDescent="0.35">
      <c r="C1399" s="13" t="s" ph="1">
        <v>3970</v>
      </c>
      <c r="G1399" s="13" t="s" ph="1">
        <v>3803</v>
      </c>
      <c r="M1399" s="14" t="str" ph="1">
        <f>IFERROR(INDEX([1]!_born[生没年],
MATCH(I1399,[1]!_born[作],0)),"")</f>
        <v/>
      </c>
      <c r="N1399" s="14" t="str" ph="1">
        <f>IFERROR(INDEX([1]!_born[生没年],
MATCH(K1399,[1]!_born[作],0)),"")</f>
        <v/>
      </c>
      <c r="O1399" s="13" t="s" ph="1">
        <v>446</v>
      </c>
      <c r="R1399" s="16" t="s" ph="1">
        <v>1317</v>
      </c>
      <c r="T1399" s="13" t="s" ph="1">
        <v>4626</v>
      </c>
    </row>
    <row r="1400" spans="1:24" ht="22.5" customHeight="1" ph="1" x14ac:dyDescent="0.35">
      <c r="A1400" s="106" t="s" ph="1">
        <v>2350</v>
      </c>
      <c r="B1400" s="5" t="s" ph="1">
        <v>2351</v>
      </c>
      <c r="C1400" s="13" t="s" ph="1">
        <v>3970</v>
      </c>
      <c r="G1400" s="13" t="s" ph="1">
        <v>3803</v>
      </c>
      <c r="H1400" s="13" t="s" ph="1">
        <v>1269</v>
      </c>
      <c r="I1400" s="13" t="s" ph="1">
        <v>6871</v>
      </c>
      <c r="M1400" s="14" t="str" ph="1">
        <f>IFERROR(INDEX([1]!_born[生没年],
MATCH(I1400,[1]!_born[作],0)),"")</f>
        <v/>
      </c>
      <c r="N1400" s="14" t="str" ph="1">
        <f>IFERROR(INDEX([1]!_born[生没年],
MATCH(K1400,[1]!_born[作],0)),"")</f>
        <v/>
      </c>
      <c r="O1400" s="13" t="s" ph="1">
        <v>6872</v>
      </c>
      <c r="R1400" s="16" t="s" ph="1">
        <v>1445</v>
      </c>
      <c r="T1400" s="13" t="s" ph="1">
        <v>3643</v>
      </c>
      <c r="U1400" s="16" ph="1">
        <v>37530</v>
      </c>
      <c r="V1400" s="17" ph="1">
        <f>2400*1.05</f>
        <v>2520</v>
      </c>
      <c r="W1400" s="17" ph="1">
        <f>2400*1.05</f>
        <v>2520</v>
      </c>
      <c r="X1400" s="13" t="s" ph="1">
        <v>3802</v>
      </c>
    </row>
    <row r="1401" spans="1:24" ht="22.5" customHeight="1" ph="1" x14ac:dyDescent="0.35">
      <c r="A1401" s="106" t="s" ph="1">
        <v>2352</v>
      </c>
      <c r="B1401" s="5" t="s" ph="1">
        <v>2353</v>
      </c>
      <c r="C1401" s="13" t="s" ph="1">
        <v>6873</v>
      </c>
      <c r="G1401" s="13" t="s" ph="1">
        <v>3803</v>
      </c>
      <c r="H1401" s="13" t="s" ph="1">
        <v>1269</v>
      </c>
      <c r="I1401" s="13" t="s" ph="1">
        <v>6874</v>
      </c>
      <c r="M1401" s="14" t="str" ph="1">
        <f>IFERROR(INDEX([1]!_born[生没年],
MATCH(I1401,[1]!_born[作],0)),"")</f>
        <v/>
      </c>
      <c r="N1401" s="14" t="str" ph="1">
        <f>IFERROR(INDEX([1]!_born[生没年],
MATCH(K1401,[1]!_born[作],0)),"")</f>
        <v/>
      </c>
      <c r="O1401" s="13" t="s" ph="1">
        <v>6875</v>
      </c>
      <c r="R1401" s="16" t="s" ph="1">
        <v>2354</v>
      </c>
      <c r="S1401" s="13" t="s" ph="1">
        <v>6876</v>
      </c>
      <c r="T1401" s="13" t="s" ph="1">
        <v>4402</v>
      </c>
      <c r="U1401" s="16" ph="1">
        <v>37530</v>
      </c>
      <c r="V1401" s="17" ph="1">
        <f>2500*1.05</f>
        <v>2625</v>
      </c>
      <c r="W1401" s="17" ph="1">
        <f>2500*1.05</f>
        <v>2625</v>
      </c>
      <c r="X1401" s="13" t="s" ph="1">
        <v>3802</v>
      </c>
    </row>
    <row r="1402" spans="1:24" ht="22.5" customHeight="1" ph="1" x14ac:dyDescent="0.35">
      <c r="A1402" s="106" t="s" ph="1">
        <v>2355</v>
      </c>
      <c r="B1402" s="5" t="s" ph="1">
        <v>2353</v>
      </c>
      <c r="C1402" s="13" t="s" ph="1">
        <v>3970</v>
      </c>
      <c r="G1402" s="13" t="s" ph="1">
        <v>3803</v>
      </c>
      <c r="H1402" s="13" t="s" ph="1">
        <v>1257</v>
      </c>
      <c r="I1402" s="13" t="s" ph="1">
        <v>6877</v>
      </c>
      <c r="M1402" s="14" t="str" ph="1">
        <f>IFERROR(INDEX([1]!_born[生没年],
MATCH(I1402,[1]!_born[作],0)),"")</f>
        <v/>
      </c>
      <c r="N1402" s="14" t="str" ph="1">
        <f>IFERROR(INDEX([1]!_born[生没年],
MATCH(K1402,[1]!_born[作],0)),"")</f>
        <v/>
      </c>
      <c r="O1402" s="13" t="s" ph="1">
        <v>6878</v>
      </c>
      <c r="R1402" s="16" t="s" ph="1">
        <v>2356</v>
      </c>
      <c r="T1402" s="13" t="s" ph="1">
        <v>6671</v>
      </c>
      <c r="U1402" s="16" ph="1">
        <v>37865</v>
      </c>
      <c r="V1402" s="17" ph="1">
        <f>4800*1.03</f>
        <v>4944</v>
      </c>
      <c r="W1402" s="17" ph="1">
        <f>4800*1.05</f>
        <v>5040</v>
      </c>
      <c r="X1402" s="13" t="s" ph="1">
        <v>3802</v>
      </c>
    </row>
    <row r="1403" spans="1:24" ht="22.5" customHeight="1" ph="1" x14ac:dyDescent="0.35">
      <c r="A1403" s="106" t="s" ph="1">
        <v>2357</v>
      </c>
      <c r="B1403" s="5" t="s" ph="1">
        <v>2358</v>
      </c>
      <c r="C1403" s="13" t="s" ph="1">
        <v>3970</v>
      </c>
      <c r="D1403" s="123" ph="1">
        <v>1</v>
      </c>
      <c r="E1403" s="123" t="s" ph="1">
        <v>1225</v>
      </c>
      <c r="G1403" s="13" t="s" ph="1">
        <v>3803</v>
      </c>
      <c r="H1403" s="13" t="s" ph="1">
        <v>1257</v>
      </c>
      <c r="I1403" s="13" t="s" ph="1">
        <v>6879</v>
      </c>
      <c r="J1403" s="13" t="s" ph="1">
        <v>6880</v>
      </c>
      <c r="M1403" s="14" t="str" ph="1">
        <f>IFERROR(INDEX([1]!_born[生没年],
MATCH(I1403,[1]!_born[作],0)),"")</f>
        <v/>
      </c>
      <c r="N1403" s="14" t="str" ph="1">
        <f>IFERROR(INDEX([1]!_born[生没年],
MATCH(K1403,[1]!_born[作],0)),"")</f>
        <v/>
      </c>
      <c r="O1403" s="13" t="s" ph="1">
        <v>6881</v>
      </c>
      <c r="R1403" s="16" t="s" ph="1">
        <v>1406</v>
      </c>
      <c r="T1403" s="13" t="s" ph="1">
        <v>6882</v>
      </c>
      <c r="U1403" s="16" ph="1">
        <v>37567</v>
      </c>
      <c r="V1403" s="17" ph="1">
        <f>1500*1.05</f>
        <v>1575</v>
      </c>
      <c r="W1403" s="17" ph="1">
        <f>1500*1.05</f>
        <v>1575</v>
      </c>
      <c r="X1403" s="13" t="s" ph="1">
        <v>3802</v>
      </c>
    </row>
    <row r="1404" spans="1:24" ht="22.5" customHeight="1" ph="1" x14ac:dyDescent="0.35">
      <c r="A1404" s="106" t="s" ph="1">
        <v>2359</v>
      </c>
      <c r="B1404" s="5" t="s" ph="1">
        <v>2360</v>
      </c>
      <c r="C1404" s="13" t="s" ph="1">
        <v>6873</v>
      </c>
      <c r="G1404" s="13" t="s" ph="1">
        <v>3803</v>
      </c>
      <c r="H1404" s="13" t="s" ph="1">
        <v>1257</v>
      </c>
      <c r="I1404" s="13" t="s" ph="1">
        <v>6883</v>
      </c>
      <c r="J1404" s="13" t="s" ph="1">
        <v>6884</v>
      </c>
      <c r="M1404" s="14" t="str" ph="1">
        <f>IFERROR(INDEX([1]!_born[生没年],
MATCH(I1404,[1]!_born[作],0)),"")</f>
        <v/>
      </c>
      <c r="N1404" s="14" t="str" ph="1">
        <f>IFERROR(INDEX([1]!_born[生没年],
MATCH(K1404,[1]!_born[作],0)),"")</f>
        <v/>
      </c>
      <c r="O1404" s="13" t="s" ph="1">
        <v>6885</v>
      </c>
      <c r="R1404" s="16" t="s" ph="1">
        <v>1230</v>
      </c>
      <c r="T1404" s="13" t="s" ph="1">
        <v>6886</v>
      </c>
      <c r="U1404" s="16" ph="1">
        <v>37567</v>
      </c>
      <c r="V1404" s="17" ph="1">
        <f>1600*1.05</f>
        <v>1680</v>
      </c>
      <c r="W1404" s="17" ph="1">
        <f>1600*1.05</f>
        <v>1680</v>
      </c>
      <c r="X1404" s="13" t="s" ph="1">
        <v>3802</v>
      </c>
    </row>
    <row r="1405" spans="1:24" ht="22.5" customHeight="1" ph="1" x14ac:dyDescent="0.35">
      <c r="C1405" s="13" t="s" ph="1">
        <v>3970</v>
      </c>
      <c r="G1405" s="13" t="s" ph="1">
        <v>3803</v>
      </c>
      <c r="H1405" s="13" t="s" ph="1">
        <v>1257</v>
      </c>
      <c r="M1405" s="14" t="str" ph="1">
        <f>IFERROR(INDEX([1]!_born[生没年],
MATCH(I1405,[1]!_born[作],0)),"")</f>
        <v/>
      </c>
      <c r="N1405" s="14" t="str" ph="1">
        <f>IFERROR(INDEX([1]!_born[生没年],
MATCH(K1405,[1]!_born[作],0)),"")</f>
        <v/>
      </c>
      <c r="O1405" s="13" t="s" ph="1">
        <v>6887</v>
      </c>
      <c r="T1405" s="13" t="s" ph="1">
        <v>6888</v>
      </c>
      <c r="U1405" s="16" t="s" ph="1">
        <v>1217</v>
      </c>
      <c r="V1405" s="17" ph="1">
        <v>979</v>
      </c>
    </row>
    <row r="1406" spans="1:24" ht="22.5" customHeight="1" ph="1" x14ac:dyDescent="0.35">
      <c r="A1406" s="106" t="s" ph="1">
        <v>2361</v>
      </c>
      <c r="C1406" s="13" t="s" ph="1">
        <v>3970</v>
      </c>
      <c r="G1406" s="13" t="s" ph="1">
        <v>3803</v>
      </c>
      <c r="H1406" s="13" t="s" ph="1">
        <v>1257</v>
      </c>
      <c r="I1406" s="13" t="s" ph="1">
        <v>6889</v>
      </c>
      <c r="M1406" s="14" t="str" ph="1">
        <f>IFERROR(INDEX([1]!_born[生没年],
MATCH(I1406,[1]!_born[作],0)),"")</f>
        <v/>
      </c>
      <c r="N1406" s="14" t="str" ph="1">
        <f>IFERROR(INDEX([1]!_born[生没年],
MATCH(K1406,[1]!_born[作],0)),"")</f>
        <v/>
      </c>
      <c r="O1406" s="13" t="s" ph="1">
        <v>6890</v>
      </c>
      <c r="R1406" s="16" t="s" ph="1">
        <v>2362</v>
      </c>
      <c r="T1406" s="13" t="s" ph="1">
        <v>6340</v>
      </c>
      <c r="U1406" s="16" t="s" ph="1">
        <v>1217</v>
      </c>
      <c r="V1406" s="17" ph="1">
        <v>2650</v>
      </c>
    </row>
    <row r="1407" spans="1:24" ht="22.5" customHeight="1" ph="1" x14ac:dyDescent="0.35">
      <c r="A1407" s="106" t="s" ph="1">
        <v>2363</v>
      </c>
      <c r="B1407" s="5" t="s" ph="1">
        <v>2360</v>
      </c>
      <c r="C1407" s="13" t="s" ph="1">
        <v>3970</v>
      </c>
      <c r="G1407" s="13" t="s" ph="1">
        <v>3803</v>
      </c>
      <c r="H1407" s="13" t="s" ph="1">
        <v>1257</v>
      </c>
      <c r="I1407" s="13" t="s" ph="1">
        <v>6891</v>
      </c>
      <c r="M1407" s="14" t="str" ph="1">
        <f>IFERROR(INDEX([1]!_born[生没年],
MATCH(I1407,[1]!_born[作],0)),"")</f>
        <v/>
      </c>
      <c r="N1407" s="14" t="str" ph="1">
        <f>IFERROR(INDEX([1]!_born[生没年],
MATCH(K1407,[1]!_born[作],0)),"")</f>
        <v/>
      </c>
      <c r="O1407" s="32" t="s" ph="1">
        <v>6892</v>
      </c>
      <c r="R1407" s="16" t="s" ph="1">
        <v>1345</v>
      </c>
      <c r="T1407" s="13" t="s" ph="1">
        <v>6886</v>
      </c>
      <c r="U1407" s="16" t="s" ph="1">
        <v>1217</v>
      </c>
      <c r="V1407" s="17" ph="1">
        <f>1359*1.03</f>
        <v>1399.77</v>
      </c>
    </row>
    <row r="1408" spans="1:24" ht="22.5" customHeight="1" ph="1" x14ac:dyDescent="0.35">
      <c r="A1408" s="106" t="s" ph="1">
        <v>2364</v>
      </c>
      <c r="B1408" s="5" t="s" ph="1">
        <v>2365</v>
      </c>
      <c r="C1408" s="13" t="s" ph="1">
        <v>3970</v>
      </c>
      <c r="G1408" s="13" t="s" ph="1">
        <v>3803</v>
      </c>
      <c r="H1408" s="13" t="s" ph="1">
        <v>1257</v>
      </c>
      <c r="I1408" s="13" t="s" ph="1">
        <v>6893</v>
      </c>
      <c r="M1408" s="14" t="str" ph="1">
        <f>IFERROR(INDEX([1]!_born[生没年],
MATCH(I1408,[1]!_born[作],0)),"")</f>
        <v/>
      </c>
      <c r="N1408" s="14" t="str" ph="1">
        <f>IFERROR(INDEX([1]!_born[生没年],
MATCH(K1408,[1]!_born[作],0)),"")</f>
        <v/>
      </c>
      <c r="O1408" s="13" t="s" ph="1">
        <v>6894</v>
      </c>
      <c r="T1408" s="13" t="s" ph="1">
        <v>6888</v>
      </c>
      <c r="U1408" s="16" t="s" ph="1">
        <v>1217</v>
      </c>
      <c r="V1408" s="17" ph="1">
        <v>1545</v>
      </c>
    </row>
    <row r="1409" spans="1:24" ht="22.5" customHeight="1" ph="1" x14ac:dyDescent="0.35">
      <c r="A1409" s="106" t="s" ph="1">
        <v>2366</v>
      </c>
      <c r="B1409" s="5" t="s" ph="1">
        <v>2367</v>
      </c>
      <c r="C1409" s="13" t="s" ph="1">
        <v>3970</v>
      </c>
      <c r="G1409" s="13" t="s" ph="1">
        <v>3803</v>
      </c>
      <c r="H1409" s="13" t="s" ph="1">
        <v>1257</v>
      </c>
      <c r="I1409" s="13" t="s" ph="1">
        <v>6895</v>
      </c>
      <c r="M1409" s="14" t="str" ph="1">
        <f>IFERROR(INDEX([1]!_born[生没年],
MATCH(I1409,[1]!_born[作],0)),"")</f>
        <v/>
      </c>
      <c r="N1409" s="14" t="str" ph="1">
        <f>IFERROR(INDEX([1]!_born[生没年],
MATCH(K1409,[1]!_born[作],0)),"")</f>
        <v/>
      </c>
      <c r="O1409" s="13" t="s" ph="1">
        <v>6896</v>
      </c>
      <c r="T1409" s="13" t="s" ph="1">
        <v>6888</v>
      </c>
      <c r="U1409" s="16" t="s" ph="1">
        <v>1217</v>
      </c>
      <c r="V1409" s="17" ph="1">
        <v>1250</v>
      </c>
    </row>
    <row r="1410" spans="1:24" ht="22.5" customHeight="1" ph="1" x14ac:dyDescent="0.35">
      <c r="A1410" s="106" t="s" ph="1">
        <v>2368</v>
      </c>
      <c r="B1410" s="5" t="s" ph="1">
        <v>2369</v>
      </c>
      <c r="C1410" s="13" t="s" ph="1">
        <v>3970</v>
      </c>
      <c r="G1410" s="13" t="s" ph="1">
        <v>3803</v>
      </c>
      <c r="H1410" s="13" t="s" ph="1">
        <v>1257</v>
      </c>
      <c r="I1410" s="13" t="s" ph="1">
        <v>6897</v>
      </c>
      <c r="M1410" s="14" t="str" ph="1">
        <f>IFERROR(INDEX([1]!_born[生没年],
MATCH(I1410,[1]!_born[作],0)),"")</f>
        <v/>
      </c>
      <c r="N1410" s="14" t="str" ph="1">
        <f>IFERROR(INDEX([1]!_born[生没年],
MATCH(K1410,[1]!_born[作],0)),"")</f>
        <v/>
      </c>
      <c r="O1410" s="13" t="s" ph="1">
        <v>6898</v>
      </c>
      <c r="R1410" s="16" t="s" ph="1">
        <v>2370</v>
      </c>
      <c r="S1410" s="13" t="s" ph="1">
        <v>6899</v>
      </c>
      <c r="T1410" s="13" t="s" ph="1">
        <v>6900</v>
      </c>
      <c r="U1410" s="16" t="s" ph="1">
        <v>1217</v>
      </c>
      <c r="V1410" s="17" ph="1">
        <f>950*1.03</f>
        <v>978.5</v>
      </c>
    </row>
    <row r="1411" spans="1:24" ht="22.5" customHeight="1" ph="1" x14ac:dyDescent="0.35">
      <c r="A1411" s="106" t="s" ph="1">
        <v>2371</v>
      </c>
      <c r="B1411" s="5" t="s" ph="1">
        <v>2372</v>
      </c>
      <c r="C1411" s="13" t="s" ph="1">
        <v>3970</v>
      </c>
      <c r="G1411" s="13" t="s" ph="1">
        <v>3803</v>
      </c>
      <c r="H1411" s="13" t="s" ph="1">
        <v>1269</v>
      </c>
      <c r="I1411" s="13" t="s" ph="1">
        <v>6901</v>
      </c>
      <c r="M1411" s="14" t="str" ph="1">
        <f>IFERROR(INDEX([1]!_born[生没年],
MATCH(I1411,[1]!_born[作],0)),"")</f>
        <v/>
      </c>
      <c r="N1411" s="14" t="str" ph="1">
        <f>IFERROR(INDEX([1]!_born[生没年],
MATCH(K1411,[1]!_born[作],0)),"")</f>
        <v/>
      </c>
      <c r="O1411" s="13" t="s" ph="1">
        <v>6902</v>
      </c>
      <c r="R1411" s="16" t="s" ph="1">
        <v>2373</v>
      </c>
      <c r="T1411" s="13" t="s" ph="1">
        <v>5234</v>
      </c>
      <c r="U1411" s="16" t="s" ph="1">
        <v>2374</v>
      </c>
      <c r="V1411" s="17" ph="1">
        <f>1300*1.05</f>
        <v>1365</v>
      </c>
      <c r="W1411" s="17" ph="1">
        <f>1300*1.05</f>
        <v>1365</v>
      </c>
      <c r="X1411" s="13" t="s" ph="1">
        <v>6903</v>
      </c>
    </row>
    <row r="1412" spans="1:24" ht="22.5" customHeight="1" ph="1" x14ac:dyDescent="0.35">
      <c r="C1412" s="13" t="s" ph="1">
        <v>3970</v>
      </c>
      <c r="G1412" s="13" t="s" ph="1">
        <v>3803</v>
      </c>
      <c r="H1412" s="13" t="s" ph="1">
        <v>1269</v>
      </c>
      <c r="I1412" s="13" t="s" ph="1">
        <v>6904</v>
      </c>
      <c r="M1412" s="14" t="str" ph="1">
        <f>IFERROR(INDEX([1]!_born[生没年],
MATCH(I1412,[1]!_born[作],0)),"")</f>
        <v/>
      </c>
      <c r="N1412" s="14" t="str" ph="1">
        <f>IFERROR(INDEX([1]!_born[生没年],
MATCH(K1412,[1]!_born[作],0)),"")</f>
        <v/>
      </c>
      <c r="O1412" s="13" t="s" ph="1">
        <v>6905</v>
      </c>
    </row>
    <row r="1413" spans="1:24" ht="22.5" customHeight="1" ph="1" x14ac:dyDescent="0.35">
      <c r="C1413" s="13" t="s" ph="1">
        <v>3970</v>
      </c>
      <c r="G1413" s="13" t="s" ph="1">
        <v>3803</v>
      </c>
      <c r="H1413" s="13" t="s" ph="1">
        <v>1269</v>
      </c>
      <c r="I1413" s="13" t="s" ph="1">
        <v>6906</v>
      </c>
      <c r="M1413" s="14" t="str" ph="1">
        <f>IFERROR(INDEX([1]!_born[生没年],
MATCH(I1413,[1]!_born[作],0)),"")</f>
        <v/>
      </c>
      <c r="N1413" s="14" t="str" ph="1">
        <f>IFERROR(INDEX([1]!_born[生没年],
MATCH(K1413,[1]!_born[作],0)),"")</f>
        <v/>
      </c>
      <c r="O1413" s="13" t="s" ph="1">
        <v>6907</v>
      </c>
    </row>
    <row r="1414" spans="1:24" ht="22.5" customHeight="1" ph="1" x14ac:dyDescent="0.35">
      <c r="C1414" s="13" t="s" ph="1">
        <v>3970</v>
      </c>
      <c r="D1414" s="123" ph="1">
        <v>2</v>
      </c>
      <c r="E1414" s="123" t="s" ph="1">
        <v>1225</v>
      </c>
      <c r="G1414" s="13" t="s" ph="1">
        <v>3803</v>
      </c>
      <c r="H1414" s="13" t="s" ph="1">
        <v>1269</v>
      </c>
      <c r="M1414" s="14" t="str" ph="1">
        <f>IFERROR(INDEX([1]!_born[生没年],
MATCH(I1414,[1]!_born[作],0)),"")</f>
        <v/>
      </c>
      <c r="N1414" s="14" t="str" ph="1">
        <f>IFERROR(INDEX([1]!_born[生没年],
MATCH(K1414,[1]!_born[作],0)),"")</f>
        <v/>
      </c>
      <c r="O1414" s="13" t="s" ph="1">
        <v>6908</v>
      </c>
      <c r="T1414" s="13" t="s" ph="1">
        <v>2375</v>
      </c>
    </row>
    <row r="1415" spans="1:24" ht="22.5" customHeight="1" ph="1" x14ac:dyDescent="0.35">
      <c r="C1415" s="13" t="s" ph="1">
        <v>3970</v>
      </c>
      <c r="G1415" s="13" t="s" ph="1">
        <v>3793</v>
      </c>
      <c r="M1415" s="14" t="str" ph="1">
        <f>IFERROR(INDEX([1]!_born[生没年],
MATCH(I1415,[1]!_born[作],0)),"")</f>
        <v/>
      </c>
      <c r="N1415" s="14" t="str" ph="1">
        <f>IFERROR(INDEX([1]!_born[生没年],
MATCH(K1415,[1]!_born[作],0)),"")</f>
        <v/>
      </c>
      <c r="O1415" s="13" t="s" ph="1">
        <v>6909</v>
      </c>
      <c r="S1415" s="13" t="s" ph="1">
        <v>6910</v>
      </c>
      <c r="T1415" s="13" t="s" ph="1">
        <v>4600</v>
      </c>
      <c r="U1415" s="16" t="s" ph="1">
        <v>1217</v>
      </c>
    </row>
    <row r="1416" spans="1:24" ht="22.5" customHeight="1" ph="1" x14ac:dyDescent="0.35">
      <c r="C1416" s="13" t="s" ph="1">
        <v>3970</v>
      </c>
      <c r="G1416" s="13" t="s" ph="1">
        <v>3793</v>
      </c>
      <c r="M1416" s="14" t="str" ph="1">
        <f>IFERROR(INDEX([1]!_born[生没年],
MATCH(I1416,[1]!_born[作],0)),"")</f>
        <v/>
      </c>
      <c r="N1416" s="14" t="str" ph="1">
        <f>IFERROR(INDEX([1]!_born[生没年],
MATCH(K1416,[1]!_born[作],0)),"")</f>
        <v/>
      </c>
      <c r="O1416" s="13" t="s" ph="1">
        <v>6911</v>
      </c>
      <c r="S1416" s="13" t="s" ph="1">
        <v>6910</v>
      </c>
      <c r="T1416" s="13" t="s" ph="1">
        <v>4600</v>
      </c>
      <c r="U1416" s="16" t="s" ph="1">
        <v>1217</v>
      </c>
    </row>
    <row r="1417" spans="1:24" ht="22.5" customHeight="1" ph="1" x14ac:dyDescent="0.35">
      <c r="C1417" s="13" t="s" ph="1">
        <v>3970</v>
      </c>
      <c r="G1417" s="13" t="s" ph="1">
        <v>3793</v>
      </c>
      <c r="M1417" s="14" t="str" ph="1">
        <f>IFERROR(INDEX([1]!_born[生没年],
MATCH(I1417,[1]!_born[作],0)),"")</f>
        <v/>
      </c>
      <c r="N1417" s="14" t="str" ph="1">
        <f>IFERROR(INDEX([1]!_born[生没年],
MATCH(K1417,[1]!_born[作],0)),"")</f>
        <v/>
      </c>
      <c r="O1417" s="13" t="s" ph="1">
        <v>201</v>
      </c>
      <c r="S1417" s="13" t="s" ph="1">
        <v>6910</v>
      </c>
      <c r="T1417" s="13" t="s" ph="1">
        <v>4600</v>
      </c>
      <c r="U1417" s="16" t="s" ph="1">
        <v>1217</v>
      </c>
    </row>
    <row r="1418" spans="1:24" ht="22.5" customHeight="1" ph="1" x14ac:dyDescent="0.35">
      <c r="C1418" s="13" t="s" ph="1">
        <v>3970</v>
      </c>
      <c r="G1418" s="13" t="s" ph="1">
        <v>3793</v>
      </c>
      <c r="M1418" s="14" t="str" ph="1">
        <f>IFERROR(INDEX([1]!_born[生没年],
MATCH(I1418,[1]!_born[作],0)),"")</f>
        <v/>
      </c>
      <c r="N1418" s="14" t="str" ph="1">
        <f>IFERROR(INDEX([1]!_born[生没年],
MATCH(K1418,[1]!_born[作],0)),"")</f>
        <v/>
      </c>
      <c r="O1418" s="13" t="s" ph="1">
        <v>6912</v>
      </c>
      <c r="S1418" s="13" t="s" ph="1">
        <v>6910</v>
      </c>
      <c r="T1418" s="13" t="s" ph="1">
        <v>4600</v>
      </c>
      <c r="U1418" s="16" t="s" ph="1">
        <v>1217</v>
      </c>
    </row>
    <row r="1419" spans="1:24" ht="22.5" customHeight="1" ph="1" x14ac:dyDescent="0.35">
      <c r="C1419" s="13" t="s" ph="1">
        <v>3970</v>
      </c>
      <c r="G1419" s="13" t="s" ph="1">
        <v>3793</v>
      </c>
      <c r="M1419" s="14" t="str" ph="1">
        <f>IFERROR(INDEX([1]!_born[生没年],
MATCH(I1419,[1]!_born[作],0)),"")</f>
        <v/>
      </c>
      <c r="N1419" s="14" t="str" ph="1">
        <f>IFERROR(INDEX([1]!_born[生没年],
MATCH(K1419,[1]!_born[作],0)),"")</f>
        <v/>
      </c>
      <c r="O1419" s="13" t="s" ph="1">
        <v>6913</v>
      </c>
      <c r="S1419" s="13" t="s" ph="1">
        <v>6910</v>
      </c>
      <c r="T1419" s="13" t="s" ph="1">
        <v>4600</v>
      </c>
      <c r="U1419" s="16" t="s" ph="1">
        <v>1217</v>
      </c>
    </row>
    <row r="1420" spans="1:24" ht="22.5" customHeight="1" ph="1" x14ac:dyDescent="0.35">
      <c r="C1420" s="13" t="s" ph="1">
        <v>3970</v>
      </c>
      <c r="G1420" s="13" t="s" ph="1">
        <v>3793</v>
      </c>
      <c r="M1420" s="14" t="str" ph="1">
        <f>IFERROR(INDEX([1]!_born[生没年],
MATCH(I1420,[1]!_born[作],0)),"")</f>
        <v/>
      </c>
      <c r="N1420" s="14" t="str" ph="1">
        <f>IFERROR(INDEX([1]!_born[生没年],
MATCH(K1420,[1]!_born[作],0)),"")</f>
        <v/>
      </c>
      <c r="O1420" s="13" t="s" ph="1">
        <v>6914</v>
      </c>
      <c r="S1420" s="13" t="s" ph="1">
        <v>6910</v>
      </c>
      <c r="T1420" s="13" t="s" ph="1">
        <v>4600</v>
      </c>
      <c r="U1420" s="16" t="s" ph="1">
        <v>1217</v>
      </c>
    </row>
    <row r="1421" spans="1:24" ht="22.5" customHeight="1" ph="1" x14ac:dyDescent="0.35">
      <c r="C1421" s="13" t="s" ph="1">
        <v>3970</v>
      </c>
      <c r="G1421" s="13" t="s" ph="1">
        <v>3793</v>
      </c>
      <c r="M1421" s="14" t="str" ph="1">
        <f>IFERROR(INDEX([1]!_born[生没年],
MATCH(I1421,[1]!_born[作],0)),"")</f>
        <v/>
      </c>
      <c r="N1421" s="14" t="str" ph="1">
        <f>IFERROR(INDEX([1]!_born[生没年],
MATCH(K1421,[1]!_born[作],0)),"")</f>
        <v/>
      </c>
      <c r="O1421" s="13" t="s" ph="1">
        <v>6915</v>
      </c>
      <c r="S1421" s="13" t="s" ph="1">
        <v>6910</v>
      </c>
      <c r="T1421" s="13" t="s" ph="1">
        <v>4600</v>
      </c>
      <c r="U1421" s="16" t="s" ph="1">
        <v>1217</v>
      </c>
    </row>
    <row r="1422" spans="1:24" ht="22.5" customHeight="1" ph="1" x14ac:dyDescent="0.35">
      <c r="C1422" s="13" t="s" ph="1">
        <v>3970</v>
      </c>
      <c r="G1422" s="13" t="s" ph="1">
        <v>3793</v>
      </c>
      <c r="M1422" s="14" t="str" ph="1">
        <f>IFERROR(INDEX([1]!_born[生没年],
MATCH(I1422,[1]!_born[作],0)),"")</f>
        <v/>
      </c>
      <c r="N1422" s="14" t="str" ph="1">
        <f>IFERROR(INDEX([1]!_born[生没年],
MATCH(K1422,[1]!_born[作],0)),"")</f>
        <v/>
      </c>
      <c r="O1422" s="13" t="s" ph="1">
        <v>6916</v>
      </c>
      <c r="S1422" s="13" t="s" ph="1">
        <v>6910</v>
      </c>
      <c r="T1422" s="13" t="s" ph="1">
        <v>4600</v>
      </c>
      <c r="U1422" s="16" t="s" ph="1">
        <v>1217</v>
      </c>
    </row>
    <row r="1423" spans="1:24" ht="22.5" customHeight="1" ph="1" x14ac:dyDescent="0.35">
      <c r="C1423" s="13" t="s" ph="1">
        <v>3970</v>
      </c>
      <c r="G1423" s="13" t="s" ph="1">
        <v>3793</v>
      </c>
      <c r="M1423" s="14" t="str" ph="1">
        <f>IFERROR(INDEX([1]!_born[生没年],
MATCH(I1423,[1]!_born[作],0)),"")</f>
        <v/>
      </c>
      <c r="N1423" s="14" t="str" ph="1">
        <f>IFERROR(INDEX([1]!_born[生没年],
MATCH(K1423,[1]!_born[作],0)),"")</f>
        <v/>
      </c>
      <c r="O1423" s="13" t="s" ph="1">
        <v>6917</v>
      </c>
      <c r="S1423" s="13" t="s" ph="1">
        <v>6910</v>
      </c>
      <c r="T1423" s="13" t="s" ph="1">
        <v>4600</v>
      </c>
      <c r="U1423" s="16" t="s" ph="1">
        <v>1217</v>
      </c>
    </row>
    <row r="1424" spans="1:24" ht="22.5" customHeight="1" ph="1" x14ac:dyDescent="0.35">
      <c r="C1424" s="13" t="s" ph="1">
        <v>3970</v>
      </c>
      <c r="G1424" s="13" t="s" ph="1">
        <v>3793</v>
      </c>
      <c r="M1424" s="14" t="str" ph="1">
        <f>IFERROR(INDEX([1]!_born[生没年],
MATCH(I1424,[1]!_born[作],0)),"")</f>
        <v/>
      </c>
      <c r="N1424" s="14" t="str" ph="1">
        <f>IFERROR(INDEX([1]!_born[生没年],
MATCH(K1424,[1]!_born[作],0)),"")</f>
        <v/>
      </c>
      <c r="O1424" s="13" t="s" ph="1">
        <v>6918</v>
      </c>
      <c r="S1424" s="13" t="s" ph="1">
        <v>6910</v>
      </c>
      <c r="T1424" s="13" t="s" ph="1">
        <v>4600</v>
      </c>
      <c r="U1424" s="16" t="s" ph="1">
        <v>1217</v>
      </c>
    </row>
    <row r="1425" spans="1:23" ht="22.5" customHeight="1" ph="1" x14ac:dyDescent="0.35">
      <c r="C1425" s="13" t="s" ph="1">
        <v>3970</v>
      </c>
      <c r="G1425" s="13" t="s" ph="1">
        <v>3793</v>
      </c>
      <c r="M1425" s="14" t="str" ph="1">
        <f>IFERROR(INDEX([1]!_born[生没年],
MATCH(I1425,[1]!_born[作],0)),"")</f>
        <v/>
      </c>
      <c r="N1425" s="14" t="str" ph="1">
        <f>IFERROR(INDEX([1]!_born[生没年],
MATCH(K1425,[1]!_born[作],0)),"")</f>
        <v/>
      </c>
      <c r="O1425" s="13" t="s" ph="1">
        <v>6919</v>
      </c>
      <c r="S1425" s="13" t="s" ph="1">
        <v>6910</v>
      </c>
      <c r="T1425" s="13" t="s" ph="1">
        <v>4600</v>
      </c>
      <c r="U1425" s="16" t="s" ph="1">
        <v>1217</v>
      </c>
    </row>
    <row r="1426" spans="1:23" ht="22.5" customHeight="1" ph="1" x14ac:dyDescent="0.35">
      <c r="C1426" s="13" t="s" ph="1">
        <v>3970</v>
      </c>
      <c r="G1426" s="13" t="s" ph="1">
        <v>3793</v>
      </c>
      <c r="M1426" s="14" t="str" ph="1">
        <f>IFERROR(INDEX([1]!_born[生没年],
MATCH(I1426,[1]!_born[作],0)),"")</f>
        <v/>
      </c>
      <c r="N1426" s="14" t="str" ph="1">
        <f>IFERROR(INDEX([1]!_born[生没年],
MATCH(K1426,[1]!_born[作],0)),"")</f>
        <v/>
      </c>
      <c r="O1426" s="13" t="s" ph="1">
        <v>6920</v>
      </c>
      <c r="S1426" s="13" t="s" ph="1">
        <v>6910</v>
      </c>
      <c r="T1426" s="13" t="s" ph="1">
        <v>4600</v>
      </c>
      <c r="U1426" s="16" t="s" ph="1">
        <v>1217</v>
      </c>
    </row>
    <row r="1427" spans="1:23" ht="22.5" customHeight="1" ph="1" x14ac:dyDescent="0.35">
      <c r="C1427" s="13" t="s" ph="1">
        <v>3970</v>
      </c>
      <c r="G1427" s="13" t="s" ph="1">
        <v>3793</v>
      </c>
      <c r="M1427" s="14" t="str" ph="1">
        <f>IFERROR(INDEX([1]!_born[生没年],
MATCH(I1427,[1]!_born[作],0)),"")</f>
        <v/>
      </c>
      <c r="N1427" s="14" t="str" ph="1">
        <f>IFERROR(INDEX([1]!_born[生没年],
MATCH(K1427,[1]!_born[作],0)),"")</f>
        <v/>
      </c>
      <c r="O1427" s="13" t="s" ph="1">
        <v>6921</v>
      </c>
      <c r="S1427" s="13" t="s" ph="1">
        <v>6910</v>
      </c>
      <c r="T1427" s="13" t="s" ph="1">
        <v>4600</v>
      </c>
      <c r="U1427" s="16" t="s" ph="1">
        <v>1217</v>
      </c>
    </row>
    <row r="1428" spans="1:23" ht="22.5" customHeight="1" ph="1" x14ac:dyDescent="0.35">
      <c r="C1428" s="13" t="s" ph="1">
        <v>3970</v>
      </c>
      <c r="G1428" s="13" t="s" ph="1">
        <v>3793</v>
      </c>
      <c r="M1428" s="14" t="str" ph="1">
        <f>IFERROR(INDEX([1]!_born[生没年],
MATCH(I1428,[1]!_born[作],0)),"")</f>
        <v/>
      </c>
      <c r="N1428" s="14" t="str" ph="1">
        <f>IFERROR(INDEX([1]!_born[生没年],
MATCH(K1428,[1]!_born[作],0)),"")</f>
        <v/>
      </c>
      <c r="O1428" s="13" t="s" ph="1">
        <v>314</v>
      </c>
      <c r="S1428" s="13" t="s" ph="1">
        <v>6910</v>
      </c>
      <c r="T1428" s="13" t="s" ph="1">
        <v>4600</v>
      </c>
      <c r="U1428" s="16" t="s" ph="1">
        <v>1217</v>
      </c>
    </row>
    <row r="1429" spans="1:23" ht="22.5" customHeight="1" ph="1" x14ac:dyDescent="0.35">
      <c r="C1429" s="13" t="s" ph="1">
        <v>3970</v>
      </c>
      <c r="G1429" s="13" t="s" ph="1">
        <v>3793</v>
      </c>
      <c r="M1429" s="14" t="str" ph="1">
        <f>IFERROR(INDEX([1]!_born[生没年],
MATCH(I1429,[1]!_born[作],0)),"")</f>
        <v/>
      </c>
      <c r="N1429" s="14" t="str" ph="1">
        <f>IFERROR(INDEX([1]!_born[生没年],
MATCH(K1429,[1]!_born[作],0)),"")</f>
        <v/>
      </c>
      <c r="O1429" s="13" t="s" ph="1">
        <v>6922</v>
      </c>
      <c r="S1429" s="13" t="s" ph="1">
        <v>6910</v>
      </c>
      <c r="T1429" s="13" t="s" ph="1">
        <v>4600</v>
      </c>
      <c r="U1429" s="16" t="s" ph="1">
        <v>1217</v>
      </c>
    </row>
    <row r="1430" spans="1:23" ht="22.5" customHeight="1" ph="1" x14ac:dyDescent="0.35">
      <c r="C1430" s="13" t="s" ph="1">
        <v>3970</v>
      </c>
      <c r="G1430" s="13" t="s" ph="1">
        <v>3793</v>
      </c>
      <c r="M1430" s="14" t="str" ph="1">
        <f>IFERROR(INDEX([1]!_born[生没年],
MATCH(I1430,[1]!_born[作],0)),"")</f>
        <v/>
      </c>
      <c r="N1430" s="14" t="str" ph="1">
        <f>IFERROR(INDEX([1]!_born[生没年],
MATCH(K1430,[1]!_born[作],0)),"")</f>
        <v/>
      </c>
      <c r="O1430" s="13" t="s" ph="1">
        <v>6923</v>
      </c>
      <c r="S1430" s="13" t="s" ph="1">
        <v>6910</v>
      </c>
      <c r="T1430" s="13" t="s" ph="1">
        <v>4600</v>
      </c>
      <c r="U1430" s="16" t="s" ph="1">
        <v>1217</v>
      </c>
    </row>
    <row r="1431" spans="1:23" ht="22.5" customHeight="1" ph="1" x14ac:dyDescent="0.35">
      <c r="C1431" s="13" t="s" ph="1">
        <v>3970</v>
      </c>
      <c r="G1431" s="13" t="s" ph="1">
        <v>3793</v>
      </c>
      <c r="M1431" s="14" t="str" ph="1">
        <f>IFERROR(INDEX([1]!_born[生没年],
MATCH(I1431,[1]!_born[作],0)),"")</f>
        <v/>
      </c>
      <c r="N1431" s="14" t="str" ph="1">
        <f>IFERROR(INDEX([1]!_born[生没年],
MATCH(K1431,[1]!_born[作],0)),"")</f>
        <v/>
      </c>
      <c r="O1431" s="13" t="s" ph="1">
        <v>6924</v>
      </c>
      <c r="S1431" s="13" t="s" ph="1">
        <v>6910</v>
      </c>
      <c r="T1431" s="13" t="s" ph="1">
        <v>4600</v>
      </c>
      <c r="U1431" s="16" t="s" ph="1">
        <v>1217</v>
      </c>
    </row>
    <row r="1432" spans="1:23" ht="22.5" customHeight="1" ph="1" x14ac:dyDescent="0.35">
      <c r="C1432" s="13" t="s" ph="1">
        <v>3970</v>
      </c>
      <c r="G1432" s="13" t="s" ph="1">
        <v>3793</v>
      </c>
      <c r="M1432" s="14" t="str" ph="1">
        <f>IFERROR(INDEX([1]!_born[生没年],
MATCH(I1432,[1]!_born[作],0)),"")</f>
        <v/>
      </c>
      <c r="N1432" s="14" t="str" ph="1">
        <f>IFERROR(INDEX([1]!_born[生没年],
MATCH(K1432,[1]!_born[作],0)),"")</f>
        <v/>
      </c>
      <c r="O1432" s="13" t="s" ph="1">
        <v>6925</v>
      </c>
      <c r="S1432" s="13" t="s" ph="1">
        <v>6910</v>
      </c>
      <c r="T1432" s="13" t="s" ph="1">
        <v>4600</v>
      </c>
      <c r="U1432" s="16" t="s" ph="1">
        <v>1217</v>
      </c>
    </row>
    <row r="1433" spans="1:23" ht="22.5" customHeight="1" ph="1" x14ac:dyDescent="0.35">
      <c r="C1433" s="13" t="s" ph="1">
        <v>3970</v>
      </c>
      <c r="G1433" s="13" t="s" ph="1">
        <v>3793</v>
      </c>
      <c r="M1433" s="14" t="str" ph="1">
        <f>IFERROR(INDEX([1]!_born[生没年],
MATCH(I1433,[1]!_born[作],0)),"")</f>
        <v/>
      </c>
      <c r="N1433" s="14" t="str" ph="1">
        <f>IFERROR(INDEX([1]!_born[生没年],
MATCH(K1433,[1]!_born[作],0)),"")</f>
        <v/>
      </c>
      <c r="O1433" s="13" t="s" ph="1">
        <v>6926</v>
      </c>
      <c r="S1433" s="13" t="s" ph="1">
        <v>6910</v>
      </c>
      <c r="T1433" s="13" t="s" ph="1">
        <v>4600</v>
      </c>
      <c r="U1433" s="16" t="s" ph="1">
        <v>1217</v>
      </c>
    </row>
    <row r="1434" spans="1:23" ht="22.5" customHeight="1" ph="1" x14ac:dyDescent="0.35">
      <c r="C1434" s="13" t="s" ph="1">
        <v>3970</v>
      </c>
      <c r="G1434" s="13" t="s" ph="1">
        <v>3793</v>
      </c>
      <c r="M1434" s="14" t="str" ph="1">
        <f>IFERROR(INDEX([1]!_born[生没年],
MATCH(I1434,[1]!_born[作],0)),"")</f>
        <v/>
      </c>
      <c r="N1434" s="14" t="str" ph="1">
        <f>IFERROR(INDEX([1]!_born[生没年],
MATCH(K1434,[1]!_born[作],0)),"")</f>
        <v/>
      </c>
      <c r="O1434" s="13" t="s" ph="1">
        <v>183</v>
      </c>
      <c r="S1434" s="13" t="s" ph="1">
        <v>6910</v>
      </c>
      <c r="T1434" s="13" t="s" ph="1">
        <v>4600</v>
      </c>
      <c r="U1434" s="16" t="s" ph="1">
        <v>1217</v>
      </c>
    </row>
    <row r="1435" spans="1:23" ht="22.5" customHeight="1" ph="1" x14ac:dyDescent="0.35">
      <c r="A1435" s="106" t="s" ph="1">
        <v>2376</v>
      </c>
      <c r="B1435" s="5" t="s" ph="1">
        <v>2377</v>
      </c>
      <c r="C1435" s="13" t="s" ph="1">
        <v>3970</v>
      </c>
      <c r="G1435" s="13" t="s" ph="1">
        <v>3838</v>
      </c>
      <c r="I1435" s="15" t="s" ph="1">
        <v>6927</v>
      </c>
      <c r="M1435" s="14" t="str" ph="1">
        <f>IFERROR(INDEX([1]!_born[生没年],
MATCH(I1435,[1]!_born[作],0)),"")</f>
        <v/>
      </c>
      <c r="N1435" s="14" t="str" ph="1">
        <f>IFERROR(INDEX([1]!_born[生没年],
MATCH(K1435,[1]!_born[作],0)),"")</f>
        <v/>
      </c>
      <c r="O1435" s="15" t="s" ph="1">
        <v>6928</v>
      </c>
      <c r="R1435" s="16" t="s" ph="1">
        <v>2378</v>
      </c>
      <c r="S1435" s="13" t="s" ph="1">
        <v>6929</v>
      </c>
      <c r="T1435" s="13" t="s" ph="1">
        <v>6930</v>
      </c>
      <c r="U1435" s="16" t="s" ph="1">
        <v>1217</v>
      </c>
    </row>
    <row r="1436" spans="1:23" ht="22.5" customHeight="1" ph="1" x14ac:dyDescent="0.35">
      <c r="C1436" s="13" t="s" ph="1">
        <v>3970</v>
      </c>
      <c r="G1436" s="13" t="s" ph="1">
        <v>3793</v>
      </c>
      <c r="M1436" s="14" t="str" ph="1">
        <f>IFERROR(INDEX([1]!_born[生没年],
MATCH(I1436,[1]!_born[作],0)),"")</f>
        <v/>
      </c>
      <c r="N1436" s="14" t="str" ph="1">
        <f>IFERROR(INDEX([1]!_born[生没年],
MATCH(K1436,[1]!_born[作],0)),"")</f>
        <v/>
      </c>
      <c r="O1436" s="13" t="s" ph="1">
        <v>6931</v>
      </c>
      <c r="R1436" s="16" t="s" ph="1">
        <v>1307</v>
      </c>
      <c r="T1436" s="13" t="s" ph="1">
        <v>6932</v>
      </c>
      <c r="V1436" s="17" ph="1">
        <v>630</v>
      </c>
    </row>
    <row r="1437" spans="1:23" ht="22.5" customHeight="1" ph="1" x14ac:dyDescent="0.35">
      <c r="C1437" s="13" t="s" ph="1">
        <v>6331</v>
      </c>
      <c r="G1437" s="13" t="s" ph="1">
        <v>1266</v>
      </c>
      <c r="M1437" s="14" t="str" ph="1">
        <f>IFERROR(INDEX([1]!_born[生没年],
MATCH(I1437,[1]!_born[作],0)),"")</f>
        <v/>
      </c>
      <c r="N1437" s="14" t="str" ph="1">
        <f>IFERROR(INDEX([1]!_born[生没年],
MATCH(K1437,[1]!_born[作],0)),"")</f>
        <v/>
      </c>
      <c r="O1437" s="13" t="s" ph="1">
        <v>6933</v>
      </c>
      <c r="T1437" s="13" t="s" ph="1">
        <v>6930</v>
      </c>
    </row>
    <row r="1438" spans="1:23" ht="22.5" customHeight="1" ph="1" x14ac:dyDescent="0.35">
      <c r="C1438" s="13" t="s" ph="1">
        <v>6331</v>
      </c>
      <c r="G1438" s="13" t="s" ph="1">
        <v>1266</v>
      </c>
      <c r="M1438" s="14" t="str" ph="1">
        <f>IFERROR(INDEX([1]!_born[生没年],
MATCH(I1438,[1]!_born[作],0)),"")</f>
        <v/>
      </c>
      <c r="N1438" s="14" t="str" ph="1">
        <f>IFERROR(INDEX([1]!_born[生没年],
MATCH(K1438,[1]!_born[作],0)),"")</f>
        <v/>
      </c>
      <c r="O1438" s="13" t="s" ph="1">
        <v>6934</v>
      </c>
      <c r="T1438" s="13" t="s" ph="1">
        <v>6930</v>
      </c>
    </row>
    <row r="1439" spans="1:23" ht="22.5" customHeight="1" ph="1" x14ac:dyDescent="0.35">
      <c r="C1439" s="13" t="s" ph="1">
        <v>3970</v>
      </c>
      <c r="G1439" s="13" t="s" ph="1">
        <v>3793</v>
      </c>
      <c r="I1439" s="13" t="s" ph="1">
        <v>162</v>
      </c>
      <c r="M1439" s="14" t="str" ph="1">
        <f>IFERROR(INDEX([1]!_born[生没年],
MATCH(I1439,[1]!_born[作],0)),"")</f>
        <v/>
      </c>
      <c r="N1439" s="14" t="str" ph="1">
        <f>IFERROR(INDEX([1]!_born[生没年],
MATCH(K1439,[1]!_born[作],0)),"")</f>
        <v/>
      </c>
      <c r="O1439" s="13" t="s" ph="1">
        <v>6935</v>
      </c>
      <c r="T1439" s="13" t="s" ph="1">
        <v>6936</v>
      </c>
      <c r="U1439" s="16" ph="1">
        <v>36796</v>
      </c>
      <c r="V1439" s="17" ph="1">
        <f>1000*1.05</f>
        <v>1050</v>
      </c>
      <c r="W1439" s="17" ph="1">
        <f>1000*1.05</f>
        <v>1050</v>
      </c>
    </row>
    <row r="1440" spans="1:23" ht="22.5" customHeight="1" ph="1" x14ac:dyDescent="0.35">
      <c r="C1440" s="13" t="s" ph="1">
        <v>3970</v>
      </c>
      <c r="G1440" s="13" t="s" ph="1">
        <v>3793</v>
      </c>
      <c r="I1440" s="13" t="s" ph="1">
        <v>162</v>
      </c>
      <c r="M1440" s="14" t="str" ph="1">
        <f>IFERROR(INDEX([1]!_born[生没年],
MATCH(I1440,[1]!_born[作],0)),"")</f>
        <v/>
      </c>
      <c r="N1440" s="14" t="str" ph="1">
        <f>IFERROR(INDEX([1]!_born[生没年],
MATCH(K1440,[1]!_born[作],0)),"")</f>
        <v/>
      </c>
      <c r="O1440" s="13" t="s" ph="1">
        <v>6937</v>
      </c>
      <c r="T1440" s="13" t="s" ph="1">
        <v>6936</v>
      </c>
      <c r="U1440" s="16" ph="1">
        <v>36796</v>
      </c>
      <c r="V1440" s="17" ph="1">
        <f>1000*1.05</f>
        <v>1050</v>
      </c>
      <c r="W1440" s="17" ph="1">
        <f>1000*1.05</f>
        <v>1050</v>
      </c>
    </row>
    <row r="1441" spans="3:23" ht="22.5" customHeight="1" ph="1" x14ac:dyDescent="0.35">
      <c r="C1441" s="13" t="s" ph="1">
        <v>6331</v>
      </c>
      <c r="D1441" s="123" ph="1">
        <v>1</v>
      </c>
      <c r="E1441" s="123" ph="1">
        <v>4</v>
      </c>
      <c r="G1441" s="13" t="s" ph="1">
        <v>3803</v>
      </c>
      <c r="I1441" s="13" t="s" ph="1">
        <v>6938</v>
      </c>
      <c r="M1441" s="14" t="str" ph="1">
        <f>IFERROR(INDEX([1]!_born[生没年],
MATCH(I1441,[1]!_born[作],0)),"")</f>
        <v/>
      </c>
      <c r="N1441" s="14" t="str" ph="1">
        <f>IFERROR(INDEX([1]!_born[生没年],
MATCH(K1441,[1]!_born[作],0)),"")</f>
        <v/>
      </c>
      <c r="O1441" s="13" t="s" ph="1">
        <v>6939</v>
      </c>
      <c r="R1441" s="16" t="s" ph="1">
        <v>2379</v>
      </c>
      <c r="T1441" s="13" t="s" ph="1">
        <v>6938</v>
      </c>
      <c r="U1441" s="16" t="s" ph="1">
        <v>1217</v>
      </c>
      <c r="V1441" s="17" ph="1">
        <f>150*4</f>
        <v>600</v>
      </c>
    </row>
    <row r="1442" spans="3:23" ht="22.5" customHeight="1" ph="1" x14ac:dyDescent="0.35">
      <c r="C1442" s="13" t="s" ph="1">
        <v>6331</v>
      </c>
      <c r="D1442" s="123" ph="1">
        <v>2</v>
      </c>
      <c r="E1442" s="123" ph="1">
        <v>4</v>
      </c>
      <c r="G1442" s="13" t="s" ph="1">
        <v>3803</v>
      </c>
      <c r="I1442" s="13" t="s" ph="1">
        <v>6938</v>
      </c>
      <c r="M1442" s="14" t="str" ph="1">
        <f>IFERROR(INDEX([1]!_born[生没年],
MATCH(I1442,[1]!_born[作],0)),"")</f>
        <v/>
      </c>
      <c r="N1442" s="14" t="str" ph="1">
        <f>IFERROR(INDEX([1]!_born[生没年],
MATCH(K1442,[1]!_born[作],0)),"")</f>
        <v/>
      </c>
      <c r="O1442" s="13" t="s" ph="1">
        <v>6940</v>
      </c>
      <c r="R1442" s="16" t="s" ph="1">
        <v>2379</v>
      </c>
      <c r="T1442" s="13" t="s" ph="1">
        <v>6938</v>
      </c>
      <c r="U1442" s="16" t="s" ph="1">
        <v>1217</v>
      </c>
      <c r="V1442" s="17" ph="1">
        <f>150*4</f>
        <v>600</v>
      </c>
    </row>
    <row r="1443" spans="3:23" ht="22.5" customHeight="1" ph="1" x14ac:dyDescent="0.35">
      <c r="C1443" s="13" t="s" ph="1">
        <v>6331</v>
      </c>
      <c r="D1443" s="123" ph="1">
        <v>3</v>
      </c>
      <c r="E1443" s="123" ph="1">
        <v>4</v>
      </c>
      <c r="G1443" s="13" t="s" ph="1">
        <v>3803</v>
      </c>
      <c r="I1443" s="13" t="s" ph="1">
        <v>6938</v>
      </c>
      <c r="M1443" s="14" t="str" ph="1">
        <f>IFERROR(INDEX([1]!_born[生没年],
MATCH(I1443,[1]!_born[作],0)),"")</f>
        <v/>
      </c>
      <c r="N1443" s="14" t="str" ph="1">
        <f>IFERROR(INDEX([1]!_born[生没年],
MATCH(K1443,[1]!_born[作],0)),"")</f>
        <v/>
      </c>
      <c r="O1443" s="13" t="s" ph="1">
        <v>6941</v>
      </c>
      <c r="R1443" s="16" t="s" ph="1">
        <v>2379</v>
      </c>
      <c r="T1443" s="13" t="s" ph="1">
        <v>6938</v>
      </c>
      <c r="U1443" s="16" t="s" ph="1">
        <v>1217</v>
      </c>
      <c r="V1443" s="17" ph="1">
        <f>150*4</f>
        <v>600</v>
      </c>
    </row>
    <row r="1444" spans="3:23" ht="22.5" customHeight="1" ph="1" x14ac:dyDescent="0.35">
      <c r="C1444" s="13" t="s" ph="1">
        <v>6331</v>
      </c>
      <c r="D1444" s="123" ph="1">
        <v>4</v>
      </c>
      <c r="E1444" s="123" ph="1">
        <v>4</v>
      </c>
      <c r="G1444" s="13" t="s" ph="1">
        <v>3803</v>
      </c>
      <c r="I1444" s="13" t="s" ph="1">
        <v>6938</v>
      </c>
      <c r="M1444" s="14" t="str" ph="1">
        <f>IFERROR(INDEX([1]!_born[生没年],
MATCH(I1444,[1]!_born[作],0)),"")</f>
        <v/>
      </c>
      <c r="N1444" s="14" t="str" ph="1">
        <f>IFERROR(INDEX([1]!_born[生没年],
MATCH(K1444,[1]!_born[作],0)),"")</f>
        <v/>
      </c>
      <c r="O1444" s="13" t="s" ph="1">
        <v>6942</v>
      </c>
      <c r="R1444" s="16" t="s" ph="1">
        <v>2379</v>
      </c>
      <c r="T1444" s="13" t="s" ph="1">
        <v>6938</v>
      </c>
      <c r="U1444" s="16" t="s" ph="1">
        <v>1217</v>
      </c>
      <c r="V1444" s="17" ph="1">
        <f>150*4</f>
        <v>600</v>
      </c>
    </row>
    <row r="1445" spans="3:23" ht="22.5" customHeight="1" ph="1" x14ac:dyDescent="0.35">
      <c r="C1445" s="13" t="s" ph="1">
        <v>6331</v>
      </c>
      <c r="G1445" s="13" t="s" ph="1">
        <v>4758</v>
      </c>
      <c r="M1445" s="14" t="str" ph="1">
        <f>IFERROR(INDEX([1]!_born[生没年],
MATCH(I1445,[1]!_born[作],0)),"")</f>
        <v/>
      </c>
      <c r="N1445" s="14" t="str" ph="1">
        <f>IFERROR(INDEX([1]!_born[生没年],
MATCH(K1445,[1]!_born[作],0)),"")</f>
        <v/>
      </c>
      <c r="O1445" s="13" t="s" ph="1">
        <v>6943</v>
      </c>
      <c r="T1445" s="13" t="s" ph="1">
        <v>6944</v>
      </c>
      <c r="U1445" s="16" t="s" ph="1">
        <v>1217</v>
      </c>
    </row>
    <row r="1446" spans="3:23" ht="22.5" customHeight="1" ph="1" x14ac:dyDescent="0.35">
      <c r="C1446" s="13" t="s" ph="1">
        <v>6331</v>
      </c>
      <c r="G1446" s="13" t="s" ph="1">
        <v>4758</v>
      </c>
      <c r="M1446" s="14" t="str" ph="1">
        <f>IFERROR(INDEX([1]!_born[生没年],
MATCH(I1446,[1]!_born[作],0)),"")</f>
        <v/>
      </c>
      <c r="N1446" s="14" t="str" ph="1">
        <f>IFERROR(INDEX([1]!_born[生没年],
MATCH(K1446,[1]!_born[作],0)),"")</f>
        <v/>
      </c>
      <c r="O1446" s="13" t="s" ph="1">
        <v>6945</v>
      </c>
      <c r="T1446" s="13" t="s" ph="1">
        <v>6946</v>
      </c>
      <c r="U1446" s="16" t="s" ph="1">
        <v>1217</v>
      </c>
      <c r="V1446" s="17" ph="1">
        <v>180</v>
      </c>
    </row>
    <row r="1447" spans="3:23" ht="22.5" customHeight="1" ph="1" x14ac:dyDescent="0.35">
      <c r="C1447" s="13" t="s" ph="1">
        <v>3970</v>
      </c>
      <c r="D1447" s="123" ph="1">
        <v>4</v>
      </c>
      <c r="E1447" s="123" ph="1">
        <v>18</v>
      </c>
      <c r="G1447" s="13" t="s" ph="1">
        <v>3793</v>
      </c>
      <c r="I1447" s="13" t="s" ph="1">
        <v>6947</v>
      </c>
      <c r="M1447" s="14" t="str" ph="1">
        <f>IFERROR(INDEX([1]!_born[生没年],
MATCH(I1447,[1]!_born[作],0)),"")</f>
        <v/>
      </c>
      <c r="N1447" s="14" t="str" ph="1">
        <f>IFERROR(INDEX([1]!_born[生没年],
MATCH(K1447,[1]!_born[作],0)),"")</f>
        <v/>
      </c>
      <c r="O1447" s="13" t="s" ph="1">
        <v>6948</v>
      </c>
      <c r="S1447" s="13" t="s" ph="1">
        <v>6949</v>
      </c>
      <c r="T1447" s="13" t="s" ph="1">
        <v>6950</v>
      </c>
      <c r="U1447" s="16" ph="1">
        <v>36697</v>
      </c>
      <c r="V1447" s="17" ph="1">
        <f>729*1.05</f>
        <v>765.45</v>
      </c>
      <c r="W1447" s="17" ph="1">
        <f>729*1.05</f>
        <v>765.45</v>
      </c>
    </row>
    <row r="1448" spans="3:23" ht="22.5" customHeight="1" ph="1" x14ac:dyDescent="0.35">
      <c r="C1448" s="13" t="s" ph="1">
        <v>3970</v>
      </c>
      <c r="D1448" s="123" ph="1">
        <v>4</v>
      </c>
      <c r="E1448" s="123" ph="1">
        <v>56</v>
      </c>
      <c r="G1448" s="13" t="s" ph="1">
        <v>3793</v>
      </c>
      <c r="I1448" s="13" t="s" ph="1">
        <v>6951</v>
      </c>
      <c r="M1448" s="14" t="str" ph="1">
        <f>IFERROR(INDEX([1]!_born[生没年],
MATCH(I1448,[1]!_born[作],0)),"")</f>
        <v/>
      </c>
      <c r="N1448" s="14" t="str" ph="1">
        <f>IFERROR(INDEX([1]!_born[生没年],
MATCH(K1448,[1]!_born[作],0)),"")</f>
        <v/>
      </c>
      <c r="O1448" s="13" t="s" ph="1">
        <v>6952</v>
      </c>
      <c r="S1448" s="13" t="s" ph="1">
        <v>6949</v>
      </c>
      <c r="T1448" s="13" t="s" ph="1">
        <v>6950</v>
      </c>
      <c r="U1448" s="16" ph="1">
        <v>36697</v>
      </c>
      <c r="V1448" s="17" ph="1">
        <f>729*1.05</f>
        <v>765.45</v>
      </c>
      <c r="W1448" s="17" ph="1">
        <f>729*1.05</f>
        <v>765.45</v>
      </c>
    </row>
    <row r="1449" spans="3:23" ht="22.5" customHeight="1" ph="1" x14ac:dyDescent="0.35">
      <c r="C1449" s="13" t="s" ph="1">
        <v>6331</v>
      </c>
      <c r="G1449" s="13" t="s" ph="1">
        <v>3793</v>
      </c>
      <c r="M1449" s="14" t="str" ph="1">
        <f>IFERROR(INDEX([1]!_born[生没年],
MATCH(I1449,[1]!_born[作],0)),"")</f>
        <v/>
      </c>
      <c r="N1449" s="14" t="str" ph="1">
        <f>IFERROR(INDEX([1]!_born[生没年],
MATCH(K1449,[1]!_born[作],0)),"")</f>
        <v/>
      </c>
      <c r="O1449" s="13" t="s" ph="1">
        <v>6953</v>
      </c>
      <c r="T1449" s="13" t="s" ph="1">
        <v>4260</v>
      </c>
      <c r="U1449" s="16" t="s" ph="1">
        <v>1217</v>
      </c>
      <c r="V1449" s="17" ph="1">
        <v>190</v>
      </c>
    </row>
    <row r="1450" spans="3:23" ht="22.5" customHeight="1" ph="1" x14ac:dyDescent="0.35">
      <c r="C1450" s="13" t="s" ph="1">
        <v>6331</v>
      </c>
      <c r="G1450" s="13" t="s" ph="1">
        <v>3793</v>
      </c>
      <c r="M1450" s="14" t="str" ph="1">
        <f>IFERROR(INDEX([1]!_born[生没年],
MATCH(I1450,[1]!_born[作],0)),"")</f>
        <v/>
      </c>
      <c r="N1450" s="14" t="str" ph="1">
        <f>IFERROR(INDEX([1]!_born[生没年],
MATCH(K1450,[1]!_born[作],0)),"")</f>
        <v/>
      </c>
      <c r="O1450" s="13" t="s" ph="1">
        <v>6954</v>
      </c>
      <c r="T1450" s="13" t="s" ph="1">
        <v>6950</v>
      </c>
      <c r="U1450" s="16" t="s" ph="1">
        <v>1217</v>
      </c>
      <c r="V1450" s="17" ph="1">
        <v>370</v>
      </c>
    </row>
    <row r="1451" spans="3:23" ht="22.5" customHeight="1" ph="1" x14ac:dyDescent="0.35">
      <c r="C1451" s="13" t="s" ph="1">
        <v>6331</v>
      </c>
      <c r="G1451" s="13" t="s" ph="1">
        <v>3793</v>
      </c>
      <c r="M1451" s="14" t="str" ph="1">
        <f>IFERROR(INDEX([1]!_born[生没年],
MATCH(I1451,[1]!_born[作],0)),"")</f>
        <v/>
      </c>
      <c r="N1451" s="14" t="str" ph="1">
        <f>IFERROR(INDEX([1]!_born[生没年],
MATCH(K1451,[1]!_born[作],0)),"")</f>
        <v/>
      </c>
      <c r="O1451" s="13" t="s" ph="1">
        <v>6955</v>
      </c>
      <c r="T1451" s="13" t="s" ph="1">
        <v>6950</v>
      </c>
      <c r="U1451" s="16" t="s" ph="1">
        <v>1217</v>
      </c>
      <c r="V1451" s="17" ph="1">
        <v>430</v>
      </c>
    </row>
    <row r="1452" spans="3:23" ht="22.5" customHeight="1" ph="1" x14ac:dyDescent="0.35">
      <c r="C1452" s="13" t="s" ph="1">
        <v>6331</v>
      </c>
      <c r="G1452" s="13" t="s" ph="1">
        <v>3793</v>
      </c>
      <c r="M1452" s="14" t="str" ph="1">
        <f>IFERROR(INDEX([1]!_born[生没年],
MATCH(I1452,[1]!_born[作],0)),"")</f>
        <v/>
      </c>
      <c r="N1452" s="14" t="str" ph="1">
        <f>IFERROR(INDEX([1]!_born[生没年],
MATCH(K1452,[1]!_born[作],0)),"")</f>
        <v/>
      </c>
      <c r="O1452" s="15" t="s" ph="1">
        <v>6956</v>
      </c>
      <c r="T1452" s="13" t="s" ph="1">
        <v>6950</v>
      </c>
      <c r="U1452" s="16" t="s" ph="1">
        <v>1217</v>
      </c>
    </row>
    <row r="1453" spans="3:23" ht="22.5" customHeight="1" ph="1" x14ac:dyDescent="0.35">
      <c r="C1453" s="13" t="s" ph="1">
        <v>6331</v>
      </c>
      <c r="G1453" s="13" t="s" ph="1">
        <v>3793</v>
      </c>
      <c r="I1453" s="13" t="s" ph="1">
        <v>6957</v>
      </c>
      <c r="M1453" s="14" t="str" ph="1">
        <f>IFERROR(INDEX([1]!_born[生没年],
MATCH(I1453,[1]!_born[作],0)),"")</f>
        <v/>
      </c>
      <c r="N1453" s="14" t="str" ph="1">
        <f>IFERROR(INDEX([1]!_born[生没年],
MATCH(K1453,[1]!_born[作],0)),"")</f>
        <v/>
      </c>
      <c r="O1453" s="15" t="s" ph="1">
        <v>6958</v>
      </c>
      <c r="T1453" s="13" t="s" ph="1">
        <v>6950</v>
      </c>
      <c r="U1453" s="16" t="s" ph="1">
        <v>1217</v>
      </c>
      <c r="V1453" s="17" ph="1">
        <v>580</v>
      </c>
    </row>
    <row r="1454" spans="3:23" ht="22.5" customHeight="1" ph="1" x14ac:dyDescent="0.35">
      <c r="C1454" s="13" t="s" ph="1">
        <v>6331</v>
      </c>
      <c r="G1454" s="13" t="s" ph="1">
        <v>3793</v>
      </c>
      <c r="M1454" s="14" t="str" ph="1">
        <f>IFERROR(INDEX([1]!_born[生没年],
MATCH(I1454,[1]!_born[作],0)),"")</f>
        <v/>
      </c>
      <c r="N1454" s="14" t="str" ph="1">
        <f>IFERROR(INDEX([1]!_born[生没年],
MATCH(K1454,[1]!_born[作],0)),"")</f>
        <v/>
      </c>
      <c r="O1454" s="15" t="s" ph="1">
        <v>6959</v>
      </c>
      <c r="T1454" s="13" t="s" ph="1">
        <v>6950</v>
      </c>
      <c r="U1454" s="16" t="s" ph="1">
        <v>1217</v>
      </c>
    </row>
    <row r="1455" spans="3:23" ht="22.5" customHeight="1" ph="1" x14ac:dyDescent="0.35">
      <c r="C1455" s="13" t="s" ph="1">
        <v>6331</v>
      </c>
      <c r="G1455" s="13" t="s" ph="1">
        <v>3793</v>
      </c>
      <c r="M1455" s="14" t="str" ph="1">
        <f>IFERROR(INDEX([1]!_born[生没年],
MATCH(I1455,[1]!_born[作],0)),"")</f>
        <v/>
      </c>
      <c r="N1455" s="14" t="str" ph="1">
        <f>IFERROR(INDEX([1]!_born[生没年],
MATCH(K1455,[1]!_born[作],0)),"")</f>
        <v/>
      </c>
      <c r="O1455" s="15" t="s" ph="1">
        <v>6960</v>
      </c>
      <c r="T1455" s="13" t="s" ph="1">
        <v>6950</v>
      </c>
      <c r="U1455" s="16" t="s" ph="1">
        <v>1217</v>
      </c>
      <c r="V1455" s="17" ph="1">
        <v>590</v>
      </c>
    </row>
    <row r="1456" spans="3:23" ht="22.5" customHeight="1" ph="1" x14ac:dyDescent="0.35">
      <c r="C1456" s="13" t="s" ph="1">
        <v>6331</v>
      </c>
      <c r="G1456" s="13" t="s" ph="1">
        <v>3793</v>
      </c>
      <c r="H1456" s="13" t="s" ph="1">
        <v>1219</v>
      </c>
      <c r="I1456" s="13" t="s" ph="1">
        <v>6961</v>
      </c>
      <c r="M1456" s="14" t="str" ph="1">
        <f>IFERROR(INDEX([1]!_born[生没年],
MATCH(I1456,[1]!_born[作],0)),"")</f>
        <v/>
      </c>
      <c r="N1456" s="14" t="str" ph="1">
        <f>IFERROR(INDEX([1]!_born[生没年],
MATCH(K1456,[1]!_born[作],0)),"")</f>
        <v/>
      </c>
      <c r="O1456" s="13" t="s" ph="1">
        <v>6962</v>
      </c>
      <c r="R1456" s="16" t="s" ph="1">
        <v>1345</v>
      </c>
      <c r="S1456" s="13" t="s" ph="1">
        <v>192</v>
      </c>
      <c r="T1456" s="13" t="s" ph="1">
        <v>6963</v>
      </c>
      <c r="U1456" s="16" t="s" ph="1">
        <v>1217</v>
      </c>
      <c r="V1456" s="17" ph="1">
        <v>400</v>
      </c>
    </row>
    <row r="1457" spans="1:25" ht="22.5" customHeight="1" ph="1" x14ac:dyDescent="0.35">
      <c r="C1457" s="13" t="s" ph="1">
        <v>6331</v>
      </c>
      <c r="G1457" s="13" t="s" ph="1">
        <v>3803</v>
      </c>
      <c r="M1457" s="14" t="str" ph="1">
        <f>IFERROR(INDEX([1]!_born[生没年],
MATCH(I1457,[1]!_born[作],0)),"")</f>
        <v/>
      </c>
      <c r="N1457" s="14" t="str" ph="1">
        <f>IFERROR(INDEX([1]!_born[生没年],
MATCH(K1457,[1]!_born[作],0)),"")</f>
        <v/>
      </c>
      <c r="O1457" s="13" t="s" ph="1">
        <v>6964</v>
      </c>
      <c r="U1457" s="16" t="s" ph="1">
        <v>1217</v>
      </c>
    </row>
    <row r="1458" spans="1:25" ht="22.5" customHeight="1" ph="1" x14ac:dyDescent="0.35">
      <c r="C1458" s="13" t="s" ph="1">
        <v>3970</v>
      </c>
      <c r="G1458" s="13" t="s" ph="1">
        <v>3803</v>
      </c>
      <c r="H1458" s="13" t="s" ph="1">
        <v>1219</v>
      </c>
      <c r="I1458" s="13" t="s" ph="1">
        <v>6965</v>
      </c>
      <c r="J1458" s="13" t="s" ph="1">
        <v>3671</v>
      </c>
      <c r="K1458" s="13" t="s" ph="1">
        <v>6966</v>
      </c>
      <c r="L1458" s="13" t="s" ph="1">
        <v>6967</v>
      </c>
      <c r="M1458" s="14" t="str" ph="1">
        <f>IFERROR(INDEX([1]!_born[生没年],
MATCH(I1458,[1]!_born[作],0)),"")</f>
        <v/>
      </c>
      <c r="N1458" s="14" t="str" ph="1">
        <f>IFERROR(INDEX([1]!_born[生没年],
MATCH(K1458,[1]!_born[作],0)),"")</f>
        <v/>
      </c>
      <c r="O1458" s="25" t="s" ph="1">
        <v>6968</v>
      </c>
      <c r="R1458" s="16" t="s" ph="1">
        <v>2380</v>
      </c>
      <c r="T1458" s="13" t="s" ph="1">
        <v>6969</v>
      </c>
      <c r="V1458" s="17" ph="1">
        <v>6930</v>
      </c>
      <c r="W1458" s="17" ph="1">
        <v>50</v>
      </c>
      <c r="X1458" s="13" t="s" ph="1">
        <v>5289</v>
      </c>
    </row>
    <row r="1459" spans="1:25" ht="22.5" customHeight="1" ph="1" x14ac:dyDescent="0.35">
      <c r="C1459" s="13" t="s" ph="1">
        <v>6282</v>
      </c>
      <c r="G1459" s="13" t="s" ph="1">
        <v>3803</v>
      </c>
      <c r="H1459" s="13" t="s" ph="1">
        <v>1219</v>
      </c>
      <c r="I1459" s="13" t="s" ph="1">
        <v>6368</v>
      </c>
      <c r="J1459" s="13" t="s" ph="1">
        <v>3671</v>
      </c>
      <c r="K1459" s="13" t="s" ph="1">
        <v>6970</v>
      </c>
      <c r="L1459" s="13" t="s" ph="1">
        <v>3616</v>
      </c>
      <c r="M1459" s="14" t="str" ph="1">
        <f>IFERROR(INDEX([1]!_born[生没年],
MATCH(I1459,[1]!_born[作],0)),"")</f>
        <v/>
      </c>
      <c r="N1459" s="14" t="str" ph="1">
        <f>IFERROR(INDEX([1]!_born[生没年],
MATCH(K1459,[1]!_born[作],0)),"")</f>
        <v/>
      </c>
      <c r="O1459" s="13" t="s" ph="1">
        <v>6971</v>
      </c>
      <c r="R1459" s="16" t="s" ph="1">
        <v>1320</v>
      </c>
      <c r="T1459" s="13" t="s" ph="1">
        <v>3962</v>
      </c>
      <c r="V1459" s="17" ph="1">
        <v>1500</v>
      </c>
      <c r="W1459" s="17"/>
      <c r="X1459" s="5" t="s" ph="1">
        <v>3635</v>
      </c>
      <c r="Y1459" s="5" ph="1"/>
    </row>
    <row r="1460" spans="1:25" ht="22.5" customHeight="1" ph="1" x14ac:dyDescent="0.35">
      <c r="C1460" s="13" t="s" ph="1">
        <v>6331</v>
      </c>
      <c r="G1460" s="13" t="s" ph="1">
        <v>3803</v>
      </c>
      <c r="H1460" s="13" t="s" ph="1">
        <v>1219</v>
      </c>
      <c r="I1460" s="13" t="s" ph="1">
        <v>6972</v>
      </c>
      <c r="J1460" s="13" t="s" ph="1">
        <v>3671</v>
      </c>
      <c r="K1460" s="13" t="s" ph="1">
        <v>6973</v>
      </c>
      <c r="L1460" s="13" t="s" ph="1">
        <v>3616</v>
      </c>
      <c r="M1460" s="14" t="str" ph="1">
        <f>IFERROR(INDEX([1]!_born[生没年],
MATCH(I1460,[1]!_born[作],0)),"")</f>
        <v/>
      </c>
      <c r="N1460" s="14" t="str" ph="1">
        <f>IFERROR(INDEX([1]!_born[生没年],
MATCH(K1460,[1]!_born[作],0)),"")</f>
        <v/>
      </c>
      <c r="O1460" s="13" t="s" ph="1">
        <v>6974</v>
      </c>
      <c r="R1460" s="16" t="s" ph="1">
        <v>1261</v>
      </c>
      <c r="T1460" s="13" t="s" ph="1">
        <v>4110</v>
      </c>
      <c r="U1460" s="16" t="s" ph="1">
        <v>1217</v>
      </c>
      <c r="V1460" s="17" ph="1">
        <v>1100</v>
      </c>
    </row>
    <row r="1461" spans="1:25" ht="22.5" customHeight="1" ph="1" x14ac:dyDescent="0.35">
      <c r="C1461" s="13" t="s" ph="1">
        <v>6331</v>
      </c>
      <c r="G1461" s="13" t="s" ph="1">
        <v>3803</v>
      </c>
      <c r="H1461" s="13" t="s" ph="1">
        <v>1269</v>
      </c>
      <c r="M1461" s="14" t="str" ph="1">
        <f>IFERROR(INDEX([1]!_born[生没年],
MATCH(I1461,[1]!_born[作],0)),"")</f>
        <v/>
      </c>
      <c r="N1461" s="14" t="str" ph="1">
        <f>IFERROR(INDEX([1]!_born[生没年],
MATCH(K1461,[1]!_born[作],0)),"")</f>
        <v/>
      </c>
      <c r="O1461" s="13" t="s" ph="1">
        <v>6975</v>
      </c>
      <c r="S1461" s="13" t="s" ph="1">
        <v>6976</v>
      </c>
      <c r="T1461" s="13" t="s" ph="1">
        <v>6977</v>
      </c>
      <c r="V1461" s="17" ph="1">
        <v>1180</v>
      </c>
    </row>
    <row r="1462" spans="1:25" ht="22.5" customHeight="1" ph="1" x14ac:dyDescent="0.35">
      <c r="C1462" s="13" t="s" ph="1">
        <v>6331</v>
      </c>
      <c r="G1462" s="13" t="s" ph="1">
        <v>3803</v>
      </c>
      <c r="H1462" s="13" t="s" ph="1">
        <v>1269</v>
      </c>
      <c r="M1462" s="14" t="str" ph="1">
        <f>IFERROR(INDEX([1]!_born[生没年],
MATCH(I1462,[1]!_born[作],0)),"")</f>
        <v/>
      </c>
      <c r="N1462" s="14" t="str" ph="1">
        <f>IFERROR(INDEX([1]!_born[生没年],
MATCH(K1462,[1]!_born[作],0)),"")</f>
        <v/>
      </c>
      <c r="O1462" s="25" t="s" ph="1">
        <v>6978</v>
      </c>
      <c r="S1462" s="13" t="s" ph="1">
        <v>6979</v>
      </c>
      <c r="T1462" s="13" t="s" ph="1">
        <v>2381</v>
      </c>
      <c r="V1462" s="17" ph="1">
        <v>920</v>
      </c>
    </row>
    <row r="1463" spans="1:25" ht="22.5" customHeight="1" ph="1" x14ac:dyDescent="0.35">
      <c r="A1463" s="106" t="s" ph="1">
        <v>2382</v>
      </c>
      <c r="B1463" s="5" t="s" ph="1">
        <v>2383</v>
      </c>
      <c r="C1463" s="13" t="s" ph="1">
        <v>6331</v>
      </c>
      <c r="G1463" s="13" t="s" ph="1">
        <v>3803</v>
      </c>
      <c r="H1463" s="13" t="s" ph="1">
        <v>1269</v>
      </c>
      <c r="M1463" s="14" t="str" ph="1">
        <f>IFERROR(INDEX([1]!_born[生没年],
MATCH(I1463,[1]!_born[作],0)),"")</f>
        <v/>
      </c>
      <c r="N1463" s="14" t="str" ph="1">
        <f>IFERROR(INDEX([1]!_born[生没年],
MATCH(K1463,[1]!_born[作],0)),"")</f>
        <v/>
      </c>
      <c r="O1463" s="25" t="s" ph="1">
        <v>6980</v>
      </c>
      <c r="S1463" s="13" t="s" ph="1">
        <v>6981</v>
      </c>
      <c r="T1463" s="13" t="s" ph="1">
        <v>2381</v>
      </c>
      <c r="U1463" s="16" t="s" ph="1">
        <v>1460</v>
      </c>
      <c r="V1463" s="17" ph="1">
        <f>1150*1.05</f>
        <v>1207.5</v>
      </c>
    </row>
    <row r="1464" spans="1:25" ht="22.5" customHeight="1" ph="1" x14ac:dyDescent="0.35">
      <c r="C1464" s="13" t="s" ph="1">
        <v>6331</v>
      </c>
      <c r="G1464" s="13" t="s" ph="1">
        <v>3803</v>
      </c>
      <c r="H1464" s="13" t="s" ph="1">
        <v>43</v>
      </c>
      <c r="M1464" s="14" t="str" ph="1">
        <f>IFERROR(INDEX([1]!_born[生没年],
MATCH(I1464,[1]!_born[作],0)),"")</f>
        <v/>
      </c>
      <c r="N1464" s="14" t="str" ph="1">
        <f>IFERROR(INDEX([1]!_born[生没年],
MATCH(K1464,[1]!_born[作],0)),"")</f>
        <v/>
      </c>
      <c r="O1464" s="25" t="s" ph="1">
        <v>6982</v>
      </c>
      <c r="S1464" s="13" t="s" ph="1">
        <v>6983</v>
      </c>
      <c r="T1464" s="13" t="s" ph="1">
        <v>1901</v>
      </c>
      <c r="V1464" s="17" ph="1">
        <v>1170</v>
      </c>
    </row>
    <row r="1465" spans="1:25" ht="22.5" customHeight="1" ph="1" x14ac:dyDescent="0.35">
      <c r="A1465" s="106" t="s" ph="1">
        <v>10093</v>
      </c>
      <c r="B1465" s="5" t="s" ph="1">
        <v>2353</v>
      </c>
      <c r="C1465" s="13" t="s" ph="1">
        <v>7042</v>
      </c>
      <c r="G1465" s="13" t="s" ph="1">
        <v>3803</v>
      </c>
      <c r="H1465" s="13" t="s" ph="1">
        <v>43</v>
      </c>
      <c r="I1465" s="13" t="s" ph="1">
        <v>10204</v>
      </c>
      <c r="J1465" s="13" t="s" ph="1">
        <v>3664</v>
      </c>
      <c r="M1465" s="14" t="str" ph="1">
        <f>IFERROR(INDEX([1]!_born[生没年],
MATCH(I1465,[1]!_born[作],0)),"")</f>
        <v/>
      </c>
      <c r="N1465" s="14" t="str" ph="1">
        <f>IFERROR(INDEX([1]!_born[生没年],
MATCH(K1465,[1]!_born[作],0)),"")</f>
        <v/>
      </c>
      <c r="O1465" s="25" t="s" ph="1">
        <v>10094</v>
      </c>
      <c r="R1465" s="16" ph="1">
        <v>45016</v>
      </c>
      <c r="T1465" s="13" t="s" ph="1">
        <v>7168</v>
      </c>
      <c r="U1465" s="16" t="s" ph="1">
        <v>10096</v>
      </c>
      <c r="V1465" s="17" ph="1">
        <f>2800*1.1</f>
        <v>3080.0000000000005</v>
      </c>
      <c r="W1465" s="17">
        <v>0</v>
      </c>
      <c r="X1465" s="5" t="s" ph="1">
        <v>10205</v>
      </c>
      <c r="Y1465" s="5" t="s" ph="1">
        <v>10095</v>
      </c>
    </row>
    <row r="1466" spans="1:25" ht="22.5" customHeight="1" ph="1" x14ac:dyDescent="0.35">
      <c r="C1466" s="13" t="s" ph="1">
        <v>6984</v>
      </c>
      <c r="G1466" s="13" t="s" ph="1">
        <v>6985</v>
      </c>
      <c r="H1466" s="13" t="s" ph="1">
        <v>1219</v>
      </c>
      <c r="I1466" s="13" t="s" ph="1">
        <v>6986</v>
      </c>
      <c r="M1466" s="14" t="str" ph="1">
        <f>IFERROR(INDEX([1]!_born[生没年],
MATCH(I1466,[1]!_born[作],0)),"")</f>
        <v/>
      </c>
      <c r="N1466" s="14" t="str" ph="1">
        <f>IFERROR(INDEX([1]!_born[生没年],
MATCH(K1466,[1]!_born[作],0)),"")</f>
        <v/>
      </c>
      <c r="O1466" s="13" t="s" ph="1">
        <v>6987</v>
      </c>
      <c r="R1466" s="16" t="s" ph="1">
        <v>1307</v>
      </c>
      <c r="T1466" s="13" t="s" ph="1">
        <v>6988</v>
      </c>
      <c r="U1466" s="16" t="s" ph="1">
        <v>1217</v>
      </c>
      <c r="V1466" s="17" ph="1">
        <v>400</v>
      </c>
    </row>
    <row r="1467" spans="1:25" ht="22.5" customHeight="1" ph="1" x14ac:dyDescent="0.35">
      <c r="C1467" s="13" t="s" ph="1">
        <v>3970</v>
      </c>
      <c r="G1467" s="13" t="s" ph="1">
        <v>1260</v>
      </c>
      <c r="I1467" s="13" t="s" ph="1">
        <v>6989</v>
      </c>
      <c r="J1467" s="13" t="s" ph="1">
        <v>3616</v>
      </c>
      <c r="M1467" s="14" t="str" ph="1">
        <f>IFERROR(INDEX([1]!_born[生没年],
MATCH(I1467,[1]!_born[作],0)),"")</f>
        <v/>
      </c>
      <c r="N1467" s="14" t="str" ph="1">
        <f>IFERROR(INDEX([1]!_born[生没年],
MATCH(K1467,[1]!_born[作],0)),"")</f>
        <v/>
      </c>
      <c r="O1467" s="13" t="s" ph="1">
        <v>6990</v>
      </c>
      <c r="R1467" s="16" t="s" ph="1">
        <v>1320</v>
      </c>
      <c r="T1467" s="13" t="s" ph="1">
        <v>163</v>
      </c>
      <c r="V1467" s="17" ph="1">
        <v>2400</v>
      </c>
    </row>
    <row r="1468" spans="1:25" ht="22.5" customHeight="1" ph="1" x14ac:dyDescent="0.35">
      <c r="C1468" s="13" t="s" ph="1">
        <v>6282</v>
      </c>
      <c r="G1468" s="13" t="s" ph="1">
        <v>3803</v>
      </c>
      <c r="H1468" s="13" t="s" ph="1">
        <v>1219</v>
      </c>
      <c r="I1468" s="13" t="s" ph="1">
        <v>6991</v>
      </c>
      <c r="J1468" s="13" t="s" ph="1">
        <v>6992</v>
      </c>
      <c r="M1468" s="14" t="str" ph="1">
        <f>IFERROR(INDEX([1]!_born[生没年],
MATCH(I1468,[1]!_born[作],0)),"")</f>
        <v/>
      </c>
      <c r="N1468" s="14" t="str" ph="1">
        <f>IFERROR(INDEX([1]!_born[生没年],
MATCH(K1468,[1]!_born[作],0)),"")</f>
        <v/>
      </c>
      <c r="O1468" s="25" t="s" ph="1">
        <v>6993</v>
      </c>
      <c r="R1468" s="16" t="s" ph="1">
        <v>1239</v>
      </c>
      <c r="T1468" s="13" t="s" ph="1">
        <v>6535</v>
      </c>
      <c r="V1468" s="17" ph="1">
        <v>1200</v>
      </c>
      <c r="W1468" s="17"/>
      <c r="X1468" s="5" t="s" ph="1">
        <v>3802</v>
      </c>
      <c r="Y1468" s="5" t="s" ph="1">
        <v>6528</v>
      </c>
    </row>
    <row r="1469" spans="1:25" ht="22.5" customHeight="1" ph="1" x14ac:dyDescent="0.35">
      <c r="C1469" s="13" t="s" ph="1">
        <v>3970</v>
      </c>
      <c r="G1469" s="13" t="s" ph="1">
        <v>3803</v>
      </c>
      <c r="H1469" s="13" t="s" ph="1">
        <v>1219</v>
      </c>
      <c r="I1469" s="13" t="s" ph="1">
        <v>6994</v>
      </c>
      <c r="M1469" s="14" t="str" ph="1">
        <f>IFERROR(INDEX([1]!_born[生没年],
MATCH(I1469,[1]!_born[作],0)),"")</f>
        <v/>
      </c>
      <c r="N1469" s="14" t="str" ph="1">
        <f>IFERROR(INDEX([1]!_born[生没年],
MATCH(K1469,[1]!_born[作],0)),"")</f>
        <v/>
      </c>
      <c r="O1469" s="25" t="s" ph="1">
        <v>6995</v>
      </c>
      <c r="R1469" s="16" t="s" ph="1">
        <v>1381</v>
      </c>
      <c r="T1469" s="13" t="s" ph="1">
        <v>6996</v>
      </c>
      <c r="U1469" s="16" t="s" ph="1">
        <v>1217</v>
      </c>
      <c r="V1469" s="17" ph="1">
        <v>450</v>
      </c>
    </row>
    <row r="1470" spans="1:25" ht="22.5" customHeight="1" ph="1" x14ac:dyDescent="0.35">
      <c r="C1470" s="13" t="s" ph="1">
        <v>3970</v>
      </c>
      <c r="G1470" s="13" t="s" ph="1">
        <v>3803</v>
      </c>
      <c r="H1470" s="13" t="s" ph="1">
        <v>1219</v>
      </c>
      <c r="I1470" s="13" t="s" ph="1">
        <v>6997</v>
      </c>
      <c r="M1470" s="14" t="str" ph="1">
        <f>IFERROR(INDEX([1]!_born[生没年],
MATCH(I1470,[1]!_born[作],0)),"")</f>
        <v/>
      </c>
      <c r="N1470" s="14" t="str" ph="1">
        <f>IFERROR(INDEX([1]!_born[生没年],
MATCH(K1470,[1]!_born[作],0)),"")</f>
        <v/>
      </c>
      <c r="O1470" s="25" t="s" ph="1">
        <v>6998</v>
      </c>
      <c r="R1470" s="16" t="s" ph="1">
        <v>1301</v>
      </c>
      <c r="U1470" s="16" t="s" ph="1">
        <v>1217</v>
      </c>
      <c r="V1470" s="17" ph="1">
        <v>1300</v>
      </c>
    </row>
    <row r="1471" spans="1:25" ht="22.5" customHeight="1" ph="1" x14ac:dyDescent="0.35">
      <c r="C1471" s="13" t="s" ph="1">
        <v>6984</v>
      </c>
      <c r="G1471" s="13" t="s" ph="1">
        <v>3803</v>
      </c>
      <c r="H1471" s="13" t="s" ph="1">
        <v>1219</v>
      </c>
      <c r="M1471" s="14" t="str" ph="1">
        <f>IFERROR(INDEX([1]!_born[生没年],
MATCH(I1471,[1]!_born[作],0)),"")</f>
        <v/>
      </c>
      <c r="N1471" s="14" t="str" ph="1">
        <f>IFERROR(INDEX([1]!_born[生没年],
MATCH(K1471,[1]!_born[作],0)),"")</f>
        <v/>
      </c>
      <c r="O1471" s="13" t="s" ph="1">
        <v>6999</v>
      </c>
      <c r="T1471" s="13" t="s" ph="1">
        <v>6712</v>
      </c>
      <c r="U1471" s="16" t="s" ph="1">
        <v>1217</v>
      </c>
    </row>
    <row r="1472" spans="1:25" ht="22.5" customHeight="1" ph="1" x14ac:dyDescent="0.35">
      <c r="C1472" s="13" t="s" ph="1">
        <v>3970</v>
      </c>
      <c r="G1472" s="13" t="s" ph="1">
        <v>3803</v>
      </c>
      <c r="H1472" s="13" t="s" ph="1">
        <v>1219</v>
      </c>
      <c r="M1472" s="14" t="str" ph="1">
        <f>IFERROR(INDEX([1]!_born[生没年],
MATCH(I1472,[1]!_born[作],0)),"")</f>
        <v/>
      </c>
      <c r="N1472" s="14" t="str" ph="1">
        <f>IFERROR(INDEX([1]!_born[生没年],
MATCH(K1472,[1]!_born[作],0)),"")</f>
        <v/>
      </c>
      <c r="O1472" s="13" t="s" ph="1">
        <v>7000</v>
      </c>
      <c r="S1472" s="13" t="s" ph="1">
        <v>6711</v>
      </c>
      <c r="T1472" s="13" t="s" ph="1">
        <v>6712</v>
      </c>
    </row>
    <row r="1473" spans="1:25" ht="22.5" customHeight="1" ph="1" x14ac:dyDescent="0.35">
      <c r="C1473" s="13" t="s" ph="1">
        <v>6984</v>
      </c>
      <c r="G1473" s="13" t="s" ph="1">
        <v>3803</v>
      </c>
      <c r="H1473" s="13" t="s" ph="1">
        <v>1219</v>
      </c>
      <c r="M1473" s="14" t="str" ph="1">
        <f>IFERROR(INDEX([1]!_born[生没年],
MATCH(I1473,[1]!_born[作],0)),"")</f>
        <v/>
      </c>
      <c r="N1473" s="14" t="str" ph="1">
        <f>IFERROR(INDEX([1]!_born[生没年],
MATCH(K1473,[1]!_born[作],0)),"")</f>
        <v/>
      </c>
      <c r="O1473" s="13" t="s" ph="1">
        <v>7001</v>
      </c>
      <c r="S1473" s="13" t="s" ph="1">
        <v>6711</v>
      </c>
      <c r="T1473" s="13" t="s" ph="1">
        <v>6712</v>
      </c>
    </row>
    <row r="1474" spans="1:25" ht="22.5" customHeight="1" ph="1" x14ac:dyDescent="0.35">
      <c r="C1474" s="13" t="s" ph="1">
        <v>6331</v>
      </c>
      <c r="G1474" s="13" t="s" ph="1">
        <v>3803</v>
      </c>
      <c r="H1474" s="13" t="s" ph="1">
        <v>1219</v>
      </c>
      <c r="M1474" s="14" t="str" ph="1">
        <f>IFERROR(INDEX([1]!_born[生没年],
MATCH(I1474,[1]!_born[作],0)),"")</f>
        <v/>
      </c>
      <c r="N1474" s="14" t="str" ph="1">
        <f>IFERROR(INDEX([1]!_born[生没年],
MATCH(K1474,[1]!_born[作],0)),"")</f>
        <v/>
      </c>
      <c r="O1474" s="13" t="s" ph="1">
        <v>7002</v>
      </c>
      <c r="V1474" s="17" ph="1">
        <v>190</v>
      </c>
    </row>
    <row r="1475" spans="1:25" ht="22.5" customHeight="1" ph="1" x14ac:dyDescent="0.35">
      <c r="C1475" s="13" t="s" ph="1">
        <v>6331</v>
      </c>
      <c r="G1475" s="13" t="s" ph="1">
        <v>3803</v>
      </c>
      <c r="H1475" s="13" t="s" ph="1">
        <v>1219</v>
      </c>
      <c r="M1475" s="14" t="str" ph="1">
        <f>IFERROR(INDEX([1]!_born[生没年],
MATCH(I1475,[1]!_born[作],0)),"")</f>
        <v/>
      </c>
      <c r="N1475" s="14" t="str" ph="1">
        <f>IFERROR(INDEX([1]!_born[生没年],
MATCH(K1475,[1]!_born[作],0)),"")</f>
        <v/>
      </c>
      <c r="O1475" s="13" t="s" ph="1">
        <v>7003</v>
      </c>
      <c r="R1475" s="16" t="s" ph="1">
        <v>2459</v>
      </c>
      <c r="V1475" s="17" ph="1">
        <v>400</v>
      </c>
    </row>
    <row r="1476" spans="1:25" ht="22.5" customHeight="1" ph="1" x14ac:dyDescent="0.35">
      <c r="C1476" s="13" t="s" ph="1">
        <v>6331</v>
      </c>
      <c r="G1476" s="13" t="s" ph="1">
        <v>3803</v>
      </c>
      <c r="H1476" s="13" t="s" ph="1">
        <v>1219</v>
      </c>
      <c r="M1476" s="14" t="str" ph="1">
        <f>IFERROR(INDEX([1]!_born[生没年],
MATCH(I1476,[1]!_born[作],0)),"")</f>
        <v/>
      </c>
      <c r="N1476" s="14" t="str" ph="1">
        <f>IFERROR(INDEX([1]!_born[生没年],
MATCH(K1476,[1]!_born[作],0)),"")</f>
        <v/>
      </c>
      <c r="O1476" s="13" t="s" ph="1">
        <v>7003</v>
      </c>
      <c r="R1476" s="16" t="s" ph="1">
        <v>2460</v>
      </c>
      <c r="V1476" s="17" ph="1">
        <v>286</v>
      </c>
    </row>
    <row r="1477" spans="1:25" ht="22.5" customHeight="1" ph="1" x14ac:dyDescent="0.35">
      <c r="C1477" s="13" t="s" ph="1">
        <v>3970</v>
      </c>
      <c r="G1477" s="13" t="s" ph="1">
        <v>3803</v>
      </c>
      <c r="H1477" s="13" t="s" ph="1">
        <v>1219</v>
      </c>
      <c r="M1477" s="14" t="str" ph="1">
        <f>IFERROR(INDEX([1]!_born[生没年],
MATCH(I1477,[1]!_born[作],0)),"")</f>
        <v/>
      </c>
      <c r="N1477" s="14" t="str" ph="1">
        <f>IFERROR(INDEX([1]!_born[生没年],
MATCH(K1477,[1]!_born[作],0)),"")</f>
        <v/>
      </c>
      <c r="O1477" s="24" t="s" ph="1">
        <v>7004</v>
      </c>
      <c r="T1477" s="13" t="s" ph="1">
        <v>6712</v>
      </c>
      <c r="U1477" s="16" t="s" ph="1">
        <v>1217</v>
      </c>
      <c r="V1477" s="17" ph="1">
        <v>670</v>
      </c>
    </row>
    <row r="1478" spans="1:25" ht="22.5" customHeight="1" ph="1" x14ac:dyDescent="0.35">
      <c r="C1478" s="13" t="s" ph="1">
        <v>3970</v>
      </c>
      <c r="G1478" s="13" t="s" ph="1">
        <v>3803</v>
      </c>
      <c r="H1478" s="13" t="s" ph="1">
        <v>1219</v>
      </c>
      <c r="I1478" s="13" t="s" ph="1">
        <v>7005</v>
      </c>
      <c r="J1478" s="13" t="s" ph="1">
        <v>5754</v>
      </c>
      <c r="M1478" s="14" t="str" ph="1">
        <f>IFERROR(INDEX([1]!_born[生没年],
MATCH(I1478,[1]!_born[作],0)),"")</f>
        <v/>
      </c>
      <c r="N1478" s="14" t="str" ph="1">
        <f>IFERROR(INDEX([1]!_born[生没年],
MATCH(K1478,[1]!_born[作],0)),"")</f>
        <v/>
      </c>
      <c r="O1478" s="13" t="s" ph="1">
        <v>7006</v>
      </c>
      <c r="T1478" s="13" t="s" ph="1">
        <v>7007</v>
      </c>
      <c r="U1478" s="16" t="s" ph="1">
        <v>1217</v>
      </c>
      <c r="V1478" s="17" ph="1">
        <v>980</v>
      </c>
    </row>
    <row r="1479" spans="1:25" ht="22.5" customHeight="1" ph="1" x14ac:dyDescent="0.35">
      <c r="C1479" s="13" t="s" ph="1">
        <v>3970</v>
      </c>
      <c r="G1479" s="13" t="s" ph="1">
        <v>3803</v>
      </c>
      <c r="H1479" s="13" t="s" ph="1">
        <v>31</v>
      </c>
      <c r="I1479" s="13" t="s" ph="1">
        <v>117</v>
      </c>
      <c r="M1479" s="14" t="str" ph="1">
        <f>IFERROR(INDEX([1]!_born[生没年],
MATCH(I1479,[1]!_born[作],0)),"")</f>
        <v/>
      </c>
      <c r="N1479" s="14" t="str" ph="1">
        <f>IFERROR(INDEX([1]!_born[生没年],
MATCH(K1479,[1]!_born[作],0)),"")</f>
        <v/>
      </c>
      <c r="O1479" s="13" t="s" ph="1">
        <v>2384</v>
      </c>
      <c r="U1479" s="16" ph="1">
        <v>37435</v>
      </c>
      <c r="V1479" s="17" ph="1">
        <v>0</v>
      </c>
      <c r="W1479" s="17" ph="1">
        <v>0</v>
      </c>
      <c r="X1479" s="13" t="s" ph="1">
        <v>7008</v>
      </c>
    </row>
    <row r="1480" spans="1:25" ht="22.5" customHeight="1" ph="1" x14ac:dyDescent="0.35">
      <c r="C1480" s="13" t="s" ph="1">
        <v>3970</v>
      </c>
      <c r="G1480" s="13" t="s" ph="1">
        <v>3803</v>
      </c>
      <c r="H1480" s="13" t="s" ph="1">
        <v>31</v>
      </c>
      <c r="I1480" s="13" t="s" ph="1">
        <v>117</v>
      </c>
      <c r="M1480" s="14" t="str" ph="1">
        <f>IFERROR(INDEX([1]!_born[生没年],
MATCH(I1480,[1]!_born[作],0)),"")</f>
        <v/>
      </c>
      <c r="N1480" s="14" t="str" ph="1">
        <f>IFERROR(INDEX([1]!_born[生没年],
MATCH(K1480,[1]!_born[作],0)),"")</f>
        <v/>
      </c>
      <c r="O1480" s="13" t="s" ph="1">
        <v>2385</v>
      </c>
      <c r="U1480" s="16" ph="1">
        <v>37435</v>
      </c>
      <c r="V1480" s="17" ph="1">
        <v>0</v>
      </c>
      <c r="W1480" s="17" ph="1">
        <v>0</v>
      </c>
      <c r="X1480" s="13" t="s" ph="1">
        <v>7008</v>
      </c>
      <c r="Y1480" s="13" t="s" ph="1">
        <v>7009</v>
      </c>
    </row>
    <row r="1481" spans="1:25" ht="22.5" customHeight="1" ph="1" x14ac:dyDescent="0.35">
      <c r="C1481" s="13" t="s" ph="1">
        <v>3970</v>
      </c>
      <c r="G1481" s="13" t="s" ph="1">
        <v>3803</v>
      </c>
      <c r="H1481" s="13" t="s" ph="1">
        <v>31</v>
      </c>
      <c r="I1481" s="13" t="s" ph="1">
        <v>7008</v>
      </c>
      <c r="M1481" s="14" t="str" ph="1">
        <f>IFERROR(INDEX([1]!_born[生没年],
MATCH(I1481,[1]!_born[作],0)),"")</f>
        <v/>
      </c>
      <c r="N1481" s="14" t="str" ph="1">
        <f>IFERROR(INDEX([1]!_born[生没年],
MATCH(K1481,[1]!_born[作],0)),"")</f>
        <v/>
      </c>
      <c r="O1481" s="13" t="s" ph="1">
        <v>2386</v>
      </c>
      <c r="S1481" s="13" t="s" ph="1">
        <v>2387</v>
      </c>
      <c r="T1481" s="13" t="s" ph="1">
        <v>2388</v>
      </c>
      <c r="U1481" s="16" ph="1">
        <v>37435</v>
      </c>
      <c r="V1481" s="17" ph="1">
        <v>0</v>
      </c>
      <c r="W1481" s="17" ph="1">
        <v>0</v>
      </c>
      <c r="X1481" s="13" t="s" ph="1">
        <v>7008</v>
      </c>
      <c r="Y1481" s="13" t="s" ph="1">
        <v>7009</v>
      </c>
    </row>
    <row r="1482" spans="1:25" ht="22.5" customHeight="1" ph="1" x14ac:dyDescent="0.35">
      <c r="C1482" s="13" t="s" ph="1">
        <v>3970</v>
      </c>
      <c r="G1482" s="13" t="s" ph="1">
        <v>2456</v>
      </c>
      <c r="H1482" s="13" t="s" ph="1">
        <v>2457</v>
      </c>
      <c r="I1482" s="13" t="s" ph="1">
        <v>7010</v>
      </c>
      <c r="M1482" s="14" t="str" ph="1">
        <f>IFERROR(INDEX([1]!_born[生没年],
MATCH(I1482,[1]!_born[作],0)),"")</f>
        <v/>
      </c>
      <c r="N1482" s="14" t="str" ph="1">
        <f>IFERROR(INDEX([1]!_born[生没年],
MATCH(K1482,[1]!_born[作],0)),"")</f>
        <v/>
      </c>
      <c r="O1482" s="13" t="s" ph="1">
        <v>7011</v>
      </c>
      <c r="R1482" s="16" t="s" ph="1">
        <v>831</v>
      </c>
      <c r="S1482" s="16" t="s" ph="1">
        <v>2458</v>
      </c>
      <c r="T1482" s="13" t="s" ph="1">
        <v>2461</v>
      </c>
      <c r="U1482" s="16" t="s" ph="1">
        <v>2439</v>
      </c>
      <c r="V1482" s="17" ph="1">
        <v>0</v>
      </c>
      <c r="W1482" s="17" ph="1">
        <v>0</v>
      </c>
    </row>
    <row r="1483" spans="1:25" ht="22.5" customHeight="1" ph="1" x14ac:dyDescent="0.35">
      <c r="C1483" s="13" t="s" ph="1">
        <v>3970</v>
      </c>
      <c r="G1483" s="13" t="s" ph="1">
        <v>3803</v>
      </c>
      <c r="H1483" s="13" t="s" ph="1">
        <v>1269</v>
      </c>
      <c r="I1483" s="13" t="s" ph="1">
        <v>7012</v>
      </c>
      <c r="M1483" s="14" t="str" ph="1">
        <f>IFERROR(INDEX([1]!_born[生没年],
MATCH(I1483,[1]!_born[作],0)),"")</f>
        <v/>
      </c>
      <c r="N1483" s="14" t="str" ph="1">
        <f>IFERROR(INDEX([1]!_born[生没年],
MATCH(K1483,[1]!_born[作],0)),"")</f>
        <v/>
      </c>
      <c r="O1483" s="13" t="s" ph="1">
        <v>7013</v>
      </c>
    </row>
    <row r="1484" spans="1:25" ht="22.5" customHeight="1" ph="1" x14ac:dyDescent="0.35">
      <c r="C1484" s="13" t="s" ph="1">
        <v>3970</v>
      </c>
      <c r="G1484" s="13" t="s" ph="1">
        <v>3803</v>
      </c>
      <c r="H1484" s="13" t="s" ph="1">
        <v>1269</v>
      </c>
      <c r="I1484" s="13" t="s" ph="1">
        <v>7012</v>
      </c>
      <c r="M1484" s="14" t="str" ph="1">
        <f>IFERROR(INDEX([1]!_born[生没年],
MATCH(I1484,[1]!_born[作],0)),"")</f>
        <v/>
      </c>
      <c r="N1484" s="14" t="str" ph="1">
        <f>IFERROR(INDEX([1]!_born[生没年],
MATCH(K1484,[1]!_born[作],0)),"")</f>
        <v/>
      </c>
      <c r="O1484" s="13" t="s" ph="1">
        <v>7014</v>
      </c>
    </row>
    <row r="1485" spans="1:25" ht="22.5" customHeight="1" ph="1" x14ac:dyDescent="0.35">
      <c r="A1485" s="106" t="s" ph="1">
        <v>2389</v>
      </c>
      <c r="B1485" s="5" t="s" ph="1">
        <v>2390</v>
      </c>
      <c r="C1485" s="13" t="s" ph="1">
        <v>3970</v>
      </c>
      <c r="G1485" s="13" t="s" ph="1">
        <v>3803</v>
      </c>
      <c r="H1485" s="13" t="s" ph="1">
        <v>1269</v>
      </c>
      <c r="I1485" s="13" t="s" ph="1">
        <v>7015</v>
      </c>
      <c r="M1485" s="14" t="str" ph="1">
        <f>IFERROR(INDEX([1]!_born[生没年],
MATCH(I1485,[1]!_born[作],0)),"")</f>
        <v/>
      </c>
      <c r="N1485" s="14" t="str" ph="1">
        <f>IFERROR(INDEX([1]!_born[生没年],
MATCH(K1485,[1]!_born[作],0)),"")</f>
        <v/>
      </c>
      <c r="O1485" s="13" t="s" ph="1">
        <v>693</v>
      </c>
      <c r="T1485" s="13" t="s" ph="1">
        <v>6712</v>
      </c>
      <c r="U1485" s="16" ph="1">
        <v>37409</v>
      </c>
      <c r="V1485" s="17" ph="1">
        <f>1667*1.05</f>
        <v>1750.3500000000001</v>
      </c>
      <c r="W1485" s="17" ph="1">
        <v>500</v>
      </c>
      <c r="X1485" s="13" t="s" ph="1">
        <v>3718</v>
      </c>
    </row>
    <row r="1486" spans="1:25" ht="22.5" customHeight="1" ph="1" x14ac:dyDescent="0.35">
      <c r="C1486" s="13" t="s" ph="1">
        <v>3970</v>
      </c>
      <c r="G1486" s="13" t="s" ph="1">
        <v>3803</v>
      </c>
      <c r="H1486" s="13" t="s" ph="1">
        <v>1269</v>
      </c>
      <c r="I1486" s="13" t="s" ph="1">
        <v>7016</v>
      </c>
      <c r="M1486" s="14" t="str" ph="1">
        <f>IFERROR(INDEX([1]!_born[生没年],
MATCH(I1486,[1]!_born[作],0)),"")</f>
        <v/>
      </c>
      <c r="N1486" s="14" t="str" ph="1">
        <f>IFERROR(INDEX([1]!_born[生没年],
MATCH(K1486,[1]!_born[作],0)),"")</f>
        <v/>
      </c>
      <c r="O1486" s="13" t="s" ph="1">
        <v>371</v>
      </c>
      <c r="T1486" s="13" t="s" ph="1">
        <v>6712</v>
      </c>
      <c r="U1486" s="16" ph="1">
        <v>37408</v>
      </c>
      <c r="V1486" s="17" ph="1">
        <f>1524*1.05</f>
        <v>1600.2</v>
      </c>
      <c r="X1486" s="13" t="s" ph="1">
        <v>4001</v>
      </c>
    </row>
    <row r="1487" spans="1:25" ht="22.5" customHeight="1" ph="1" x14ac:dyDescent="0.35">
      <c r="C1487" s="13" t="s" ph="1">
        <v>3970</v>
      </c>
      <c r="G1487" s="13" t="s" ph="1">
        <v>3803</v>
      </c>
      <c r="H1487" s="13" t="s" ph="1">
        <v>1269</v>
      </c>
      <c r="M1487" s="14" t="str" ph="1">
        <f>IFERROR(INDEX([1]!_born[生没年],
MATCH(I1487,[1]!_born[作],0)),"")</f>
        <v/>
      </c>
      <c r="N1487" s="14" t="str" ph="1">
        <f>IFERROR(INDEX([1]!_born[生没年],
MATCH(K1487,[1]!_born[作],0)),"")</f>
        <v/>
      </c>
      <c r="O1487" s="13" t="s" ph="1">
        <v>31</v>
      </c>
      <c r="S1487" s="15" t="s" ph="1">
        <v>2391</v>
      </c>
      <c r="T1487" s="13" t="s" ph="1">
        <v>2392</v>
      </c>
      <c r="U1487" s="16" ph="1">
        <v>37410</v>
      </c>
      <c r="V1487" s="17" t="s" ph="1">
        <v>2393</v>
      </c>
      <c r="X1487" s="13" t="s" ph="1">
        <v>7017</v>
      </c>
      <c r="Y1487" s="13" t="s" ph="1">
        <v>7018</v>
      </c>
    </row>
    <row r="1488" spans="1:25" ht="22.5" customHeight="1" ph="1" x14ac:dyDescent="0.35">
      <c r="C1488" s="13" t="s" ph="1">
        <v>3970</v>
      </c>
      <c r="G1488" s="13" t="s" ph="1">
        <v>3803</v>
      </c>
      <c r="H1488" s="13" t="s" ph="1">
        <v>1269</v>
      </c>
      <c r="I1488" s="13" t="s" ph="1">
        <v>7019</v>
      </c>
      <c r="M1488" s="14" t="str" ph="1">
        <f>IFERROR(INDEX([1]!_born[生没年],
MATCH(I1488,[1]!_born[作],0)),"")</f>
        <v/>
      </c>
      <c r="N1488" s="14" t="str" ph="1">
        <f>IFERROR(INDEX([1]!_born[生没年],
MATCH(K1488,[1]!_born[作],0)),"")</f>
        <v/>
      </c>
      <c r="O1488" s="13" t="s" ph="1">
        <v>309</v>
      </c>
      <c r="R1488" s="16" t="s" ph="1">
        <v>2394</v>
      </c>
      <c r="S1488" s="13" t="s" ph="1">
        <v>7020</v>
      </c>
      <c r="T1488" s="13" t="s" ph="1">
        <v>2381</v>
      </c>
      <c r="U1488" s="16" ph="1">
        <v>37414</v>
      </c>
      <c r="V1488" s="17" ph="1">
        <f>1170*1.05</f>
        <v>1228.5</v>
      </c>
      <c r="X1488" s="13" t="s" ph="1">
        <v>3802</v>
      </c>
    </row>
    <row r="1489" spans="1:24" ht="22.5" customHeight="1" ph="1" x14ac:dyDescent="0.35">
      <c r="C1489" s="13" t="s" ph="1">
        <v>3970</v>
      </c>
      <c r="G1489" s="13" t="s" ph="1">
        <v>3803</v>
      </c>
      <c r="H1489" s="13" t="s" ph="1">
        <v>1269</v>
      </c>
      <c r="I1489" s="13" t="s" ph="1">
        <v>7021</v>
      </c>
      <c r="M1489" s="14" t="str" ph="1">
        <f>IFERROR(INDEX([1]!_born[生没年],
MATCH(I1489,[1]!_born[作],0)),"")</f>
        <v/>
      </c>
      <c r="N1489" s="14" t="str" ph="1">
        <f>IFERROR(INDEX([1]!_born[生没年],
MATCH(K1489,[1]!_born[作],0)),"")</f>
        <v/>
      </c>
      <c r="O1489" s="13" t="s" ph="1">
        <v>7022</v>
      </c>
      <c r="R1489" s="16" t="s" ph="1">
        <v>2395</v>
      </c>
      <c r="S1489" s="13" t="s" ph="1">
        <v>2396</v>
      </c>
      <c r="T1489" s="13" t="s" ph="1">
        <v>7023</v>
      </c>
      <c r="U1489" s="16" ph="1">
        <v>38077</v>
      </c>
      <c r="V1489" s="17" ph="1">
        <f>1800*1.05</f>
        <v>1890</v>
      </c>
      <c r="X1489" s="13" t="s" ph="1">
        <v>7024</v>
      </c>
    </row>
    <row r="1490" spans="1:24" ht="22.5" customHeight="1" ph="1" x14ac:dyDescent="0.35">
      <c r="C1490" s="13" t="s" ph="1">
        <v>3970</v>
      </c>
      <c r="G1490" s="13" t="s" ph="1">
        <v>3803</v>
      </c>
      <c r="H1490" s="13" t="s" ph="1">
        <v>1269</v>
      </c>
      <c r="I1490" s="13" t="s" ph="1">
        <v>7025</v>
      </c>
      <c r="M1490" s="14" t="str" ph="1">
        <f>IFERROR(INDEX([1]!_born[生没年],
MATCH(I1490,[1]!_born[作],0)),"")</f>
        <v/>
      </c>
      <c r="N1490" s="14" t="str" ph="1">
        <f>IFERROR(INDEX([1]!_born[生没年],
MATCH(K1490,[1]!_born[作],0)),"")</f>
        <v/>
      </c>
      <c r="O1490" s="13" t="s" ph="1">
        <v>7026</v>
      </c>
      <c r="R1490" s="16" t="s" ph="1">
        <v>2395</v>
      </c>
      <c r="S1490" s="13" t="s" ph="1">
        <v>2397</v>
      </c>
      <c r="T1490" s="13" t="s" ph="1">
        <v>7023</v>
      </c>
      <c r="U1490" s="16" ph="1">
        <v>38077</v>
      </c>
      <c r="V1490" s="17" ph="1">
        <f>1680*1.05</f>
        <v>1764</v>
      </c>
      <c r="X1490" s="13" t="s" ph="1">
        <v>7024</v>
      </c>
    </row>
    <row r="1491" spans="1:24" ht="22.5" customHeight="1" ph="1" x14ac:dyDescent="0.35">
      <c r="C1491" s="13" t="s" ph="1">
        <v>3970</v>
      </c>
      <c r="G1491" s="13" t="s" ph="1">
        <v>3803</v>
      </c>
      <c r="H1491" s="13" t="s" ph="1">
        <v>1269</v>
      </c>
      <c r="I1491" s="13" t="s" ph="1">
        <v>7025</v>
      </c>
      <c r="M1491" s="14" t="str" ph="1">
        <f>IFERROR(INDEX([1]!_born[生没年],
MATCH(I1491,[1]!_born[作],0)),"")</f>
        <v/>
      </c>
      <c r="N1491" s="14" t="str" ph="1">
        <f>IFERROR(INDEX([1]!_born[生没年],
MATCH(K1491,[1]!_born[作],0)),"")</f>
        <v/>
      </c>
      <c r="O1491" s="13" t="s" ph="1">
        <v>6710</v>
      </c>
      <c r="T1491" s="13" t="s" ph="1">
        <v>7023</v>
      </c>
    </row>
    <row r="1492" spans="1:24" ht="22.5" customHeight="1" ph="1" x14ac:dyDescent="0.35">
      <c r="C1492" s="13" t="s" ph="1">
        <v>3970</v>
      </c>
      <c r="G1492" s="13" t="s" ph="1">
        <v>3803</v>
      </c>
      <c r="H1492" s="13" t="s" ph="1">
        <v>1269</v>
      </c>
      <c r="M1492" s="14" t="str" ph="1">
        <f>IFERROR(INDEX([1]!_born[生没年],
MATCH(I1492,[1]!_born[作],0)),"")</f>
        <v/>
      </c>
      <c r="N1492" s="14" t="str" ph="1">
        <f>IFERROR(INDEX([1]!_born[生没年],
MATCH(K1492,[1]!_born[作],0)),"")</f>
        <v/>
      </c>
      <c r="O1492" s="13" t="s" ph="1">
        <v>7027</v>
      </c>
      <c r="U1492" s="16" t="s" ph="1">
        <v>1217</v>
      </c>
    </row>
    <row r="1493" spans="1:24" ht="22.5" customHeight="1" ph="1" x14ac:dyDescent="0.35">
      <c r="C1493" s="13" t="s" ph="1">
        <v>3970</v>
      </c>
      <c r="G1493" s="13" t="s" ph="1">
        <v>3803</v>
      </c>
      <c r="H1493" s="13" t="s" ph="1">
        <v>1269</v>
      </c>
      <c r="M1493" s="14" t="str" ph="1">
        <f>IFERROR(INDEX([1]!_born[生没年],
MATCH(I1493,[1]!_born[作],0)),"")</f>
        <v/>
      </c>
      <c r="N1493" s="14" t="str" ph="1">
        <f>IFERROR(INDEX([1]!_born[生没年],
MATCH(K1493,[1]!_born[作],0)),"")</f>
        <v/>
      </c>
      <c r="O1493" s="13" t="s" ph="1">
        <v>7028</v>
      </c>
      <c r="U1493" s="16" t="s" ph="1">
        <v>1217</v>
      </c>
    </row>
    <row r="1494" spans="1:24" ht="22.5" customHeight="1" ph="1" x14ac:dyDescent="0.35">
      <c r="C1494" s="13" t="s" ph="1">
        <v>3970</v>
      </c>
      <c r="G1494" s="13" t="s" ph="1">
        <v>3803</v>
      </c>
      <c r="H1494" s="13" t="s" ph="1">
        <v>1269</v>
      </c>
      <c r="I1494" s="13" t="s" ph="1">
        <v>2398</v>
      </c>
      <c r="M1494" s="14" t="str" ph="1">
        <f>IFERROR(INDEX([1]!_born[生没年],
MATCH(I1494,[1]!_born[作],0)),"")</f>
        <v/>
      </c>
      <c r="N1494" s="14" t="str" ph="1">
        <f>IFERROR(INDEX([1]!_born[生没年],
MATCH(K1494,[1]!_born[作],0)),"")</f>
        <v/>
      </c>
      <c r="O1494" s="13" t="s" ph="1">
        <v>7029</v>
      </c>
      <c r="R1494" s="16" t="s" ph="1">
        <v>2399</v>
      </c>
      <c r="T1494" s="13" t="s" ph="1">
        <v>2400</v>
      </c>
      <c r="U1494" s="16" ph="1">
        <v>38108</v>
      </c>
      <c r="V1494" s="17" ph="1">
        <v>0</v>
      </c>
      <c r="W1494" s="17" ph="1">
        <v>0</v>
      </c>
      <c r="X1494" s="13" t="s" ph="1">
        <v>2401</v>
      </c>
    </row>
    <row r="1495" spans="1:24" ht="22.5" customHeight="1" ph="1" x14ac:dyDescent="0.35">
      <c r="C1495" s="13" t="s" ph="1">
        <v>3970</v>
      </c>
      <c r="G1495" s="13" t="s" ph="1">
        <v>3803</v>
      </c>
      <c r="H1495" s="13" t="s" ph="1">
        <v>1269</v>
      </c>
      <c r="I1495" s="13" t="s" ph="1">
        <v>2401</v>
      </c>
      <c r="M1495" s="14" t="str" ph="1">
        <f>IFERROR(INDEX([1]!_born[生没年],
MATCH(I1495,[1]!_born[作],0)),"")</f>
        <v/>
      </c>
      <c r="N1495" s="14" t="str" ph="1">
        <f>IFERROR(INDEX([1]!_born[生没年],
MATCH(K1495,[1]!_born[作],0)),"")</f>
        <v/>
      </c>
      <c r="O1495" s="13" t="s" ph="1">
        <v>7030</v>
      </c>
      <c r="R1495" s="16" t="s" ph="1">
        <v>2402</v>
      </c>
      <c r="T1495" s="13" t="s" ph="1">
        <v>2401</v>
      </c>
      <c r="U1495" s="16" ph="1">
        <v>38108</v>
      </c>
      <c r="V1495" s="17" ph="1">
        <v>0</v>
      </c>
      <c r="W1495" s="17" ph="1">
        <v>0</v>
      </c>
      <c r="X1495" s="13" t="s" ph="1">
        <v>2401</v>
      </c>
    </row>
    <row r="1496" spans="1:24" ht="22.5" customHeight="1" ph="1" x14ac:dyDescent="0.35">
      <c r="C1496" s="13" t="s" ph="1">
        <v>3970</v>
      </c>
      <c r="G1496" s="13" t="s" ph="1">
        <v>3803</v>
      </c>
      <c r="H1496" s="13" t="s" ph="1">
        <v>1219</v>
      </c>
      <c r="M1496" s="14" t="str" ph="1">
        <f>IFERROR(INDEX([1]!_born[生没年],
MATCH(I1496,[1]!_born[作],0)),"")</f>
        <v/>
      </c>
      <c r="N1496" s="14" t="str" ph="1">
        <f>IFERROR(INDEX([1]!_born[生没年],
MATCH(K1496,[1]!_born[作],0)),"")</f>
        <v/>
      </c>
      <c r="O1496" s="13" t="s" ph="1">
        <v>7031</v>
      </c>
      <c r="R1496" s="16" t="s" ph="1">
        <v>2403</v>
      </c>
      <c r="T1496" s="13" t="s" ph="1">
        <v>7032</v>
      </c>
      <c r="V1496" s="17" ph="1">
        <v>480</v>
      </c>
    </row>
    <row r="1497" spans="1:24" s="19" customFormat="1" ht="22.5" customHeight="1" ph="1" x14ac:dyDescent="0.35">
      <c r="A1497" s="107" ph="1"/>
      <c r="B1497" s="18" ph="1"/>
      <c r="C1497" s="19" t="s" ph="1">
        <v>6745</v>
      </c>
      <c r="D1497" s="124" ph="1"/>
      <c r="E1497" s="124" ph="1"/>
      <c r="G1497" s="19" t="s" ph="1">
        <v>4647</v>
      </c>
      <c r="H1497" s="19" t="s" ph="1">
        <v>1219</v>
      </c>
      <c r="M1497" s="27" t="str" ph="1">
        <f>IFERROR(INDEX([1]!_born[生没年],
MATCH(I1497,[1]!_born[作],0)),"")</f>
        <v/>
      </c>
      <c r="N1497" s="27" t="str" ph="1">
        <f>IFERROR(INDEX([1]!_born[生没年],
MATCH(K1497,[1]!_born[作],0)),"")</f>
        <v/>
      </c>
      <c r="O1497" s="19" t="s" ph="1">
        <v>7033</v>
      </c>
      <c r="R1497" s="20" ph="1"/>
      <c r="U1497" s="20" ph="1"/>
      <c r="V1497" s="21" ph="1"/>
      <c r="W1497" s="21" ph="1"/>
    </row>
    <row r="1498" spans="1:24" s="19" customFormat="1" ht="22.5" customHeight="1" ph="1" x14ac:dyDescent="0.35">
      <c r="A1498" s="107" ph="1"/>
      <c r="B1498" s="18" ph="1"/>
      <c r="C1498" s="19" t="s" ph="1">
        <v>6745</v>
      </c>
      <c r="D1498" s="124" ph="1"/>
      <c r="E1498" s="124" ph="1"/>
      <c r="G1498" s="19" t="s" ph="1">
        <v>4647</v>
      </c>
      <c r="H1498" s="19" t="s" ph="1">
        <v>1219</v>
      </c>
      <c r="M1498" s="27" t="str" ph="1">
        <f>IFERROR(INDEX([1]!_born[生没年],
MATCH(I1498,[1]!_born[作],0)),"")</f>
        <v/>
      </c>
      <c r="N1498" s="27" t="str" ph="1">
        <f>IFERROR(INDEX([1]!_born[生没年],
MATCH(K1498,[1]!_born[作],0)),"")</f>
        <v/>
      </c>
      <c r="O1498" s="19" t="s" ph="1">
        <v>7034</v>
      </c>
      <c r="R1498" s="20" ph="1"/>
      <c r="S1498" s="19" t="s" ph="1">
        <v>7035</v>
      </c>
      <c r="U1498" s="20" ph="1">
        <v>36960</v>
      </c>
      <c r="V1498" s="21" ph="1">
        <f>1350*1.05</f>
        <v>1417.5</v>
      </c>
      <c r="W1498" s="21" ph="1">
        <f>1350*1.05</f>
        <v>1417.5</v>
      </c>
      <c r="X1498" s="19" t="s" ph="1">
        <v>7036</v>
      </c>
    </row>
    <row r="1499" spans="1:24" s="19" customFormat="1" ht="22.5" customHeight="1" ph="1" x14ac:dyDescent="0.35">
      <c r="A1499" s="107" ph="1"/>
      <c r="B1499" s="18" ph="1"/>
      <c r="C1499" s="19" t="s" ph="1">
        <v>6745</v>
      </c>
      <c r="D1499" s="124" ph="1"/>
      <c r="E1499" s="124" ph="1"/>
      <c r="G1499" s="19" t="s" ph="1">
        <v>4647</v>
      </c>
      <c r="H1499" s="19" t="s" ph="1">
        <v>1219</v>
      </c>
      <c r="M1499" s="27" t="str" ph="1">
        <f>IFERROR(INDEX([1]!_born[生没年],
MATCH(I1499,[1]!_born[作],0)),"")</f>
        <v/>
      </c>
      <c r="N1499" s="27" t="str" ph="1">
        <f>IFERROR(INDEX([1]!_born[生没年],
MATCH(K1499,[1]!_born[作],0)),"")</f>
        <v/>
      </c>
      <c r="O1499" s="19" t="s" ph="1">
        <v>7037</v>
      </c>
      <c r="R1499" s="20" ph="1"/>
      <c r="U1499" s="20" t="s" ph="1">
        <v>1217</v>
      </c>
      <c r="V1499" s="21" ph="1">
        <v>1200</v>
      </c>
      <c r="W1499" s="21" ph="1"/>
    </row>
    <row r="1500" spans="1:24" s="19" customFormat="1" ht="22.5" customHeight="1" ph="1" x14ac:dyDescent="0.35">
      <c r="A1500" s="107" ph="1"/>
      <c r="B1500" s="18" ph="1"/>
      <c r="C1500" s="19" t="s" ph="1">
        <v>7038</v>
      </c>
      <c r="D1500" s="124" ph="1"/>
      <c r="E1500" s="124" ph="1"/>
      <c r="G1500" s="19" t="s" ph="1">
        <v>4647</v>
      </c>
      <c r="H1500" s="19" t="s" ph="1">
        <v>1219</v>
      </c>
      <c r="M1500" s="27" t="str" ph="1">
        <f>IFERROR(INDEX([1]!_born[生没年],
MATCH(I1500,[1]!_born[作],0)),"")</f>
        <v/>
      </c>
      <c r="N1500" s="27" t="str" ph="1">
        <f>IFERROR(INDEX([1]!_born[生没年],
MATCH(K1500,[1]!_born[作],0)),"")</f>
        <v/>
      </c>
      <c r="O1500" s="19" t="s" ph="1">
        <v>7039</v>
      </c>
      <c r="R1500" s="20" ph="1"/>
      <c r="U1500" s="20" t="s" ph="1">
        <v>1217</v>
      </c>
      <c r="V1500" s="21" ph="1">
        <v>800</v>
      </c>
      <c r="W1500" s="21" ph="1"/>
    </row>
    <row r="1501" spans="1:24" s="19" customFormat="1" ht="22.5" customHeight="1" ph="1" x14ac:dyDescent="0.35">
      <c r="A1501" s="107" ph="1"/>
      <c r="B1501" s="18" ph="1"/>
      <c r="C1501" s="19" t="s" ph="1">
        <v>7038</v>
      </c>
      <c r="D1501" s="124" ph="1"/>
      <c r="E1501" s="124" ph="1"/>
      <c r="G1501" s="19" t="s" ph="1">
        <v>4647</v>
      </c>
      <c r="H1501" s="19" t="s" ph="1">
        <v>1219</v>
      </c>
      <c r="M1501" s="27" t="str" ph="1">
        <f>IFERROR(INDEX([1]!_born[生没年],
MATCH(I1501,[1]!_born[作],0)),"")</f>
        <v/>
      </c>
      <c r="N1501" s="27" t="str" ph="1">
        <f>IFERROR(INDEX([1]!_born[生没年],
MATCH(K1501,[1]!_born[作],0)),"")</f>
        <v/>
      </c>
      <c r="O1501" s="19" t="s" ph="1">
        <v>7040</v>
      </c>
      <c r="R1501" s="20" ph="1"/>
      <c r="U1501" s="20" ph="1">
        <v>38683</v>
      </c>
      <c r="V1501" s="21" ph="1">
        <f>854*1.03</f>
        <v>879.62</v>
      </c>
      <c r="W1501" s="21" ph="1">
        <v>0</v>
      </c>
    </row>
    <row r="1502" spans="1:24" s="19" customFormat="1" ht="22.5" customHeight="1" ph="1" x14ac:dyDescent="0.35">
      <c r="A1502" s="107" ph="1"/>
      <c r="B1502" s="18" ph="1"/>
      <c r="C1502" s="19" t="s" ph="1">
        <v>7038</v>
      </c>
      <c r="D1502" s="124" ph="1"/>
      <c r="E1502" s="124" ph="1"/>
      <c r="G1502" s="19" t="s" ph="1">
        <v>4647</v>
      </c>
      <c r="H1502" s="19" t="s" ph="1">
        <v>1219</v>
      </c>
      <c r="M1502" s="27" t="str" ph="1">
        <f>IFERROR(INDEX([1]!_born[生没年],
MATCH(I1502,[1]!_born[作],0)),"")</f>
        <v/>
      </c>
      <c r="N1502" s="27" t="str" ph="1">
        <f>IFERROR(INDEX([1]!_born[生没年],
MATCH(K1502,[1]!_born[作],0)),"")</f>
        <v/>
      </c>
      <c r="O1502" s="19" t="s" ph="1">
        <v>7041</v>
      </c>
      <c r="R1502" s="20" ph="1"/>
      <c r="U1502" s="20" t="s" ph="1">
        <v>1217</v>
      </c>
      <c r="V1502" s="21" ph="1">
        <v>700</v>
      </c>
      <c r="W1502" s="21" ph="1"/>
    </row>
    <row r="1503" spans="1:24" ht="22.5" customHeight="1" ph="1" x14ac:dyDescent="0.35">
      <c r="A1503" s="106" t="s" ph="1">
        <v>2570</v>
      </c>
      <c r="B1503" s="5" t="s" ph="1">
        <v>2569</v>
      </c>
      <c r="C1503" s="13" t="s" ph="1">
        <v>7042</v>
      </c>
      <c r="G1503" s="13" t="s" ph="1">
        <v>3803</v>
      </c>
      <c r="H1503" s="13" t="s" ph="1">
        <v>61</v>
      </c>
      <c r="M1503" s="14" t="str" ph="1">
        <f>IFERROR(INDEX([1]!_born[生没年],
MATCH(I1503,[1]!_born[作],0)),"")</f>
        <v/>
      </c>
      <c r="N1503" s="14" t="str" ph="1">
        <f>IFERROR(INDEX([1]!_born[生没年],
MATCH(K1503,[1]!_born[作],0)),"")</f>
        <v/>
      </c>
      <c r="O1503" s="13" t="s" ph="1">
        <v>7043</v>
      </c>
      <c r="R1503" s="16" ph="1">
        <v>40273</v>
      </c>
      <c r="S1503" s="13" t="s" ph="1">
        <v>7044</v>
      </c>
      <c r="T1503" s="13" t="s" ph="1">
        <v>7045</v>
      </c>
      <c r="U1503" s="16" ph="1">
        <v>40636</v>
      </c>
      <c r="V1503" s="17" ph="1">
        <f>476*1.05</f>
        <v>499.8</v>
      </c>
      <c r="W1503" s="17" ph="1">
        <f>476*1.05</f>
        <v>499.8</v>
      </c>
      <c r="X1503" s="13" t="s" ph="1">
        <v>3802</v>
      </c>
    </row>
    <row r="1504" spans="1:24" ht="22.5" customHeight="1" ph="1" x14ac:dyDescent="0.35">
      <c r="A1504" s="106" t="s" ph="1">
        <v>2513</v>
      </c>
      <c r="B1504" s="5" t="s" ph="1">
        <v>2514</v>
      </c>
      <c r="C1504" s="13" t="s" ph="1">
        <v>6984</v>
      </c>
      <c r="G1504" s="13" t="s" ph="1">
        <v>3803</v>
      </c>
      <c r="H1504" s="13" t="s" ph="1">
        <v>61</v>
      </c>
      <c r="M1504" s="14" t="str" ph="1">
        <f>IFERROR(INDEX([1]!_born[生没年],
MATCH(I1504,[1]!_born[作],0)),"")</f>
        <v/>
      </c>
      <c r="N1504" s="14" t="str" ph="1">
        <f>IFERROR(INDEX([1]!_born[生没年],
MATCH(K1504,[1]!_born[作],0)),"")</f>
        <v/>
      </c>
      <c r="O1504" s="13" t="s" ph="1">
        <v>7046</v>
      </c>
      <c r="R1504" s="16" t="s" ph="1">
        <v>1008</v>
      </c>
      <c r="T1504" s="13" t="s" ph="1">
        <v>7047</v>
      </c>
      <c r="U1504" s="16" ph="1">
        <v>40493</v>
      </c>
      <c r="V1504" s="17" ph="1">
        <f>1000*1.05</f>
        <v>1050</v>
      </c>
      <c r="W1504" s="17" ph="1">
        <f>1000*1.05</f>
        <v>1050</v>
      </c>
      <c r="X1504" s="13" t="s" ph="1">
        <v>3802</v>
      </c>
    </row>
    <row r="1505" spans="1:23" ht="22.5" customHeight="1" ph="1" x14ac:dyDescent="0.35">
      <c r="A1505" s="106" t="s" ph="1">
        <v>2504</v>
      </c>
      <c r="B1505" s="5" t="s" ph="1">
        <v>2390</v>
      </c>
      <c r="C1505" s="13" t="s" ph="1">
        <v>6984</v>
      </c>
      <c r="G1505" s="13" t="s" ph="1">
        <v>3803</v>
      </c>
      <c r="H1505" s="13" t="s" ph="1">
        <v>61</v>
      </c>
      <c r="M1505" s="14" t="str" ph="1">
        <f>IFERROR(INDEX([1]!_born[生没年],
MATCH(I1505,[1]!_born[作],0)),"")</f>
        <v/>
      </c>
      <c r="N1505" s="14" t="str" ph="1">
        <f>IFERROR(INDEX([1]!_born[生没年],
MATCH(K1505,[1]!_born[作],0)),"")</f>
        <v/>
      </c>
      <c r="O1505" s="13" t="s" ph="1">
        <v>7048</v>
      </c>
      <c r="R1505" s="16" t="s" ph="1">
        <v>2506</v>
      </c>
      <c r="S1505" s="13" t="s" ph="1">
        <v>2505</v>
      </c>
      <c r="T1505" s="13" t="s" ph="1">
        <v>6712</v>
      </c>
      <c r="U1505" s="16" ph="1">
        <v>40365</v>
      </c>
      <c r="V1505" s="17" ph="1">
        <f>714*1.05</f>
        <v>749.7</v>
      </c>
      <c r="W1505" s="17" ph="1">
        <f>714*1.05</f>
        <v>749.7</v>
      </c>
    </row>
    <row r="1506" spans="1:23" ht="22.5" customHeight="1" ph="1" x14ac:dyDescent="0.35">
      <c r="A1506" s="106" t="s" ph="1">
        <v>2404</v>
      </c>
      <c r="B1506" s="5" t="s" ph="1">
        <v>2390</v>
      </c>
      <c r="C1506" s="13" t="s" ph="1">
        <v>6984</v>
      </c>
      <c r="G1506" s="13" t="s" ph="1">
        <v>3803</v>
      </c>
      <c r="H1506" s="13" t="s" ph="1">
        <v>1219</v>
      </c>
      <c r="I1506" s="13" t="s" ph="1">
        <v>7049</v>
      </c>
      <c r="M1506" s="14" t="str" ph="1">
        <f>IFERROR(INDEX([1]!_born[生没年],
MATCH(I1506,[1]!_born[作],0)),"")</f>
        <v/>
      </c>
      <c r="N1506" s="14" t="str" ph="1">
        <f>IFERROR(INDEX([1]!_born[生没年],
MATCH(K1506,[1]!_born[作],0)),"")</f>
        <v/>
      </c>
      <c r="O1506" s="13" t="s" ph="1">
        <v>7050</v>
      </c>
      <c r="R1506" s="16" t="s" ph="1">
        <v>2405</v>
      </c>
      <c r="S1506" s="13" t="s" ph="1">
        <v>7051</v>
      </c>
      <c r="T1506" s="13" t="s" ph="1">
        <v>6712</v>
      </c>
      <c r="U1506" s="16" t="s" ph="1">
        <v>2406</v>
      </c>
      <c r="V1506" s="17" ph="1">
        <f>1400*1.05</f>
        <v>1470</v>
      </c>
      <c r="W1506" s="17" ph="1">
        <f>1400*1.05</f>
        <v>1470</v>
      </c>
    </row>
    <row r="1507" spans="1:23" ht="22.5" customHeight="1" ph="1" x14ac:dyDescent="0.35">
      <c r="A1507" s="109"/>
      <c r="B1507" s="13" ph="1"/>
      <c r="C1507" s="13" t="s" ph="1">
        <v>1745</v>
      </c>
      <c r="G1507" s="13" t="s" ph="1">
        <v>3803</v>
      </c>
      <c r="H1507" s="13" t="s" ph="1">
        <v>1269</v>
      </c>
      <c r="M1507" s="14" t="str" ph="1">
        <f>IFERROR(INDEX([1]!_born[生没年],
MATCH(I1507,[1]!_born[作],0)),"")</f>
        <v/>
      </c>
      <c r="N1507" s="14" t="str" ph="1">
        <f>IFERROR(INDEX([1]!_born[生没年],
MATCH(K1507,[1]!_born[作],0)),"")</f>
        <v/>
      </c>
      <c r="O1507" s="13" t="s" ph="1">
        <v>7052</v>
      </c>
      <c r="R1507" s="16"/>
    </row>
    <row r="1508" spans="1:23" ht="22.5" customHeight="1" ph="1" x14ac:dyDescent="0.35">
      <c r="C1508" s="13" t="s" ph="1">
        <v>2407</v>
      </c>
      <c r="G1508" s="13" t="s" ph="1">
        <v>6483</v>
      </c>
      <c r="H1508" s="13" t="s" ph="1">
        <v>1219</v>
      </c>
      <c r="M1508" s="14" t="str" ph="1">
        <f>IFERROR(INDEX([1]!_born[生没年],
MATCH(I1508,[1]!_born[作],0)),"")</f>
        <v/>
      </c>
      <c r="N1508" s="14" t="str" ph="1">
        <f>IFERROR(INDEX([1]!_born[生没年],
MATCH(K1508,[1]!_born[作],0)),"")</f>
        <v/>
      </c>
      <c r="O1508" s="13" t="s" ph="1">
        <v>7053</v>
      </c>
      <c r="U1508" s="16" t="s" ph="1">
        <v>1217</v>
      </c>
    </row>
    <row r="1509" spans="1:23" s="7" customFormat="1" ht="22.5" customHeight="1" ph="1" x14ac:dyDescent="0.35">
      <c r="A1509" s="106" ph="1"/>
      <c r="B1509" s="5" ph="1"/>
      <c r="C1509" s="9" t="s" ph="1">
        <v>1285</v>
      </c>
      <c r="D1509" s="122" ph="1"/>
      <c r="E1509" s="122" ph="1"/>
      <c r="G1509" s="8" t="s" ph="1">
        <v>6483</v>
      </c>
      <c r="H1509" s="9" t="s" ph="1">
        <v>1219</v>
      </c>
      <c r="M1509" s="7" t="str" ph="1">
        <f>IFERROR(INDEX([1]!_born[生没年],
MATCH(I1509,[1]!_born[作],0)),"")</f>
        <v/>
      </c>
      <c r="N1509" s="7" t="str" ph="1">
        <f>IFERROR(INDEX([1]!_born[生没年],
MATCH(K1509,[1]!_born[作],0)),"")</f>
        <v/>
      </c>
      <c r="R1509" s="10" ph="1"/>
      <c r="U1509" s="10" ph="1"/>
      <c r="V1509" s="11" ph="1"/>
      <c r="W1509" s="11" ph="1"/>
    </row>
    <row r="1510" spans="1:23" ht="22.5" customHeight="1" ph="1" x14ac:dyDescent="0.35">
      <c r="C1510" s="13" t="s" ph="1">
        <v>1285</v>
      </c>
      <c r="G1510" s="13" t="s" ph="1">
        <v>6483</v>
      </c>
      <c r="I1510" s="13" t="s" ph="1">
        <v>195</v>
      </c>
      <c r="K1510" s="13" t="s" ph="1">
        <v>7054</v>
      </c>
      <c r="L1510" s="13" t="s" ph="1">
        <v>3628</v>
      </c>
      <c r="M1510" s="14" t="str" ph="1">
        <f>IFERROR(INDEX([1]!_born[生没年],
MATCH(I1510,[1]!_born[作],0)),"")</f>
        <v/>
      </c>
      <c r="N1510" s="14" t="str" ph="1">
        <f>IFERROR(INDEX([1]!_born[生没年],
MATCH(K1510,[1]!_born[作],0)),"")</f>
        <v/>
      </c>
      <c r="O1510" s="15" t="s" ph="1">
        <v>177</v>
      </c>
      <c r="T1510" s="13" t="s" ph="1">
        <v>3926</v>
      </c>
      <c r="U1510" s="16" t="s" ph="1">
        <v>1217</v>
      </c>
      <c r="V1510" s="17" ph="1">
        <v>1500</v>
      </c>
    </row>
    <row r="1511" spans="1:23" ht="22.5" customHeight="1" ph="1" x14ac:dyDescent="0.35">
      <c r="C1511" s="13" t="s" ph="1">
        <v>4106</v>
      </c>
      <c r="G1511" s="13" t="s" ph="1">
        <v>6483</v>
      </c>
      <c r="H1511" s="13" t="s" ph="1">
        <v>4423</v>
      </c>
      <c r="I1511" s="24" t="s" ph="1">
        <v>7055</v>
      </c>
      <c r="M1511" s="14" t="str" ph="1">
        <f>IFERROR(INDEX([1]!_born[生没年],
MATCH(I1511,[1]!_born[作],0)),"")</f>
        <v/>
      </c>
      <c r="N1511" s="14" t="str" ph="1">
        <f>IFERROR(INDEX([1]!_born[生没年],
MATCH(K1511,[1]!_born[作],0)),"")</f>
        <v/>
      </c>
      <c r="O1511" s="33" t="s" ph="1">
        <v>7056</v>
      </c>
      <c r="T1511" s="13" t="s" ph="1">
        <v>7057</v>
      </c>
      <c r="U1511" s="16" t="s" ph="1">
        <v>1217</v>
      </c>
    </row>
    <row r="1512" spans="1:23" ht="22.5" customHeight="1" ph="1" x14ac:dyDescent="0.35">
      <c r="C1512" s="13" t="s" ph="1">
        <v>1285</v>
      </c>
      <c r="G1512" s="13" t="s" ph="1">
        <v>6483</v>
      </c>
      <c r="H1512" s="13" t="s" ph="1">
        <v>4423</v>
      </c>
      <c r="I1512" s="24" t="s" ph="1">
        <v>7055</v>
      </c>
      <c r="M1512" s="14" t="str" ph="1">
        <f>IFERROR(INDEX([1]!_born[生没年],
MATCH(I1512,[1]!_born[作],0)),"")</f>
        <v/>
      </c>
      <c r="N1512" s="14" t="str" ph="1">
        <f>IFERROR(INDEX([1]!_born[生没年],
MATCH(K1512,[1]!_born[作],0)),"")</f>
        <v/>
      </c>
      <c r="O1512" s="24" t="s" ph="1">
        <v>7058</v>
      </c>
      <c r="U1512" s="16" t="s" ph="1">
        <v>1217</v>
      </c>
    </row>
    <row r="1513" spans="1:23" ht="22.5" customHeight="1" ph="1" x14ac:dyDescent="0.35">
      <c r="C1513" s="13" t="s" ph="1">
        <v>1285</v>
      </c>
      <c r="G1513" s="13" t="s" ph="1">
        <v>6483</v>
      </c>
      <c r="H1513" s="13" t="s" ph="1">
        <v>4423</v>
      </c>
      <c r="I1513" s="24" t="s" ph="1">
        <v>7055</v>
      </c>
      <c r="M1513" s="14" t="str" ph="1">
        <f>IFERROR(INDEX([1]!_born[生没年],
MATCH(I1513,[1]!_born[作],0)),"")</f>
        <v/>
      </c>
      <c r="N1513" s="14" t="str" ph="1">
        <f>IFERROR(INDEX([1]!_born[生没年],
MATCH(K1513,[1]!_born[作],0)),"")</f>
        <v/>
      </c>
      <c r="O1513" s="24" t="s" ph="1">
        <v>7059</v>
      </c>
      <c r="U1513" s="16" t="s" ph="1">
        <v>1217</v>
      </c>
    </row>
    <row r="1514" spans="1:23" ht="22.5" customHeight="1" ph="1" x14ac:dyDescent="0.35">
      <c r="C1514" s="13" t="s" ph="1">
        <v>1285</v>
      </c>
      <c r="G1514" s="13" t="s" ph="1">
        <v>6483</v>
      </c>
      <c r="H1514" s="13" t="s" ph="1">
        <v>4423</v>
      </c>
      <c r="I1514" s="24" t="s" ph="1">
        <v>7055</v>
      </c>
      <c r="M1514" s="14" t="str" ph="1">
        <f>IFERROR(INDEX([1]!_born[生没年],
MATCH(I1514,[1]!_born[作],0)),"")</f>
        <v/>
      </c>
      <c r="N1514" s="14" t="str" ph="1">
        <f>IFERROR(INDEX([1]!_born[生没年],
MATCH(K1514,[1]!_born[作],0)),"")</f>
        <v/>
      </c>
      <c r="O1514" s="24" t="s" ph="1">
        <v>7060</v>
      </c>
      <c r="U1514" s="16" t="s" ph="1">
        <v>1217</v>
      </c>
    </row>
    <row r="1515" spans="1:23" ht="22.5" customHeight="1" ph="1" x14ac:dyDescent="0.35">
      <c r="C1515" s="13" t="s" ph="1">
        <v>1285</v>
      </c>
      <c r="G1515" s="13" t="s" ph="1">
        <v>6483</v>
      </c>
      <c r="H1515" s="13" t="s" ph="1">
        <v>4423</v>
      </c>
      <c r="I1515" s="24" t="s" ph="1">
        <v>7055</v>
      </c>
      <c r="M1515" s="14" t="str" ph="1">
        <f>IFERROR(INDEX([1]!_born[生没年],
MATCH(I1515,[1]!_born[作],0)),"")</f>
        <v/>
      </c>
      <c r="N1515" s="14" t="str" ph="1">
        <f>IFERROR(INDEX([1]!_born[生没年],
MATCH(K1515,[1]!_born[作],0)),"")</f>
        <v/>
      </c>
      <c r="O1515" s="24" t="s" ph="1">
        <v>7061</v>
      </c>
      <c r="U1515" s="16" t="s" ph="1">
        <v>1217</v>
      </c>
    </row>
    <row r="1516" spans="1:23" ht="22.5" customHeight="1" ph="1" x14ac:dyDescent="0.35">
      <c r="C1516" s="13" t="s" ph="1">
        <v>1285</v>
      </c>
      <c r="G1516" s="13" t="s" ph="1">
        <v>6483</v>
      </c>
      <c r="H1516" s="13" t="s" ph="1">
        <v>4423</v>
      </c>
      <c r="I1516" s="24" t="s" ph="1">
        <v>7055</v>
      </c>
      <c r="M1516" s="14" t="str" ph="1">
        <f>IFERROR(INDEX([1]!_born[生没年],
MATCH(I1516,[1]!_born[作],0)),"")</f>
        <v/>
      </c>
      <c r="N1516" s="14" t="str" ph="1">
        <f>IFERROR(INDEX([1]!_born[生没年],
MATCH(K1516,[1]!_born[作],0)),"")</f>
        <v/>
      </c>
      <c r="O1516" s="24" t="s" ph="1">
        <v>7062</v>
      </c>
      <c r="U1516" s="16" t="s" ph="1">
        <v>1217</v>
      </c>
    </row>
    <row r="1517" spans="1:23" ht="22.5" customHeight="1" ph="1" x14ac:dyDescent="0.35">
      <c r="C1517" s="13" t="s" ph="1">
        <v>1285</v>
      </c>
      <c r="G1517" s="13" t="s" ph="1">
        <v>6483</v>
      </c>
      <c r="H1517" s="13" t="s" ph="1">
        <v>4423</v>
      </c>
      <c r="I1517" s="24" t="s" ph="1">
        <v>7055</v>
      </c>
      <c r="M1517" s="14" t="str" ph="1">
        <f>IFERROR(INDEX([1]!_born[生没年],
MATCH(I1517,[1]!_born[作],0)),"")</f>
        <v/>
      </c>
      <c r="N1517" s="14" t="str" ph="1">
        <f>IFERROR(INDEX([1]!_born[生没年],
MATCH(K1517,[1]!_born[作],0)),"")</f>
        <v/>
      </c>
      <c r="O1517" s="24" t="s" ph="1">
        <v>7063</v>
      </c>
      <c r="U1517" s="16" t="s" ph="1">
        <v>1217</v>
      </c>
    </row>
    <row r="1518" spans="1:23" ht="22.5" customHeight="1" ph="1" x14ac:dyDescent="0.35">
      <c r="C1518" s="13" t="s" ph="1">
        <v>1285</v>
      </c>
      <c r="G1518" s="13" t="s" ph="1">
        <v>6483</v>
      </c>
      <c r="H1518" s="13" t="s" ph="1">
        <v>4423</v>
      </c>
      <c r="I1518" s="24" t="s" ph="1">
        <v>7055</v>
      </c>
      <c r="M1518" s="14" t="str" ph="1">
        <f>IFERROR(INDEX([1]!_born[生没年],
MATCH(I1518,[1]!_born[作],0)),"")</f>
        <v/>
      </c>
      <c r="N1518" s="14" t="str" ph="1">
        <f>IFERROR(INDEX([1]!_born[生没年],
MATCH(K1518,[1]!_born[作],0)),"")</f>
        <v/>
      </c>
      <c r="O1518" s="24" t="s" ph="1">
        <v>7064</v>
      </c>
      <c r="U1518" s="16" t="s" ph="1">
        <v>1217</v>
      </c>
    </row>
    <row r="1519" spans="1:23" ht="22.5" customHeight="1" ph="1" x14ac:dyDescent="0.35">
      <c r="C1519" s="13" t="s" ph="1">
        <v>1285</v>
      </c>
      <c r="G1519" s="13" t="s" ph="1">
        <v>6483</v>
      </c>
      <c r="H1519" s="13" t="s" ph="1">
        <v>4423</v>
      </c>
      <c r="I1519" s="24" t="s" ph="1">
        <v>7055</v>
      </c>
      <c r="M1519" s="14" t="str" ph="1">
        <f>IFERROR(INDEX([1]!_born[生没年],
MATCH(I1519,[1]!_born[作],0)),"")</f>
        <v/>
      </c>
      <c r="N1519" s="14" t="str" ph="1">
        <f>IFERROR(INDEX([1]!_born[生没年],
MATCH(K1519,[1]!_born[作],0)),"")</f>
        <v/>
      </c>
      <c r="O1519" s="24" t="s" ph="1">
        <v>7065</v>
      </c>
      <c r="U1519" s="16" t="s" ph="1">
        <v>1217</v>
      </c>
    </row>
    <row r="1520" spans="1:23" ht="22.5" customHeight="1" ph="1" x14ac:dyDescent="0.35">
      <c r="C1520" s="13" t="s" ph="1">
        <v>1285</v>
      </c>
      <c r="G1520" s="13" t="s" ph="1">
        <v>6483</v>
      </c>
      <c r="H1520" s="13" t="s" ph="1">
        <v>4423</v>
      </c>
      <c r="I1520" s="24" t="s" ph="1">
        <v>7055</v>
      </c>
      <c r="M1520" s="14" t="str" ph="1">
        <f>IFERROR(INDEX([1]!_born[生没年],
MATCH(I1520,[1]!_born[作],0)),"")</f>
        <v/>
      </c>
      <c r="N1520" s="14" t="str" ph="1">
        <f>IFERROR(INDEX([1]!_born[生没年],
MATCH(K1520,[1]!_born[作],0)),"")</f>
        <v/>
      </c>
      <c r="O1520" s="24" t="s" ph="1">
        <v>7066</v>
      </c>
      <c r="U1520" s="16" t="s" ph="1">
        <v>1217</v>
      </c>
    </row>
    <row r="1521" spans="1:25" ht="22.5" customHeight="1" ph="1" x14ac:dyDescent="0.35">
      <c r="C1521" s="13" t="s" ph="1">
        <v>1285</v>
      </c>
      <c r="G1521" s="13" t="s" ph="1">
        <v>6483</v>
      </c>
      <c r="H1521" s="13" t="s" ph="1">
        <v>4423</v>
      </c>
      <c r="I1521" s="24" t="s" ph="1">
        <v>7055</v>
      </c>
      <c r="M1521" s="14" t="str" ph="1">
        <f>IFERROR(INDEX([1]!_born[生没年],
MATCH(I1521,[1]!_born[作],0)),"")</f>
        <v/>
      </c>
      <c r="N1521" s="14" t="str" ph="1">
        <f>IFERROR(INDEX([1]!_born[生没年],
MATCH(K1521,[1]!_born[作],0)),"")</f>
        <v/>
      </c>
      <c r="O1521" s="24" t="s" ph="1">
        <v>7067</v>
      </c>
      <c r="U1521" s="16" t="s" ph="1">
        <v>1217</v>
      </c>
    </row>
    <row r="1522" spans="1:25" ht="22.5" customHeight="1" ph="1" x14ac:dyDescent="0.35">
      <c r="C1522" s="13" t="s" ph="1">
        <v>4106</v>
      </c>
      <c r="G1522" s="13" t="s" ph="1">
        <v>6483</v>
      </c>
      <c r="H1522" s="13" t="s" ph="1">
        <v>4423</v>
      </c>
      <c r="I1522" s="24" t="s" ph="1">
        <v>7055</v>
      </c>
      <c r="M1522" s="14" t="str" ph="1">
        <f>IFERROR(INDEX([1]!_born[生没年],
MATCH(I1522,[1]!_born[作],0)),"")</f>
        <v/>
      </c>
      <c r="N1522" s="14" t="str" ph="1">
        <f>IFERROR(INDEX([1]!_born[生没年],
MATCH(K1522,[1]!_born[作],0)),"")</f>
        <v/>
      </c>
      <c r="O1522" s="24" t="s" ph="1">
        <v>7068</v>
      </c>
      <c r="U1522" s="16" t="s" ph="1">
        <v>1217</v>
      </c>
    </row>
    <row r="1523" spans="1:25" ht="22.5" customHeight="1" ph="1" x14ac:dyDescent="0.35">
      <c r="C1523" s="13" t="s" ph="1">
        <v>4106</v>
      </c>
      <c r="G1523" s="13" t="s" ph="1">
        <v>6483</v>
      </c>
      <c r="H1523" s="13" t="s" ph="1">
        <v>4423</v>
      </c>
      <c r="I1523" s="24" t="s" ph="1">
        <v>7055</v>
      </c>
      <c r="M1523" s="14" t="str" ph="1">
        <f>IFERROR(INDEX([1]!_born[生没年],
MATCH(I1523,[1]!_born[作],0)),"")</f>
        <v/>
      </c>
      <c r="N1523" s="14" t="str" ph="1">
        <f>IFERROR(INDEX([1]!_born[生没年],
MATCH(K1523,[1]!_born[作],0)),"")</f>
        <v/>
      </c>
      <c r="O1523" s="24" t="s" ph="1">
        <v>7069</v>
      </c>
      <c r="U1523" s="16" t="s" ph="1">
        <v>1217</v>
      </c>
    </row>
    <row r="1524" spans="1:25" ht="22.5" customHeight="1" ph="1" x14ac:dyDescent="0.35">
      <c r="C1524" s="13" t="s" ph="1">
        <v>4106</v>
      </c>
      <c r="G1524" s="13" t="s" ph="1">
        <v>6483</v>
      </c>
      <c r="H1524" s="13" t="s" ph="1">
        <v>4423</v>
      </c>
      <c r="I1524" s="24" t="s" ph="1">
        <v>7070</v>
      </c>
      <c r="M1524" s="14" t="str" ph="1">
        <f>IFERROR(INDEX([1]!_born[生没年],
MATCH(I1524,[1]!_born[作],0)),"")</f>
        <v/>
      </c>
      <c r="N1524" s="14" t="str" ph="1">
        <f>IFERROR(INDEX([1]!_born[生没年],
MATCH(K1524,[1]!_born[作],0)),"")</f>
        <v/>
      </c>
      <c r="O1524" s="24" t="s" ph="1">
        <v>7071</v>
      </c>
      <c r="R1524" s="16" t="s" ph="1">
        <v>1286</v>
      </c>
      <c r="S1524" s="13" t="s" ph="1">
        <v>1287</v>
      </c>
      <c r="T1524" s="13" t="s" ph="1">
        <v>7072</v>
      </c>
      <c r="V1524" s="17" ph="1">
        <v>50</v>
      </c>
      <c r="W1524" s="17" ph="1">
        <v>1500</v>
      </c>
      <c r="X1524" s="5" t="s" ph="1">
        <v>4937</v>
      </c>
      <c r="Y1524" s="5" ph="1"/>
    </row>
    <row r="1525" spans="1:25" ht="22.5" customHeight="1" ph="1" x14ac:dyDescent="0.35">
      <c r="C1525" s="13" t="s" ph="1">
        <v>4106</v>
      </c>
      <c r="G1525" s="13" t="s" ph="1">
        <v>6483</v>
      </c>
      <c r="H1525" s="13" t="s" ph="1">
        <v>4423</v>
      </c>
      <c r="I1525" s="24" t="s" ph="1">
        <v>7070</v>
      </c>
      <c r="M1525" s="14" t="str" ph="1">
        <f>IFERROR(INDEX([1]!_born[生没年],
MATCH(I1525,[1]!_born[作],0)),"")</f>
        <v/>
      </c>
      <c r="N1525" s="14" t="str" ph="1">
        <f>IFERROR(INDEX([1]!_born[生没年],
MATCH(K1525,[1]!_born[作],0)),"")</f>
        <v/>
      </c>
      <c r="O1525" s="24" t="s" ph="1">
        <v>7071</v>
      </c>
      <c r="R1525" s="16" t="s" ph="1">
        <v>1288</v>
      </c>
      <c r="S1525" s="13" t="s" ph="1">
        <v>1289</v>
      </c>
      <c r="T1525" s="13" t="s" ph="1">
        <v>7072</v>
      </c>
      <c r="V1525" s="17" ph="1">
        <v>60</v>
      </c>
      <c r="X1525" s="5" ph="1"/>
      <c r="Y1525" s="5" ph="1"/>
    </row>
    <row r="1526" spans="1:25" ht="22.5" customHeight="1" ph="1" x14ac:dyDescent="0.35">
      <c r="C1526" s="13" t="s" ph="1">
        <v>4106</v>
      </c>
      <c r="G1526" s="13" t="s" ph="1">
        <v>6483</v>
      </c>
      <c r="H1526" s="13" t="s" ph="1">
        <v>4423</v>
      </c>
      <c r="I1526" s="24" t="s" ph="1">
        <v>7070</v>
      </c>
      <c r="M1526" s="14" t="str" ph="1">
        <f>IFERROR(INDEX([1]!_born[生没年],
MATCH(I1526,[1]!_born[作],0)),"")</f>
        <v/>
      </c>
      <c r="N1526" s="14" t="str" ph="1">
        <f>IFERROR(INDEX([1]!_born[生没年],
MATCH(K1526,[1]!_born[作],0)),"")</f>
        <v/>
      </c>
      <c r="O1526" s="24" t="s" ph="1">
        <v>7073</v>
      </c>
      <c r="R1526" s="16" t="s" ph="1">
        <v>1290</v>
      </c>
      <c r="T1526" s="13" t="s" ph="1">
        <v>7057</v>
      </c>
      <c r="V1526" s="17" ph="1">
        <v>270</v>
      </c>
      <c r="W1526" s="17" ph="1">
        <v>1800</v>
      </c>
      <c r="X1526" s="5" t="s" ph="1">
        <v>7074</v>
      </c>
      <c r="Y1526" s="5" ph="1"/>
    </row>
    <row r="1527" spans="1:25" ht="22.5" customHeight="1" ph="1" x14ac:dyDescent="0.35">
      <c r="C1527" s="13" t="s" ph="1">
        <v>1285</v>
      </c>
      <c r="G1527" s="13" t="s" ph="1">
        <v>6483</v>
      </c>
      <c r="H1527" s="13" t="s" ph="1">
        <v>1219</v>
      </c>
      <c r="I1527" s="13" t="s" ph="1">
        <v>7075</v>
      </c>
      <c r="M1527" s="14" t="str" ph="1">
        <f>IFERROR(INDEX([1]!_born[生没年],
MATCH(I1527,[1]!_born[作],0)),"")</f>
        <v/>
      </c>
      <c r="N1527" s="14" t="str" ph="1">
        <f>IFERROR(INDEX([1]!_born[生没年],
MATCH(K1527,[1]!_born[作],0)),"")</f>
        <v/>
      </c>
      <c r="O1527" s="13" t="s" ph="1">
        <v>7076</v>
      </c>
    </row>
    <row r="1528" spans="1:25" ht="22.5" customHeight="1" ph="1" x14ac:dyDescent="0.35">
      <c r="C1528" s="13" t="s" ph="1">
        <v>1285</v>
      </c>
      <c r="G1528" s="13" t="s" ph="1">
        <v>6483</v>
      </c>
      <c r="H1528" s="13" t="s" ph="1">
        <v>1219</v>
      </c>
      <c r="I1528" s="13" t="s" ph="1">
        <v>7077</v>
      </c>
      <c r="M1528" s="14" t="str" ph="1">
        <f>IFERROR(INDEX([1]!_born[生没年],
MATCH(I1528,[1]!_born[作],0)),"")</f>
        <v/>
      </c>
      <c r="N1528" s="14" t="str" ph="1">
        <f>IFERROR(INDEX([1]!_born[生没年],
MATCH(K1528,[1]!_born[作],0)),"")</f>
        <v/>
      </c>
      <c r="O1528" s="13" t="s" ph="1">
        <v>7078</v>
      </c>
      <c r="S1528" s="13" t="s" ph="1">
        <v>7079</v>
      </c>
      <c r="T1528" s="13" t="s" ph="1">
        <v>7080</v>
      </c>
      <c r="U1528" s="16" t="s" ph="1">
        <v>1217</v>
      </c>
      <c r="V1528" s="17" ph="1">
        <v>2200</v>
      </c>
    </row>
    <row r="1529" spans="1:25" ht="22.5" customHeight="1" ph="1" x14ac:dyDescent="0.35">
      <c r="C1529" s="13" t="s" ph="1">
        <v>1285</v>
      </c>
      <c r="G1529" s="13" t="s" ph="1">
        <v>6483</v>
      </c>
      <c r="H1529" s="13" t="s" ph="1">
        <v>1219</v>
      </c>
      <c r="I1529" s="13" t="s" ph="1">
        <v>7081</v>
      </c>
      <c r="M1529" s="14" t="str" ph="1">
        <f>IFERROR(INDEX([1]!_born[生没年],
MATCH(I1529,[1]!_born[作],0)),"")</f>
        <v/>
      </c>
      <c r="N1529" s="14" t="str" ph="1">
        <f>IFERROR(INDEX([1]!_born[生没年],
MATCH(K1529,[1]!_born[作],0)),"")</f>
        <v/>
      </c>
      <c r="O1529" s="13" t="s" ph="1">
        <v>7082</v>
      </c>
      <c r="T1529" s="13" t="s" ph="1">
        <v>7083</v>
      </c>
      <c r="U1529" s="16" t="s" ph="1">
        <v>1217</v>
      </c>
      <c r="V1529" s="17" ph="1">
        <v>2500</v>
      </c>
    </row>
    <row r="1530" spans="1:25" ht="22.5" customHeight="1" ph="1" x14ac:dyDescent="0.35">
      <c r="C1530" s="13" t="s" ph="1">
        <v>1285</v>
      </c>
      <c r="G1530" s="13" t="s" ph="1">
        <v>6483</v>
      </c>
      <c r="H1530" s="13" t="s" ph="1">
        <v>4423</v>
      </c>
      <c r="I1530" s="13" t="s" ph="1">
        <v>7084</v>
      </c>
      <c r="J1530" s="13" t="s" ph="1">
        <v>6483</v>
      </c>
      <c r="K1530" s="13" t="s" ph="1">
        <v>7085</v>
      </c>
      <c r="L1530" s="13" t="s" ph="1">
        <v>3915</v>
      </c>
      <c r="M1530" s="14" t="str" ph="1">
        <f>IFERROR(INDEX([1]!_born[生没年],
MATCH(I1530,[1]!_born[作],0)),"")</f>
        <v/>
      </c>
      <c r="N1530" s="14" t="str" ph="1">
        <f>IFERROR(INDEX([1]!_born[生没年],
MATCH(K1530,[1]!_born[作],0)),"")</f>
        <v/>
      </c>
      <c r="O1530" s="13" t="s" ph="1">
        <v>7086</v>
      </c>
      <c r="W1530" s="17" ph="1">
        <v>0</v>
      </c>
    </row>
    <row r="1531" spans="1:25" ht="22.5" customHeight="1" ph="1" x14ac:dyDescent="0.35">
      <c r="C1531" s="13" t="s" ph="1">
        <v>707</v>
      </c>
      <c r="G1531" s="13" t="s" ph="1">
        <v>6483</v>
      </c>
      <c r="H1531" s="13" t="s" ph="1">
        <v>1219</v>
      </c>
      <c r="I1531" s="13" t="s" ph="1">
        <v>7087</v>
      </c>
      <c r="J1531" s="13" t="s" ph="1">
        <v>6483</v>
      </c>
      <c r="K1531" s="13" t="s" ph="1">
        <v>7088</v>
      </c>
      <c r="L1531" s="13" t="s" ph="1">
        <v>4193</v>
      </c>
      <c r="M1531" s="14" t="str" ph="1">
        <f>IFERROR(INDEX([1]!_born[生没年],
MATCH(I1531,[1]!_born[作],0)),"")</f>
        <v/>
      </c>
      <c r="N1531" s="14" t="str" ph="1">
        <f>IFERROR(INDEX([1]!_born[生没年],
MATCH(K1531,[1]!_born[作],0)),"")</f>
        <v/>
      </c>
      <c r="O1531" s="13" t="s" ph="1">
        <v>7089</v>
      </c>
      <c r="T1531" s="13" t="s" ph="1">
        <v>7090</v>
      </c>
      <c r="V1531" s="17" ph="1">
        <v>2200</v>
      </c>
      <c r="W1531" s="17"/>
      <c r="X1531" s="5" t="s" ph="1">
        <v>1291</v>
      </c>
      <c r="Y1531" s="5" ph="1"/>
    </row>
    <row r="1532" spans="1:25" ht="22.5" customHeight="1" ph="1" x14ac:dyDescent="0.35">
      <c r="C1532" s="13" t="s" ph="1">
        <v>1285</v>
      </c>
      <c r="G1532" s="13" t="s" ph="1">
        <v>6483</v>
      </c>
      <c r="H1532" s="13" t="s" ph="1">
        <v>1219</v>
      </c>
      <c r="M1532" s="14" t="str" ph="1">
        <f>IFERROR(INDEX([1]!_born[生没年],
MATCH(I1532,[1]!_born[作],0)),"")</f>
        <v/>
      </c>
      <c r="N1532" s="14" t="str" ph="1">
        <f>IFERROR(INDEX([1]!_born[生没年],
MATCH(K1532,[1]!_born[作],0)),"")</f>
        <v/>
      </c>
      <c r="O1532" s="15" t="s" ph="1">
        <v>7091</v>
      </c>
      <c r="U1532" s="16" t="s" ph="1">
        <v>1217</v>
      </c>
    </row>
    <row r="1533" spans="1:25" s="19" customFormat="1" ht="22.5" customHeight="1" ph="1" x14ac:dyDescent="0.35">
      <c r="A1533" s="107" ph="1"/>
      <c r="B1533" s="18" ph="1"/>
      <c r="C1533" s="19" t="s" ph="1">
        <v>4586</v>
      </c>
      <c r="D1533" s="124" ph="1"/>
      <c r="E1533" s="124" ph="1"/>
      <c r="G1533" s="19" t="s" ph="1">
        <v>4831</v>
      </c>
      <c r="H1533" s="19" t="s" ph="1">
        <v>1219</v>
      </c>
      <c r="I1533" s="19" t="s" ph="1">
        <v>7092</v>
      </c>
      <c r="M1533" s="27" t="str" ph="1">
        <f>IFERROR(INDEX([1]!_born[生没年],
MATCH(I1533,[1]!_born[作],0)),"")</f>
        <v/>
      </c>
      <c r="N1533" s="27" t="str" ph="1">
        <f>IFERROR(INDEX([1]!_born[生没年],
MATCH(K1533,[1]!_born[作],0)),"")</f>
        <v/>
      </c>
      <c r="O1533" s="19" t="s" ph="1">
        <v>7093</v>
      </c>
      <c r="R1533" s="20" ph="1"/>
      <c r="T1533" s="19" t="s" ph="1">
        <v>5067</v>
      </c>
      <c r="U1533" s="20" t="s" ph="1">
        <v>1217</v>
      </c>
      <c r="V1533" s="21" ph="1">
        <v>1400</v>
      </c>
      <c r="W1533" s="21" ph="1">
        <v>0</v>
      </c>
      <c r="X1533" s="19" t="s" ph="1">
        <v>7094</v>
      </c>
      <c r="Y1533" s="19" t="s" ph="1">
        <v>7095</v>
      </c>
    </row>
    <row r="1534" spans="1:25" ht="22.5" customHeight="1" ph="1" x14ac:dyDescent="0.35">
      <c r="C1534" s="13" t="s" ph="1">
        <v>4106</v>
      </c>
      <c r="G1534" s="13" t="s" ph="1">
        <v>6483</v>
      </c>
      <c r="H1534" s="13" t="s" ph="1">
        <v>1219</v>
      </c>
      <c r="I1534" s="15" t="s" ph="1">
        <v>7096</v>
      </c>
      <c r="K1534" s="13" t="s" ph="1">
        <v>7097</v>
      </c>
      <c r="L1534" s="13" t="s" ph="1">
        <v>7098</v>
      </c>
      <c r="M1534" s="14" t="str" ph="1">
        <f>IFERROR(INDEX([1]!_born[生没年],
MATCH(I1534,[1]!_born[作],0)),"")</f>
        <v/>
      </c>
      <c r="N1534" s="14" t="str" ph="1">
        <f>IFERROR(INDEX([1]!_born[生没年],
MATCH(K1534,[1]!_born[作],0)),"")</f>
        <v/>
      </c>
      <c r="O1534" s="15" t="s" ph="1">
        <v>7099</v>
      </c>
      <c r="R1534" s="16" t="s" ph="1">
        <v>1292</v>
      </c>
      <c r="S1534" s="13" t="s" ph="1">
        <v>7100</v>
      </c>
      <c r="T1534" s="13" t="s" ph="1">
        <v>7101</v>
      </c>
      <c r="U1534" s="16" t="s" ph="1">
        <v>1217</v>
      </c>
      <c r="V1534" s="17" t="s" ph="1">
        <v>1293</v>
      </c>
      <c r="W1534" s="17" ph="1">
        <v>0</v>
      </c>
    </row>
    <row r="1535" spans="1:25" ht="22.5" customHeight="1" ph="1" x14ac:dyDescent="0.35">
      <c r="C1535" s="13" t="s" ph="1">
        <v>4106</v>
      </c>
      <c r="G1535" s="13" t="s" ph="1">
        <v>7102</v>
      </c>
      <c r="H1535" s="13" t="s" ph="1">
        <v>1219</v>
      </c>
      <c r="I1535" s="13" t="s" ph="1">
        <v>7103</v>
      </c>
      <c r="K1535" s="13" t="s" ph="1">
        <v>7104</v>
      </c>
      <c r="L1535" s="13" t="s" ph="1">
        <v>7105</v>
      </c>
      <c r="M1535" s="14" t="str" ph="1">
        <f>IFERROR(INDEX([1]!_born[生没年],
MATCH(I1535,[1]!_born[作],0)),"")</f>
        <v/>
      </c>
      <c r="N1535" s="14" t="str" ph="1">
        <f>IFERROR(INDEX([1]!_born[生没年],
MATCH(K1535,[1]!_born[作],0)),"")</f>
        <v/>
      </c>
      <c r="O1535" s="13" t="s" ph="1">
        <v>7106</v>
      </c>
      <c r="R1535" s="16" t="s" ph="1">
        <v>1294</v>
      </c>
      <c r="S1535" s="13" t="s" ph="1">
        <v>7107</v>
      </c>
      <c r="T1535" s="13" t="s" ph="1">
        <v>3780</v>
      </c>
      <c r="U1535" s="16" t="s" ph="1">
        <v>1217</v>
      </c>
      <c r="V1535" s="17" ph="1">
        <v>1500</v>
      </c>
    </row>
    <row r="1536" spans="1:25" ht="22.5" customHeight="1" ph="1" x14ac:dyDescent="0.35">
      <c r="C1536" s="13" t="s" ph="1">
        <v>4106</v>
      </c>
      <c r="G1536" s="13" t="s" ph="1">
        <v>6483</v>
      </c>
      <c r="H1536" s="13" t="s" ph="1">
        <v>1219</v>
      </c>
      <c r="I1536" s="13" t="s" ph="1">
        <v>7108</v>
      </c>
      <c r="K1536" s="13" t="s" ph="1">
        <v>7109</v>
      </c>
      <c r="M1536" s="14" t="str" ph="1">
        <f>IFERROR(INDEX([1]!_born[生没年],
MATCH(I1536,[1]!_born[作],0)),"")</f>
        <v/>
      </c>
      <c r="N1536" s="14" t="str" ph="1">
        <f>IFERROR(INDEX([1]!_born[生没年],
MATCH(K1536,[1]!_born[作],0)),"")</f>
        <v/>
      </c>
      <c r="O1536" s="13" t="s" ph="1">
        <v>7110</v>
      </c>
      <c r="T1536" s="13" t="s" ph="1">
        <v>7111</v>
      </c>
      <c r="U1536" s="16" ph="1">
        <v>34992</v>
      </c>
      <c r="V1536" s="17" ph="1">
        <v>1900</v>
      </c>
      <c r="W1536" s="17" ph="1">
        <v>0</v>
      </c>
      <c r="X1536" s="5" t="s" ph="1">
        <v>7112</v>
      </c>
      <c r="Y1536" s="5" ph="1"/>
    </row>
    <row r="1537" spans="1:25" ht="22.5" customHeight="1" ph="1" x14ac:dyDescent="0.35">
      <c r="C1537" s="13" t="s" ph="1">
        <v>4106</v>
      </c>
      <c r="G1537" s="13" t="s" ph="1">
        <v>3599</v>
      </c>
      <c r="H1537" s="13" t="s" ph="1">
        <v>1219</v>
      </c>
      <c r="I1537" s="13" t="s" ph="1">
        <v>7113</v>
      </c>
      <c r="M1537" s="14" t="str" ph="1">
        <f>IFERROR(INDEX([1]!_born[生没年],
MATCH(I1537,[1]!_born[作],0)),"")</f>
        <v/>
      </c>
      <c r="N1537" s="14" t="str" ph="1">
        <f>IFERROR(INDEX([1]!_born[生没年],
MATCH(K1537,[1]!_born[作],0)),"")</f>
        <v/>
      </c>
      <c r="O1537" s="13" t="s" ph="1">
        <v>7114</v>
      </c>
      <c r="R1537" s="16" t="s" ph="1">
        <v>1295</v>
      </c>
      <c r="S1537" s="13" t="s" ph="1">
        <v>7115</v>
      </c>
      <c r="T1537" s="13" t="s" ph="1">
        <v>7116</v>
      </c>
      <c r="U1537" s="16" t="s" ph="1">
        <v>1217</v>
      </c>
      <c r="V1537" s="17" ph="1">
        <v>350</v>
      </c>
      <c r="W1537" s="17" ph="1">
        <v>0</v>
      </c>
      <c r="Y1537" s="13" t="s" ph="1">
        <v>3635</v>
      </c>
    </row>
    <row r="1538" spans="1:25" ht="22.5" customHeight="1" ph="1" x14ac:dyDescent="0.35">
      <c r="C1538" s="13" t="s" ph="1">
        <v>4106</v>
      </c>
      <c r="G1538" s="13" t="s" ph="1">
        <v>6483</v>
      </c>
      <c r="H1538" s="13" t="s" ph="1">
        <v>1219</v>
      </c>
      <c r="I1538" s="13" t="s" ph="1">
        <v>7117</v>
      </c>
      <c r="K1538" s="13" t="s" ph="1">
        <v>7118</v>
      </c>
      <c r="M1538" s="14" t="str" ph="1">
        <f>IFERROR(INDEX([1]!_born[生没年],
MATCH(I1538,[1]!_born[作],0)),"")</f>
        <v/>
      </c>
      <c r="N1538" s="14" t="str" ph="1">
        <f>IFERROR(INDEX([1]!_born[生没年],
MATCH(K1538,[1]!_born[作],0)),"")</f>
        <v/>
      </c>
      <c r="O1538" s="13" t="s" ph="1">
        <v>7119</v>
      </c>
      <c r="R1538" s="16" t="s" ph="1">
        <v>1296</v>
      </c>
      <c r="T1538" s="13" t="s" ph="1">
        <v>3607</v>
      </c>
      <c r="V1538" s="17" ph="1">
        <v>1300</v>
      </c>
    </row>
    <row r="1539" spans="1:25" ht="22.5" customHeight="1" ph="1" x14ac:dyDescent="0.35">
      <c r="C1539" s="13" t="s" ph="1">
        <v>4106</v>
      </c>
      <c r="G1539" s="13" t="s" ph="1">
        <v>6483</v>
      </c>
      <c r="H1539" s="13" t="s" ph="1">
        <v>1219</v>
      </c>
      <c r="I1539" s="13" t="s" ph="1">
        <v>7117</v>
      </c>
      <c r="K1539" s="13" t="s" ph="1">
        <v>7120</v>
      </c>
      <c r="L1539" s="13" t="s" ph="1">
        <v>4193</v>
      </c>
      <c r="M1539" s="14" t="str" ph="1">
        <f>IFERROR(INDEX([1]!_born[生没年],
MATCH(I1539,[1]!_born[作],0)),"")</f>
        <v/>
      </c>
      <c r="N1539" s="14" t="str" ph="1">
        <f>IFERROR(INDEX([1]!_born[生没年],
MATCH(K1539,[1]!_born[作],0)),"")</f>
        <v/>
      </c>
      <c r="O1539" s="13" t="s" ph="1">
        <v>7121</v>
      </c>
      <c r="R1539" s="16" t="s" ph="1">
        <v>1297</v>
      </c>
      <c r="T1539" s="13" t="s" ph="1">
        <v>7122</v>
      </c>
      <c r="V1539" s="17" ph="1">
        <v>1900</v>
      </c>
    </row>
    <row r="1540" spans="1:25" ht="22.5" customHeight="1" ph="1" x14ac:dyDescent="0.35">
      <c r="C1540" s="13" t="s" ph="1">
        <v>4106</v>
      </c>
      <c r="G1540" s="13" t="s" ph="1">
        <v>4758</v>
      </c>
      <c r="H1540" s="13" t="s" ph="1">
        <v>1219</v>
      </c>
      <c r="I1540" s="13" t="s" ph="1">
        <v>7117</v>
      </c>
      <c r="M1540" s="14" t="str" ph="1">
        <f>IFERROR(INDEX([1]!_born[生没年],
MATCH(I1540,[1]!_born[作],0)),"")</f>
        <v/>
      </c>
      <c r="N1540" s="14" t="str" ph="1">
        <f>IFERROR(INDEX([1]!_born[生没年],
MATCH(K1540,[1]!_born[作],0)),"")</f>
        <v/>
      </c>
      <c r="O1540" s="13" t="s" ph="1">
        <v>550</v>
      </c>
      <c r="R1540" s="16" t="s" ph="1">
        <v>1230</v>
      </c>
      <c r="T1540" s="13" t="s" ph="1">
        <v>3780</v>
      </c>
      <c r="U1540" s="16" ph="1">
        <v>36541</v>
      </c>
      <c r="V1540" s="17" ph="1">
        <v>1300</v>
      </c>
    </row>
    <row r="1541" spans="1:25" ht="22.5" customHeight="1" ph="1" x14ac:dyDescent="0.35">
      <c r="A1541" s="106" t="s" ph="1">
        <v>2977</v>
      </c>
      <c r="B1541" s="5" t="s" ph="1">
        <v>2964</v>
      </c>
      <c r="C1541" s="13" t="s" ph="1">
        <v>25</v>
      </c>
      <c r="G1541" s="13" t="s" ph="1">
        <v>6483</v>
      </c>
      <c r="H1541" s="13" t="s" ph="1">
        <v>61</v>
      </c>
      <c r="I1541" s="13" t="s" ph="1">
        <v>7117</v>
      </c>
      <c r="M1541" s="14" t="str" ph="1">
        <f>IFERROR(INDEX([1]!_born[生没年],
MATCH(I1541,[1]!_born[作],0)),"")</f>
        <v/>
      </c>
      <c r="N1541" s="14" t="str" ph="1">
        <f>IFERROR(INDEX([1]!_born[生没年],
MATCH(K1541,[1]!_born[作],0)),"")</f>
        <v/>
      </c>
      <c r="O1541" s="13" t="s" ph="1">
        <v>7123</v>
      </c>
      <c r="R1541" s="16" t="s" ph="1">
        <v>2978</v>
      </c>
      <c r="T1541" s="13" t="s" ph="1">
        <v>3768</v>
      </c>
      <c r="U1541" s="16" t="s" ph="1">
        <v>2966</v>
      </c>
      <c r="V1541" s="17" ph="1">
        <f>2000*1.08</f>
        <v>2160</v>
      </c>
      <c r="W1541" s="17" ph="1">
        <f>2000*1.08</f>
        <v>2160</v>
      </c>
      <c r="Y1541" s="13" t="s" ph="1">
        <v>6627</v>
      </c>
    </row>
    <row r="1542" spans="1:25" ht="22.5" customHeight="1" ph="1" x14ac:dyDescent="0.35">
      <c r="C1542" s="13" t="s" ph="1">
        <v>4106</v>
      </c>
      <c r="G1542" s="13" t="s" ph="1">
        <v>6483</v>
      </c>
      <c r="H1542" s="13" t="s" ph="1">
        <v>1219</v>
      </c>
      <c r="I1542" s="13" t="s" ph="1">
        <v>574</v>
      </c>
      <c r="K1542" s="13" t="s" ph="1">
        <v>7124</v>
      </c>
      <c r="L1542" s="13" t="s" ph="1">
        <v>4193</v>
      </c>
      <c r="M1542" s="14" t="str" ph="1">
        <f>IFERROR(INDEX([1]!_born[生没年],
MATCH(I1542,[1]!_born[作],0)),"")</f>
        <v/>
      </c>
      <c r="N1542" s="14" t="str" ph="1">
        <f>IFERROR(INDEX([1]!_born[生没年],
MATCH(K1542,[1]!_born[作],0)),"")</f>
        <v/>
      </c>
      <c r="O1542" s="13" t="s" ph="1">
        <v>7125</v>
      </c>
      <c r="R1542" s="16" t="s" ph="1">
        <v>1238</v>
      </c>
      <c r="T1542" s="13" t="s" ph="1">
        <v>7126</v>
      </c>
      <c r="V1542" s="17" ph="1">
        <f>2300*1.05</f>
        <v>2415</v>
      </c>
    </row>
    <row r="1543" spans="1:25" ht="22.5" customHeight="1" ph="1" x14ac:dyDescent="0.35">
      <c r="C1543" s="13" t="s" ph="1">
        <v>4106</v>
      </c>
      <c r="G1543" s="13" t="s" ph="1">
        <v>6483</v>
      </c>
      <c r="H1543" s="13" t="s" ph="1">
        <v>1219</v>
      </c>
      <c r="I1543" s="13" t="s" ph="1">
        <v>7127</v>
      </c>
      <c r="K1543" s="13" t="s" ph="1">
        <v>7128</v>
      </c>
      <c r="L1543" s="13" t="s" ph="1">
        <v>3616</v>
      </c>
      <c r="M1543" s="14" t="str" ph="1">
        <f>IFERROR(INDEX([1]!_born[生没年],
MATCH(I1543,[1]!_born[作],0)),"")</f>
        <v/>
      </c>
      <c r="N1543" s="14" t="str" ph="1">
        <f>IFERROR(INDEX([1]!_born[生没年],
MATCH(K1543,[1]!_born[作],0)),"")</f>
        <v/>
      </c>
      <c r="O1543" s="13" t="s" ph="1">
        <v>7129</v>
      </c>
      <c r="R1543" s="16" t="s" ph="1">
        <v>1298</v>
      </c>
      <c r="T1543" s="13" t="s" ph="1">
        <v>4359</v>
      </c>
      <c r="U1543" s="16" t="s" ph="1">
        <v>1217</v>
      </c>
      <c r="V1543" s="17" ph="1">
        <v>2000</v>
      </c>
    </row>
    <row r="1544" spans="1:25" ht="22.5" customHeight="1" ph="1" x14ac:dyDescent="0.35">
      <c r="C1544" s="13" t="s" ph="1">
        <v>4106</v>
      </c>
      <c r="G1544" s="13" t="s" ph="1">
        <v>6483</v>
      </c>
      <c r="H1544" s="13" t="s" ph="1">
        <v>1219</v>
      </c>
      <c r="I1544" s="13" t="s" ph="1">
        <v>7130</v>
      </c>
      <c r="M1544" s="14" t="str" ph="1">
        <f>IFERROR(INDEX([1]!_born[生没年],
MATCH(I1544,[1]!_born[作],0)),"")</f>
        <v/>
      </c>
      <c r="N1544" s="14" t="str" ph="1">
        <f>IFERROR(INDEX([1]!_born[生没年],
MATCH(K1544,[1]!_born[作],0)),"")</f>
        <v/>
      </c>
      <c r="O1544" s="15" t="s" ph="1">
        <v>7131</v>
      </c>
      <c r="R1544" s="16" t="s" ph="1">
        <v>1298</v>
      </c>
      <c r="T1544" s="13" t="s" ph="1">
        <v>7132</v>
      </c>
      <c r="U1544" s="16" t="s" ph="1">
        <v>1217</v>
      </c>
      <c r="V1544" s="17" ph="1">
        <v>1800</v>
      </c>
    </row>
    <row r="1545" spans="1:25" ht="22.5" customHeight="1" ph="1" x14ac:dyDescent="0.35">
      <c r="A1545" s="106" t="s" ph="1">
        <v>1299</v>
      </c>
      <c r="B1545" s="5" t="s" ph="1">
        <v>1300</v>
      </c>
      <c r="C1545" s="13" t="s" ph="1">
        <v>4106</v>
      </c>
      <c r="G1545" s="13" t="s" ph="1">
        <v>6483</v>
      </c>
      <c r="H1545" s="13" t="s" ph="1">
        <v>1219</v>
      </c>
      <c r="I1545" s="13" t="s" ph="1">
        <v>7133</v>
      </c>
      <c r="M1545" s="14" t="str" ph="1">
        <f>IFERROR(INDEX([1]!_born[生没年],
MATCH(I1545,[1]!_born[作],0)),"")</f>
        <v/>
      </c>
      <c r="N1545" s="14" t="str" ph="1">
        <f>IFERROR(INDEX([1]!_born[生没年],
MATCH(K1545,[1]!_born[作],0)),"")</f>
        <v/>
      </c>
      <c r="O1545" s="13" t="s" ph="1">
        <v>7134</v>
      </c>
      <c r="R1545" s="16" t="s" ph="1">
        <v>1301</v>
      </c>
      <c r="T1545" s="13" t="s" ph="1">
        <v>7135</v>
      </c>
      <c r="U1545" s="16" t="s" ph="1">
        <v>1217</v>
      </c>
      <c r="V1545" s="17" ph="1">
        <f>1200*1.03</f>
        <v>1236</v>
      </c>
      <c r="Y1545" s="13" t="s" ph="1">
        <v>7136</v>
      </c>
    </row>
    <row r="1546" spans="1:25" ht="22.5" customHeight="1" ph="1" x14ac:dyDescent="0.35">
      <c r="C1546" s="13" t="s" ph="1">
        <v>1285</v>
      </c>
      <c r="G1546" s="13" t="s" ph="1">
        <v>6483</v>
      </c>
      <c r="H1546" s="13" t="s" ph="1">
        <v>1219</v>
      </c>
      <c r="I1546" s="13" t="s" ph="1">
        <v>7137</v>
      </c>
      <c r="M1546" s="14" t="str" ph="1">
        <f>IFERROR(INDEX([1]!_born[生没年],
MATCH(I1546,[1]!_born[作],0)),"")</f>
        <v/>
      </c>
      <c r="N1546" s="14" t="str" ph="1">
        <f>IFERROR(INDEX([1]!_born[生没年],
MATCH(K1546,[1]!_born[作],0)),"")</f>
        <v/>
      </c>
      <c r="O1546" s="13" t="s" ph="1">
        <v>7138</v>
      </c>
      <c r="S1546" s="13" t="s" ph="1">
        <v>7139</v>
      </c>
      <c r="T1546" s="13" t="s" ph="1">
        <v>7140</v>
      </c>
      <c r="V1546" s="17" ph="1">
        <v>2500</v>
      </c>
      <c r="W1546" s="17" ph="1">
        <v>750</v>
      </c>
    </row>
    <row r="1547" spans="1:25" ht="22.5" customHeight="1" ph="1" x14ac:dyDescent="0.35">
      <c r="C1547" s="13" t="s" ph="1">
        <v>1285</v>
      </c>
      <c r="G1547" s="13" t="s" ph="1">
        <v>6483</v>
      </c>
      <c r="H1547" s="13" t="s" ph="1">
        <v>1219</v>
      </c>
      <c r="I1547" s="13" t="s" ph="1">
        <v>7141</v>
      </c>
      <c r="K1547" s="13" t="s" ph="1">
        <v>7142</v>
      </c>
      <c r="L1547" s="13" t="s" ph="1">
        <v>4699</v>
      </c>
      <c r="M1547" s="14" t="str" ph="1">
        <f>IFERROR(INDEX([1]!_born[生没年],
MATCH(I1547,[1]!_born[作],0)),"")</f>
        <v/>
      </c>
      <c r="N1547" s="14" t="str" ph="1">
        <f>IFERROR(INDEX([1]!_born[生没年],
MATCH(K1547,[1]!_born[作],0)),"")</f>
        <v/>
      </c>
      <c r="O1547" s="13" t="s" ph="1">
        <v>7143</v>
      </c>
      <c r="T1547" s="13" t="s" ph="1">
        <v>7140</v>
      </c>
      <c r="V1547" s="17" ph="1">
        <v>2500</v>
      </c>
    </row>
    <row r="1548" spans="1:25" ht="22.5" customHeight="1" ph="1" x14ac:dyDescent="0.35">
      <c r="C1548" s="13" t="s" ph="1">
        <v>25</v>
      </c>
      <c r="G1548" s="13" t="s" ph="1">
        <v>7144</v>
      </c>
      <c r="H1548" s="13" t="s" ph="1">
        <v>61</v>
      </c>
      <c r="I1548" s="13" t="s" ph="1">
        <v>7145</v>
      </c>
      <c r="M1548" s="14" t="str" ph="1">
        <f>IFERROR(INDEX([1]!_born[生没年],
MATCH(I1548,[1]!_born[作],0)),"")</f>
        <v/>
      </c>
      <c r="N1548" s="14" t="str" ph="1">
        <f>IFERROR(INDEX([1]!_born[生没年],
MATCH(K1548,[1]!_born[作],0)),"")</f>
        <v/>
      </c>
      <c r="O1548" s="13" t="s" ph="1">
        <v>7146</v>
      </c>
      <c r="R1548" s="16" ph="1">
        <v>45108</v>
      </c>
      <c r="T1548" s="13" t="s" ph="1">
        <v>7147</v>
      </c>
      <c r="U1548" s="16" t="s" ph="1">
        <v>3193</v>
      </c>
      <c r="V1548" s="17" t="s" ph="1">
        <v>1225</v>
      </c>
      <c r="W1548" s="17">
        <v>0</v>
      </c>
      <c r="X1548" s="13" t="s" ph="1">
        <v>7148</v>
      </c>
      <c r="Y1548" s="5" ph="1"/>
    </row>
    <row r="1549" spans="1:25" s="7" customFormat="1" ht="22.5" customHeight="1" ph="1" x14ac:dyDescent="0.35">
      <c r="A1549" s="106" ph="1"/>
      <c r="B1549" s="5" ph="1"/>
      <c r="C1549" s="9" t="s" ph="1">
        <v>1285</v>
      </c>
      <c r="D1549" s="122" ph="1"/>
      <c r="E1549" s="122" ph="1"/>
      <c r="G1549" s="8" t="s" ph="1">
        <v>6483</v>
      </c>
      <c r="H1549" s="9" t="s" ph="1">
        <v>1269</v>
      </c>
      <c r="M1549" s="7" t="str" ph="1">
        <f>IFERROR(INDEX([1]!_born[生没年],
MATCH(I1549,[1]!_born[作],0)),"")</f>
        <v/>
      </c>
      <c r="N1549" s="7" t="str" ph="1">
        <f>IFERROR(INDEX([1]!_born[生没年],
MATCH(K1549,[1]!_born[作],0)),"")</f>
        <v/>
      </c>
      <c r="R1549" s="10" ph="1"/>
      <c r="U1549" s="10" ph="1"/>
      <c r="V1549" s="11" ph="1"/>
      <c r="W1549" s="11" ph="1"/>
    </row>
    <row r="1550" spans="1:25" ht="22.5" customHeight="1" ph="1" x14ac:dyDescent="0.35">
      <c r="C1550" s="13" t="s" ph="1">
        <v>4106</v>
      </c>
      <c r="G1550" s="13" t="s" ph="1">
        <v>6483</v>
      </c>
      <c r="H1550" s="13" t="s" ph="1">
        <v>1269</v>
      </c>
      <c r="I1550" s="15" t="s" ph="1">
        <v>519</v>
      </c>
      <c r="J1550" s="15" ph="1"/>
      <c r="K1550" s="13" t="s" ph="1">
        <v>7149</v>
      </c>
      <c r="L1550" s="13" t="s" ph="1">
        <v>7150</v>
      </c>
      <c r="M1550" s="14" t="str" ph="1">
        <f>IFERROR(INDEX([1]!_born[生没年],
MATCH(I1550,[1]!_born[作],0)),"")</f>
        <v/>
      </c>
      <c r="N1550" s="14" t="str" ph="1">
        <f>IFERROR(INDEX([1]!_born[生没年],
MATCH(K1550,[1]!_born[作],0)),"")</f>
        <v/>
      </c>
      <c r="O1550" s="13" t="s" ph="1">
        <v>7151</v>
      </c>
      <c r="R1550" s="16" t="s" ph="1">
        <v>7152</v>
      </c>
      <c r="T1550" s="13" t="s" ph="1">
        <v>3768</v>
      </c>
      <c r="V1550" s="17" t="s" ph="1">
        <v>1302</v>
      </c>
      <c r="W1550" s="17" ph="1">
        <v>2000</v>
      </c>
      <c r="X1550" s="5" t="s" ph="1">
        <v>6072</v>
      </c>
      <c r="Y1550" s="5" t="s" ph="1">
        <v>7153</v>
      </c>
    </row>
    <row r="1551" spans="1:25" ht="22.5" customHeight="1" ph="1" x14ac:dyDescent="0.35">
      <c r="C1551" s="13" t="s" ph="1">
        <v>4106</v>
      </c>
      <c r="G1551" s="13" t="s" ph="1">
        <v>6483</v>
      </c>
      <c r="H1551" s="13" t="s" ph="1">
        <v>1269</v>
      </c>
      <c r="I1551" s="15" t="s" ph="1">
        <v>519</v>
      </c>
      <c r="J1551" s="15" ph="1"/>
      <c r="K1551" s="13" t="s" ph="1">
        <v>7154</v>
      </c>
      <c r="L1551" s="13" t="s" ph="1">
        <v>7150</v>
      </c>
      <c r="M1551" s="14" t="str" ph="1">
        <f>IFERROR(INDEX([1]!_born[生没年],
MATCH(I1551,[1]!_born[作],0)),"")</f>
        <v/>
      </c>
      <c r="N1551" s="14" t="str" ph="1">
        <f>IFERROR(INDEX([1]!_born[生没年],
MATCH(K1551,[1]!_born[作],0)),"")</f>
        <v/>
      </c>
      <c r="O1551" s="13" t="s" ph="1">
        <v>7155</v>
      </c>
      <c r="T1551" s="13" t="s" ph="1">
        <v>3768</v>
      </c>
      <c r="V1551" s="17" ph="1">
        <v>2800</v>
      </c>
    </row>
    <row r="1552" spans="1:25" ht="22.5" customHeight="1" ph="1" x14ac:dyDescent="0.35">
      <c r="C1552" s="13" t="s" ph="1">
        <v>4106</v>
      </c>
      <c r="G1552" s="13" t="s" ph="1">
        <v>6483</v>
      </c>
      <c r="H1552" s="13" t="s" ph="1">
        <v>1257</v>
      </c>
      <c r="I1552" s="15" t="s" ph="1">
        <v>240</v>
      </c>
      <c r="J1552" s="15" ph="1"/>
      <c r="K1552" s="13" t="s" ph="1">
        <v>7156</v>
      </c>
      <c r="M1552" s="14" t="str" ph="1">
        <f>IFERROR(INDEX([1]!_born[生没年],
MATCH(I1552,[1]!_born[作],0)),"")</f>
        <v/>
      </c>
      <c r="N1552" s="14" t="str" ph="1">
        <f>IFERROR(INDEX([1]!_born[生没年],
MATCH(K1552,[1]!_born[作],0)),"")</f>
        <v/>
      </c>
      <c r="O1552" s="13" t="s" ph="1">
        <v>7157</v>
      </c>
      <c r="R1552" s="16" t="s" ph="1">
        <v>1303</v>
      </c>
      <c r="T1552" s="13" t="s" ph="1">
        <v>7158</v>
      </c>
      <c r="V1552" s="17" ph="1">
        <v>1957</v>
      </c>
    </row>
    <row r="1553" spans="1:25" ht="22.5" customHeight="1" ph="1" x14ac:dyDescent="0.35">
      <c r="C1553" s="13" t="s" ph="1">
        <v>4106</v>
      </c>
      <c r="G1553" s="13" t="s" ph="1">
        <v>7159</v>
      </c>
      <c r="H1553" s="13" t="s" ph="1">
        <v>1257</v>
      </c>
      <c r="I1553" s="15" t="s" ph="1">
        <v>694</v>
      </c>
      <c r="J1553" s="15" ph="1"/>
      <c r="K1553" s="13" t="s" ph="1">
        <v>7160</v>
      </c>
      <c r="M1553" s="14" t="str" ph="1">
        <f>IFERROR(INDEX([1]!_born[生没年],
MATCH(I1553,[1]!_born[作],0)),"")</f>
        <v/>
      </c>
      <c r="N1553" s="14" t="str" ph="1">
        <f>IFERROR(INDEX([1]!_born[生没年],
MATCH(K1553,[1]!_born[作],0)),"")</f>
        <v/>
      </c>
      <c r="O1553" s="13" t="s" ph="1">
        <v>633</v>
      </c>
      <c r="R1553" s="16" t="s" ph="1">
        <v>1304</v>
      </c>
      <c r="S1553" s="13" t="s" ph="1">
        <v>7161</v>
      </c>
      <c r="T1553" s="13" t="s" ph="1">
        <v>3768</v>
      </c>
      <c r="V1553" s="17" ph="1">
        <v>600</v>
      </c>
    </row>
    <row r="1554" spans="1:25" ht="22.5" customHeight="1" ph="1" x14ac:dyDescent="0.35">
      <c r="C1554" s="13" t="s" ph="1">
        <v>4106</v>
      </c>
      <c r="G1554" s="13" t="s" ph="1">
        <v>7162</v>
      </c>
      <c r="H1554" s="13" t="s" ph="1">
        <v>1269</v>
      </c>
      <c r="I1554" s="13" t="s" ph="1">
        <v>7163</v>
      </c>
      <c r="J1554" s="13" t="s" ph="1">
        <v>7164</v>
      </c>
      <c r="M1554" s="14" t="str" ph="1">
        <f>IFERROR(INDEX([1]!_born[生没年],
MATCH(I1554,[1]!_born[作],0)),"")</f>
        <v/>
      </c>
      <c r="N1554" s="14" t="str" ph="1">
        <f>IFERROR(INDEX([1]!_born[生没年],
MATCH(K1554,[1]!_born[作],0)),"")</f>
        <v/>
      </c>
      <c r="O1554" s="13" t="s" ph="1">
        <v>7165</v>
      </c>
      <c r="R1554" s="16" t="s" ph="1">
        <v>1261</v>
      </c>
      <c r="T1554" s="13" t="s" ph="1">
        <v>4228</v>
      </c>
      <c r="V1554" s="17" ph="1">
        <v>1800</v>
      </c>
      <c r="W1554" s="17" ph="1">
        <v>1500</v>
      </c>
      <c r="X1554" s="5" t="s" ph="1">
        <v>4937</v>
      </c>
      <c r="Y1554" s="5" ph="1"/>
    </row>
    <row r="1555" spans="1:25" ht="22.5" customHeight="1" ph="1" x14ac:dyDescent="0.35">
      <c r="A1555" s="106" t="s" ph="1">
        <v>1305</v>
      </c>
      <c r="B1555" s="5" t="s" ph="1">
        <v>1306</v>
      </c>
      <c r="C1555" s="13" t="s" ph="1">
        <v>4106</v>
      </c>
      <c r="G1555" s="13" t="s" ph="1">
        <v>6483</v>
      </c>
      <c r="H1555" s="13" t="s" ph="1">
        <v>1269</v>
      </c>
      <c r="I1555" s="15" t="s" ph="1">
        <v>269</v>
      </c>
      <c r="J1555" s="15" ph="1"/>
      <c r="K1555" s="15" t="s" ph="1">
        <v>7166</v>
      </c>
      <c r="L1555" s="13" t="s" ph="1">
        <v>3628</v>
      </c>
      <c r="M1555" s="14" t="str" ph="1">
        <f>IFERROR(INDEX([1]!_born[生没年],
MATCH(I1555,[1]!_born[作],0)),"")</f>
        <v/>
      </c>
      <c r="N1555" s="14" t="str" ph="1">
        <f>IFERROR(INDEX([1]!_born[生没年],
MATCH(K1555,[1]!_born[作],0)),"")</f>
        <v/>
      </c>
      <c r="O1555" s="15" t="s" ph="1">
        <v>7167</v>
      </c>
      <c r="R1555" s="16" t="s" ph="1">
        <v>1307</v>
      </c>
      <c r="T1555" s="13" t="s" ph="1">
        <v>7168</v>
      </c>
      <c r="U1555" s="16" t="s" ph="1">
        <v>1217</v>
      </c>
      <c r="V1555" s="17" ph="1">
        <f>2233*1.03</f>
        <v>2299.9900000000002</v>
      </c>
    </row>
    <row r="1556" spans="1:25" ht="22.5" customHeight="1" ph="1" x14ac:dyDescent="0.35">
      <c r="C1556" s="13" t="s" ph="1">
        <v>4106</v>
      </c>
      <c r="G1556" s="13" t="s" ph="1">
        <v>6483</v>
      </c>
      <c r="H1556" s="13" t="s" ph="1">
        <v>1269</v>
      </c>
      <c r="I1556" s="13" t="s" ph="1">
        <v>6567</v>
      </c>
      <c r="K1556" s="13" t="s" ph="1">
        <v>7169</v>
      </c>
      <c r="L1556" s="13" t="s" ph="1">
        <v>3628</v>
      </c>
      <c r="M1556" s="14" t="str" ph="1">
        <f>IFERROR(INDEX([1]!_born[生没年],
MATCH(I1556,[1]!_born[作],0)),"")</f>
        <v/>
      </c>
      <c r="N1556" s="14" t="str" ph="1">
        <f>IFERROR(INDEX([1]!_born[生没年],
MATCH(K1556,[1]!_born[作],0)),"")</f>
        <v/>
      </c>
      <c r="O1556" s="13" t="s" ph="1">
        <v>7170</v>
      </c>
      <c r="R1556" s="16" ph="1">
        <v>1978</v>
      </c>
      <c r="T1556" s="13" t="s" ph="1">
        <v>5180</v>
      </c>
      <c r="V1556" s="17" ph="1">
        <v>3708</v>
      </c>
      <c r="W1556" s="17" ph="1">
        <v>2000</v>
      </c>
    </row>
    <row r="1557" spans="1:25" ht="22.5" customHeight="1" ph="1" x14ac:dyDescent="0.35">
      <c r="C1557" s="13" t="s" ph="1">
        <v>1285</v>
      </c>
      <c r="G1557" s="13" t="s" ph="1">
        <v>6483</v>
      </c>
      <c r="H1557" s="13" t="s" ph="1">
        <v>1269</v>
      </c>
      <c r="I1557" s="13" t="s" ph="1">
        <v>658</v>
      </c>
      <c r="K1557" s="13" t="s" ph="1">
        <v>5204</v>
      </c>
      <c r="L1557" s="13" t="s" ph="1">
        <v>3628</v>
      </c>
      <c r="M1557" s="14" t="str" ph="1">
        <f>IFERROR(INDEX([1]!_born[生没年],
MATCH(I1557,[1]!_born[作],0)),"")</f>
        <v/>
      </c>
      <c r="N1557" s="14" t="str" ph="1">
        <f>IFERROR(INDEX([1]!_born[生没年],
MATCH(K1557,[1]!_born[作],0)),"")</f>
        <v/>
      </c>
      <c r="O1557" s="13" t="s" ph="1">
        <v>7171</v>
      </c>
      <c r="R1557" s="16" t="s" ph="1">
        <v>1308</v>
      </c>
      <c r="U1557" s="16" ph="1">
        <v>37017</v>
      </c>
      <c r="V1557" s="17" ph="1">
        <v>3800</v>
      </c>
      <c r="W1557" s="17" ph="1">
        <v>3800</v>
      </c>
      <c r="X1557" s="13" t="s" ph="1">
        <v>3802</v>
      </c>
    </row>
    <row r="1558" spans="1:25" ht="22.5" customHeight="1" ph="1" x14ac:dyDescent="0.35">
      <c r="C1558" s="13" t="s" ph="1">
        <v>4106</v>
      </c>
      <c r="G1558" s="13" t="s" ph="1">
        <v>6483</v>
      </c>
      <c r="H1558" s="13" t="s" ph="1">
        <v>1269</v>
      </c>
      <c r="I1558" s="13" t="s" ph="1">
        <v>590</v>
      </c>
      <c r="K1558" s="13" t="s" ph="1">
        <v>7172</v>
      </c>
      <c r="L1558" s="13" t="s" ph="1">
        <v>3628</v>
      </c>
      <c r="M1558" s="14" t="str" ph="1">
        <f>IFERROR(INDEX([1]!_born[生没年],
MATCH(I1558,[1]!_born[作],0)),"")</f>
        <v/>
      </c>
      <c r="N1558" s="14" t="str" ph="1">
        <f>IFERROR(INDEX([1]!_born[生没年],
MATCH(K1558,[1]!_born[作],0)),"")</f>
        <v/>
      </c>
      <c r="O1558" s="13" t="s" ph="1">
        <v>7173</v>
      </c>
      <c r="R1558" s="16" ph="1">
        <v>1992</v>
      </c>
      <c r="T1558" s="13" t="s" ph="1">
        <v>558</v>
      </c>
      <c r="V1558" s="17" ph="1">
        <v>3914</v>
      </c>
    </row>
    <row r="1559" spans="1:25" s="19" customFormat="1" ht="22.5" customHeight="1" ph="1" x14ac:dyDescent="0.35">
      <c r="A1559" s="107" ph="1"/>
      <c r="B1559" s="18" ph="1"/>
      <c r="C1559" s="19" t="s" ph="1">
        <v>4586</v>
      </c>
      <c r="D1559" s="124" ph="1"/>
      <c r="E1559" s="124" ph="1"/>
      <c r="G1559" s="19" t="s" ph="1">
        <v>1309</v>
      </c>
      <c r="H1559" s="19" t="s" ph="1">
        <v>1269</v>
      </c>
      <c r="I1559" s="19" t="s" ph="1">
        <v>591</v>
      </c>
      <c r="K1559" s="19" t="s" ph="1">
        <v>7174</v>
      </c>
      <c r="L1559" s="19" t="s" ph="1">
        <v>4535</v>
      </c>
      <c r="M1559" s="27" t="str" ph="1">
        <f>IFERROR(INDEX([1]!_born[生没年],
MATCH(I1559,[1]!_born[作],0)),"")</f>
        <v/>
      </c>
      <c r="N1559" s="27" t="str" ph="1">
        <f>IFERROR(INDEX([1]!_born[生没年],
MATCH(K1559,[1]!_born[作],0)),"")</f>
        <v/>
      </c>
      <c r="O1559" s="19" t="s" ph="1">
        <v>7175</v>
      </c>
      <c r="R1559" s="20" t="s" ph="1">
        <v>1310</v>
      </c>
      <c r="T1559" s="19" t="s" ph="1">
        <v>7176</v>
      </c>
      <c r="U1559" s="20" ph="1"/>
      <c r="V1559" s="21" ph="1"/>
      <c r="W1559" s="21" ph="1"/>
      <c r="Y1559" s="19" t="s" ph="1">
        <v>4617</v>
      </c>
    </row>
    <row r="1560" spans="1:25" s="19" customFormat="1" ht="22.5" customHeight="1" ph="1" x14ac:dyDescent="0.35">
      <c r="A1560" s="107" ph="1"/>
      <c r="B1560" s="18" ph="1"/>
      <c r="C1560" s="19" t="s" ph="1">
        <v>4586</v>
      </c>
      <c r="D1560" s="124" ph="1"/>
      <c r="E1560" s="124" ph="1"/>
      <c r="G1560" s="19" t="s" ph="1">
        <v>1309</v>
      </c>
      <c r="H1560" s="19" t="s" ph="1">
        <v>1269</v>
      </c>
      <c r="I1560" s="19" t="s" ph="1">
        <v>591</v>
      </c>
      <c r="K1560" s="19" t="s" ph="1">
        <v>7174</v>
      </c>
      <c r="L1560" s="19" t="s" ph="1">
        <v>4535</v>
      </c>
      <c r="M1560" s="27" t="str" ph="1">
        <f>IFERROR(INDEX([1]!_born[生没年],
MATCH(I1560,[1]!_born[作],0)),"")</f>
        <v/>
      </c>
      <c r="N1560" s="27" t="str" ph="1">
        <f>IFERROR(INDEX([1]!_born[生没年],
MATCH(K1560,[1]!_born[作],0)),"")</f>
        <v/>
      </c>
      <c r="O1560" s="19" t="s" ph="1">
        <v>7177</v>
      </c>
      <c r="R1560" s="20" ph="1">
        <v>1961</v>
      </c>
      <c r="T1560" s="19" t="s" ph="1">
        <v>7176</v>
      </c>
      <c r="U1560" s="20" ph="1"/>
      <c r="V1560" s="21" ph="1"/>
      <c r="W1560" s="21" ph="1"/>
      <c r="Y1560" s="19" t="s" ph="1">
        <v>4617</v>
      </c>
    </row>
    <row r="1561" spans="1:25" ht="22.5" customHeight="1" ph="1" x14ac:dyDescent="0.35">
      <c r="C1561" s="13" t="s" ph="1">
        <v>4106</v>
      </c>
      <c r="G1561" s="13" t="s" ph="1">
        <v>7178</v>
      </c>
      <c r="H1561" s="13" t="s" ph="1">
        <v>1269</v>
      </c>
      <c r="I1561" s="13" t="s" ph="1">
        <v>591</v>
      </c>
      <c r="K1561" s="13" t="s" ph="1">
        <v>7179</v>
      </c>
      <c r="L1561" s="13" t="s" ph="1">
        <v>3628</v>
      </c>
      <c r="M1561" s="14" t="str" ph="1">
        <f>IFERROR(INDEX([1]!_born[生没年],
MATCH(I1561,[1]!_born[作],0)),"")</f>
        <v/>
      </c>
      <c r="N1561" s="14" t="str" ph="1">
        <f>IFERROR(INDEX([1]!_born[生没年],
MATCH(K1561,[1]!_born[作],0)),"")</f>
        <v/>
      </c>
      <c r="O1561" s="13" t="s" ph="1">
        <v>7180</v>
      </c>
      <c r="R1561" s="16" t="s" ph="1">
        <v>1311</v>
      </c>
      <c r="T1561" s="13" t="s" ph="1">
        <v>4301</v>
      </c>
      <c r="V1561" s="17" ph="1">
        <v>1300</v>
      </c>
    </row>
    <row r="1562" spans="1:25" ht="22.5" customHeight="1" ph="1" x14ac:dyDescent="0.35">
      <c r="C1562" s="13" t="s" ph="1">
        <v>4106</v>
      </c>
      <c r="G1562" s="13" t="s" ph="1">
        <v>7178</v>
      </c>
      <c r="H1562" s="13" t="s" ph="1">
        <v>1269</v>
      </c>
      <c r="I1562" s="13" t="s" ph="1">
        <v>591</v>
      </c>
      <c r="K1562" s="13" t="s" ph="1">
        <v>7179</v>
      </c>
      <c r="L1562" s="13" t="s" ph="1">
        <v>3628</v>
      </c>
      <c r="M1562" s="14" t="str" ph="1">
        <f>IFERROR(INDEX([1]!_born[生没年],
MATCH(I1562,[1]!_born[作],0)),"")</f>
        <v/>
      </c>
      <c r="N1562" s="14" t="str" ph="1">
        <f>IFERROR(INDEX([1]!_born[生没年],
MATCH(K1562,[1]!_born[作],0)),"")</f>
        <v/>
      </c>
      <c r="O1562" s="13" t="s" ph="1">
        <v>7181</v>
      </c>
      <c r="R1562" s="16" t="s" ph="1">
        <v>1312</v>
      </c>
      <c r="T1562" s="13" t="s" ph="1">
        <v>4301</v>
      </c>
      <c r="V1562" s="17" ph="1">
        <v>1400</v>
      </c>
    </row>
    <row r="1563" spans="1:25" ht="22.5" customHeight="1" ph="1" x14ac:dyDescent="0.35">
      <c r="C1563" s="13" t="s" ph="1">
        <v>4106</v>
      </c>
      <c r="G1563" s="13" t="s" ph="1">
        <v>7178</v>
      </c>
      <c r="H1563" s="13" t="s" ph="1">
        <v>1269</v>
      </c>
      <c r="I1563" s="13" t="s" ph="1">
        <v>591</v>
      </c>
      <c r="K1563" s="13" t="s" ph="1">
        <v>7182</v>
      </c>
      <c r="L1563" s="13" t="s" ph="1">
        <v>3628</v>
      </c>
      <c r="M1563" s="14" t="str" ph="1">
        <f>IFERROR(INDEX([1]!_born[生没年],
MATCH(I1563,[1]!_born[作],0)),"")</f>
        <v/>
      </c>
      <c r="N1563" s="14" t="str" ph="1">
        <f>IFERROR(INDEX([1]!_born[生没年],
MATCH(K1563,[1]!_born[作],0)),"")</f>
        <v/>
      </c>
      <c r="O1563" s="13" t="s" ph="1">
        <v>7183</v>
      </c>
      <c r="R1563" s="16" t="s" ph="1">
        <v>1313</v>
      </c>
      <c r="T1563" s="13" t="s" ph="1">
        <v>4289</v>
      </c>
      <c r="V1563" s="17" ph="1">
        <v>1400</v>
      </c>
    </row>
    <row r="1564" spans="1:25" ht="22.5" customHeight="1" ph="1" x14ac:dyDescent="0.35">
      <c r="C1564" s="13" t="s" ph="1">
        <v>5828</v>
      </c>
      <c r="G1564" s="13" t="s" ph="1">
        <v>7184</v>
      </c>
      <c r="H1564" s="13" t="s" ph="1">
        <v>31</v>
      </c>
      <c r="I1564" s="13" t="s" ph="1">
        <v>522</v>
      </c>
      <c r="K1564" s="13" t="s" ph="1">
        <v>7185</v>
      </c>
      <c r="L1564" s="13" t="s" ph="1">
        <v>6668</v>
      </c>
      <c r="M1564" s="14" t="str" ph="1">
        <f>IFERROR(INDEX([1]!_born[生没年],
MATCH(I1564,[1]!_born[作],0)),"")</f>
        <v/>
      </c>
      <c r="N1564" s="14" t="str" ph="1">
        <f>IFERROR(INDEX([1]!_born[生没年],
MATCH(K1564,[1]!_born[作],0)),"")</f>
        <v/>
      </c>
      <c r="O1564" s="13" t="s" ph="1">
        <v>182</v>
      </c>
      <c r="S1564" s="13" t="s" ph="1">
        <v>7186</v>
      </c>
      <c r="T1564" s="13" t="s" ph="1">
        <v>6671</v>
      </c>
      <c r="U1564" s="16" ph="1">
        <v>37579</v>
      </c>
      <c r="V1564" s="17" ph="1">
        <v>1030</v>
      </c>
      <c r="W1564" s="17" ph="1">
        <v>1030</v>
      </c>
      <c r="X1564" s="13" t="s" ph="1">
        <v>3802</v>
      </c>
    </row>
    <row r="1565" spans="1:25" ht="22.5" customHeight="1" ph="1" x14ac:dyDescent="0.35">
      <c r="C1565" s="13" t="s" ph="1">
        <v>5828</v>
      </c>
      <c r="G1565" s="13" t="s" ph="1">
        <v>7184</v>
      </c>
      <c r="H1565" s="13" t="s" ph="1">
        <v>31</v>
      </c>
      <c r="I1565" s="13" t="s" ph="1">
        <v>578</v>
      </c>
      <c r="K1565" s="13" t="s" ph="1">
        <v>6667</v>
      </c>
      <c r="L1565" s="13" t="s" ph="1">
        <v>6668</v>
      </c>
      <c r="M1565" s="14" t="str" ph="1">
        <f>IFERROR(INDEX([1]!_born[生没年],
MATCH(I1565,[1]!_born[作],0)),"")</f>
        <v/>
      </c>
      <c r="N1565" s="14" t="str" ph="1">
        <f>IFERROR(INDEX([1]!_born[生没年],
MATCH(K1565,[1]!_born[作],0)),"")</f>
        <v/>
      </c>
      <c r="O1565" s="13" t="s" ph="1">
        <v>6669</v>
      </c>
      <c r="S1565" s="13" t="s" ph="1">
        <v>6670</v>
      </c>
      <c r="T1565" s="13" t="s" ph="1">
        <v>6671</v>
      </c>
      <c r="U1565" s="16" ph="1">
        <v>37579</v>
      </c>
      <c r="V1565" s="17" ph="1">
        <v>1030</v>
      </c>
      <c r="W1565" s="17" ph="1">
        <v>1030</v>
      </c>
      <c r="X1565" s="13" t="s" ph="1">
        <v>3802</v>
      </c>
    </row>
    <row r="1566" spans="1:25" s="7" customFormat="1" ht="22.5" customHeight="1" ph="1" x14ac:dyDescent="0.35">
      <c r="A1566" s="106" ph="1"/>
      <c r="B1566" s="5" ph="1"/>
      <c r="C1566" s="9" t="s" ph="1">
        <v>4106</v>
      </c>
      <c r="D1566" s="122" ph="1"/>
      <c r="E1566" s="122" ph="1"/>
      <c r="G1566" s="8" t="s" ph="1">
        <v>6483</v>
      </c>
      <c r="H1566" s="9" t="s" ph="1">
        <v>1219</v>
      </c>
      <c r="M1566" s="7" t="str" ph="1">
        <f>IFERROR(INDEX([1]!_born[生没年],
MATCH(I1566,[1]!_born[作],0)),"")</f>
        <v/>
      </c>
      <c r="N1566" s="7" t="str" ph="1">
        <f>IFERROR(INDEX([1]!_born[生没年],
MATCH(K1566,[1]!_born[作],0)),"")</f>
        <v/>
      </c>
      <c r="R1566" s="10" ph="1"/>
      <c r="U1566" s="10" ph="1"/>
      <c r="V1566" s="11" ph="1"/>
      <c r="W1566" s="11" ph="1"/>
    </row>
    <row r="1567" spans="1:25" ht="22.5" customHeight="1" ph="1" x14ac:dyDescent="0.35">
      <c r="C1567" s="13" t="s" ph="1">
        <v>4106</v>
      </c>
      <c r="G1567" s="13" t="s" ph="1">
        <v>6483</v>
      </c>
      <c r="H1567" s="13" t="s" ph="1">
        <v>1219</v>
      </c>
      <c r="I1567" s="13" t="s" ph="1">
        <v>7187</v>
      </c>
      <c r="K1567" s="13" t="s" ph="1">
        <v>4956</v>
      </c>
      <c r="L1567" s="13" t="s" ph="1">
        <v>3616</v>
      </c>
      <c r="M1567" s="14" t="str" ph="1">
        <f>IFERROR(INDEX([1]!_born[生没年],
MATCH(I1567,[1]!_born[作],0)),"")</f>
        <v/>
      </c>
      <c r="N1567" s="14" t="str" ph="1">
        <f>IFERROR(INDEX([1]!_born[生没年],
MATCH(K1567,[1]!_born[作],0)),"")</f>
        <v/>
      </c>
      <c r="O1567" s="13" t="s" ph="1">
        <v>7188</v>
      </c>
      <c r="S1567" s="13" t="s" ph="1">
        <v>7189</v>
      </c>
      <c r="T1567" s="13" t="s" ph="1">
        <v>7190</v>
      </c>
      <c r="V1567" s="17" ph="1">
        <v>920</v>
      </c>
    </row>
    <row r="1568" spans="1:25" ht="22.5" customHeight="1" ph="1" x14ac:dyDescent="0.35">
      <c r="C1568" s="13" t="s" ph="1">
        <v>4106</v>
      </c>
      <c r="G1568" s="13" t="s" ph="1">
        <v>6483</v>
      </c>
      <c r="H1568" s="13" t="s" ph="1">
        <v>1269</v>
      </c>
      <c r="I1568" s="13" t="s" ph="1">
        <v>7191</v>
      </c>
      <c r="K1568" s="13" t="s" ph="1">
        <v>7192</v>
      </c>
      <c r="L1568" s="13" t="s" ph="1">
        <v>3616</v>
      </c>
      <c r="M1568" s="14" t="str" ph="1">
        <f>IFERROR(INDEX([1]!_born[生没年],
MATCH(I1568,[1]!_born[作],0)),"")</f>
        <v/>
      </c>
      <c r="N1568" s="14" t="str" ph="1">
        <f>IFERROR(INDEX([1]!_born[生没年],
MATCH(K1568,[1]!_born[作],0)),"")</f>
        <v/>
      </c>
      <c r="O1568" s="13" t="s" ph="1">
        <v>7193</v>
      </c>
      <c r="S1568" s="13" t="s" ph="1">
        <v>7194</v>
      </c>
      <c r="T1568" s="13" t="s" ph="1">
        <v>7195</v>
      </c>
      <c r="V1568" s="17" ph="1">
        <v>580</v>
      </c>
    </row>
    <row r="1569" spans="1:25" ht="22.5" customHeight="1" ph="1" x14ac:dyDescent="0.35">
      <c r="C1569" s="13" t="s" ph="1">
        <v>4106</v>
      </c>
      <c r="G1569" s="13" t="s" ph="1">
        <v>6483</v>
      </c>
      <c r="H1569" s="13" t="s" ph="1">
        <v>1219</v>
      </c>
      <c r="I1569" s="13" t="s" ph="1">
        <v>7196</v>
      </c>
      <c r="K1569" s="13" t="s" ph="1">
        <v>7197</v>
      </c>
      <c r="L1569" s="13" t="s" ph="1">
        <v>7198</v>
      </c>
      <c r="M1569" s="14" t="str" ph="1">
        <f>IFERROR(INDEX([1]!_born[生没年],
MATCH(I1569,[1]!_born[作],0)),"")</f>
        <v/>
      </c>
      <c r="N1569" s="14" t="str" ph="1">
        <f>IFERROR(INDEX([1]!_born[生没年],
MATCH(K1569,[1]!_born[作],0)),"")</f>
        <v/>
      </c>
      <c r="O1569" s="13" t="s" ph="1">
        <v>7199</v>
      </c>
      <c r="S1569" s="13" t="s" ph="1">
        <v>7200</v>
      </c>
      <c r="T1569" s="13" t="s" ph="1">
        <v>3768</v>
      </c>
      <c r="V1569" s="17" ph="1">
        <v>780</v>
      </c>
    </row>
    <row r="1570" spans="1:25" ht="22.5" customHeight="1" ph="1" x14ac:dyDescent="0.35">
      <c r="C1570" s="13" t="s" ph="1">
        <v>4106</v>
      </c>
      <c r="G1570" s="13" t="s" ph="1">
        <v>6483</v>
      </c>
      <c r="H1570" s="13" t="s" ph="1">
        <v>1219</v>
      </c>
      <c r="I1570" s="15" t="s" ph="1">
        <v>7201</v>
      </c>
      <c r="K1570" s="13" t="s" ph="1">
        <v>7202</v>
      </c>
      <c r="L1570" s="13" t="s" ph="1">
        <v>7203</v>
      </c>
      <c r="M1570" s="14" t="str" ph="1">
        <f>IFERROR(INDEX([1]!_born[生没年],
MATCH(I1570,[1]!_born[作],0)),"")</f>
        <v/>
      </c>
      <c r="N1570" s="14" t="str" ph="1">
        <f>IFERROR(INDEX([1]!_born[生没年],
MATCH(K1570,[1]!_born[作],0)),"")</f>
        <v/>
      </c>
      <c r="O1570" s="15" t="s" ph="1">
        <v>7204</v>
      </c>
      <c r="S1570" s="13" t="s" ph="1">
        <v>7205</v>
      </c>
      <c r="T1570" s="13" t="s" ph="1">
        <v>3768</v>
      </c>
      <c r="U1570" s="16" t="s" ph="1">
        <v>1217</v>
      </c>
      <c r="V1570" s="17" ph="1">
        <v>780</v>
      </c>
    </row>
    <row r="1571" spans="1:25" ht="22.5" customHeight="1" ph="1" x14ac:dyDescent="0.35">
      <c r="C1571" s="13" t="s" ph="1">
        <v>4106</v>
      </c>
      <c r="G1571" s="13" t="s" ph="1">
        <v>6483</v>
      </c>
      <c r="H1571" s="13" t="s" ph="1">
        <v>1219</v>
      </c>
      <c r="I1571" s="15" t="s" ph="1">
        <v>7206</v>
      </c>
      <c r="K1571" s="13" t="s" ph="1">
        <v>7207</v>
      </c>
      <c r="L1571" s="13" t="s" ph="1">
        <v>7208</v>
      </c>
      <c r="M1571" s="14" t="str" ph="1">
        <f>IFERROR(INDEX([1]!_born[生没年],
MATCH(I1571,[1]!_born[作],0)),"")</f>
        <v/>
      </c>
      <c r="N1571" s="14" t="str" ph="1">
        <f>IFERROR(INDEX([1]!_born[生没年],
MATCH(K1571,[1]!_born[作],0)),"")</f>
        <v/>
      </c>
      <c r="O1571" s="15" t="s" ph="1">
        <v>7209</v>
      </c>
      <c r="S1571" s="13" t="s" ph="1">
        <v>7210</v>
      </c>
      <c r="T1571" s="13" t="s" ph="1">
        <v>3768</v>
      </c>
      <c r="V1571" s="17" ph="1">
        <v>880</v>
      </c>
    </row>
    <row r="1572" spans="1:25" ht="22.5" customHeight="1" ph="1" x14ac:dyDescent="0.35">
      <c r="C1572" s="13" t="s" ph="1">
        <v>4106</v>
      </c>
      <c r="G1572" s="13" t="s" ph="1">
        <v>7211</v>
      </c>
      <c r="H1572" s="13" t="s" ph="1">
        <v>1219</v>
      </c>
      <c r="I1572" s="13" t="s" ph="1">
        <v>7212</v>
      </c>
      <c r="K1572" s="13" t="s" ph="1">
        <v>7213</v>
      </c>
      <c r="L1572" s="13" t="s" ph="1">
        <v>7214</v>
      </c>
      <c r="M1572" s="14" t="str" ph="1">
        <f>IFERROR(INDEX([1]!_born[生没年],
MATCH(I1572,[1]!_born[作],0)),"")</f>
        <v/>
      </c>
      <c r="N1572" s="14" t="str" ph="1">
        <f>IFERROR(INDEX([1]!_born[生没年],
MATCH(K1572,[1]!_born[作],0)),"")</f>
        <v/>
      </c>
      <c r="O1572" s="13" t="s" ph="1">
        <v>7215</v>
      </c>
      <c r="S1572" s="13" t="s" ph="1">
        <v>7216</v>
      </c>
      <c r="T1572" s="13" t="s" ph="1">
        <v>3768</v>
      </c>
      <c r="U1572" s="16" ph="1">
        <v>37065</v>
      </c>
      <c r="V1572" s="17" ph="1">
        <f>1165*1.05</f>
        <v>1223.25</v>
      </c>
      <c r="X1572" s="13" t="s" ph="1">
        <v>3802</v>
      </c>
      <c r="Y1572" s="13" t="s" ph="1">
        <v>5206</v>
      </c>
    </row>
    <row r="1573" spans="1:25" ht="22.5" customHeight="1" ph="1" x14ac:dyDescent="0.35">
      <c r="C1573" s="13" t="s" ph="1">
        <v>4106</v>
      </c>
      <c r="G1573" s="13" t="s" ph="1">
        <v>6483</v>
      </c>
      <c r="H1573" s="13" t="s" ph="1">
        <v>1219</v>
      </c>
      <c r="I1573" s="15" t="s" ph="1">
        <v>7217</v>
      </c>
      <c r="K1573" s="13" t="s" ph="1">
        <v>7218</v>
      </c>
      <c r="L1573" s="13" t="s" ph="1">
        <v>7219</v>
      </c>
      <c r="M1573" s="14" t="str" ph="1">
        <f>IFERROR(INDEX([1]!_born[生没年],
MATCH(I1573,[1]!_born[作],0)),"")</f>
        <v/>
      </c>
      <c r="N1573" s="14" t="str" ph="1">
        <f>IFERROR(INDEX([1]!_born[生没年],
MATCH(K1573,[1]!_born[作],0)),"")</f>
        <v/>
      </c>
      <c r="O1573" s="15" t="s" ph="1">
        <v>7220</v>
      </c>
      <c r="S1573" s="13" t="s" ph="1">
        <v>7221</v>
      </c>
      <c r="T1573" s="13" t="s" ph="1">
        <v>3768</v>
      </c>
      <c r="U1573" s="16" t="s" ph="1">
        <v>1217</v>
      </c>
      <c r="V1573" s="17" ph="1">
        <v>980</v>
      </c>
    </row>
    <row r="1574" spans="1:25" ht="22.5" customHeight="1" ph="1" x14ac:dyDescent="0.35">
      <c r="C1574" s="13" t="s" ph="1">
        <v>4106</v>
      </c>
      <c r="G1574" s="13" t="s" ph="1">
        <v>6483</v>
      </c>
      <c r="H1574" s="13" t="s" ph="1">
        <v>1219</v>
      </c>
      <c r="I1574" s="13" t="s" ph="1">
        <v>7222</v>
      </c>
      <c r="K1574" s="13" t="s" ph="1">
        <v>7223</v>
      </c>
      <c r="L1574" s="13" t="s" ph="1">
        <v>7219</v>
      </c>
      <c r="M1574" s="14" t="str" ph="1">
        <f>IFERROR(INDEX([1]!_born[生没年],
MATCH(I1574,[1]!_born[作],0)),"")</f>
        <v/>
      </c>
      <c r="N1574" s="14" t="str" ph="1">
        <f>IFERROR(INDEX([1]!_born[生没年],
MATCH(K1574,[1]!_born[作],0)),"")</f>
        <v/>
      </c>
      <c r="O1574" s="13" t="s" ph="1">
        <v>7224</v>
      </c>
      <c r="S1574" s="13" t="s" ph="1">
        <v>7225</v>
      </c>
      <c r="T1574" s="13" t="s" ph="1">
        <v>3768</v>
      </c>
    </row>
    <row r="1575" spans="1:25" ht="22.5" customHeight="1" ph="1" x14ac:dyDescent="0.35">
      <c r="C1575" s="13" t="s" ph="1">
        <v>4106</v>
      </c>
      <c r="G1575" s="13" t="s" ph="1">
        <v>6483</v>
      </c>
      <c r="H1575" s="13" t="s" ph="1">
        <v>1219</v>
      </c>
      <c r="I1575" s="13" t="s" ph="1">
        <v>7226</v>
      </c>
      <c r="K1575" s="13" t="s" ph="1">
        <v>7227</v>
      </c>
      <c r="L1575" s="13" t="s" ph="1">
        <v>7219</v>
      </c>
      <c r="M1575" s="14" t="str" ph="1">
        <f>IFERROR(INDEX([1]!_born[生没年],
MATCH(I1575,[1]!_born[作],0)),"")</f>
        <v/>
      </c>
      <c r="N1575" s="14" t="str" ph="1">
        <f>IFERROR(INDEX([1]!_born[生没年],
MATCH(K1575,[1]!_born[作],0)),"")</f>
        <v/>
      </c>
      <c r="O1575" s="13" t="s" ph="1">
        <v>7228</v>
      </c>
      <c r="S1575" s="13" t="s" ph="1">
        <v>7229</v>
      </c>
      <c r="T1575" s="13" t="s" ph="1">
        <v>3768</v>
      </c>
    </row>
    <row r="1576" spans="1:25" ht="22.5" customHeight="1" ph="1" x14ac:dyDescent="0.35">
      <c r="C1576" s="13" t="s" ph="1">
        <v>4106</v>
      </c>
      <c r="G1576" s="13" t="s" ph="1">
        <v>6483</v>
      </c>
      <c r="H1576" s="13" t="s" ph="1">
        <v>1219</v>
      </c>
      <c r="I1576" s="13" t="s" ph="1">
        <v>7230</v>
      </c>
      <c r="K1576" s="13" t="s" ph="1">
        <v>7231</v>
      </c>
      <c r="L1576" s="13" t="s" ph="1">
        <v>7219</v>
      </c>
      <c r="M1576" s="14" t="str" ph="1">
        <f>IFERROR(INDEX([1]!_born[生没年],
MATCH(I1576,[1]!_born[作],0)),"")</f>
        <v/>
      </c>
      <c r="N1576" s="14" t="str" ph="1">
        <f>IFERROR(INDEX([1]!_born[生没年],
MATCH(K1576,[1]!_born[作],0)),"")</f>
        <v/>
      </c>
      <c r="O1576" s="13" t="s" ph="1">
        <v>7232</v>
      </c>
      <c r="S1576" s="13" t="s" ph="1">
        <v>7233</v>
      </c>
      <c r="T1576" s="13" t="s" ph="1">
        <v>3768</v>
      </c>
    </row>
    <row r="1577" spans="1:25" ht="22.5" customHeight="1" ph="1" x14ac:dyDescent="0.35">
      <c r="C1577" s="13" t="s" ph="1">
        <v>7234</v>
      </c>
      <c r="G1577" s="13" t="s" ph="1">
        <v>6483</v>
      </c>
      <c r="H1577" s="13" t="s" ph="1">
        <v>1219</v>
      </c>
      <c r="I1577" s="13" t="s" ph="1">
        <v>7235</v>
      </c>
      <c r="J1577" s="13" t="s" ph="1">
        <v>4699</v>
      </c>
      <c r="M1577" s="14" t="str" ph="1">
        <f>IFERROR(INDEX([1]!_born[生没年],
MATCH(I1577,[1]!_born[作],0)),"")</f>
        <v/>
      </c>
      <c r="N1577" s="14" t="str" ph="1">
        <f>IFERROR(INDEX([1]!_born[生没年],
MATCH(K1577,[1]!_born[作],0)),"")</f>
        <v/>
      </c>
      <c r="O1577" s="13" t="s" ph="1">
        <v>7236</v>
      </c>
      <c r="S1577" s="13" t="s" ph="1">
        <v>7237</v>
      </c>
      <c r="T1577" s="13" t="s" ph="1">
        <v>7238</v>
      </c>
      <c r="U1577" s="16" ph="1">
        <v>36863</v>
      </c>
      <c r="V1577" s="17" ph="1">
        <v>1200</v>
      </c>
      <c r="W1577" s="17" t="s" ph="1">
        <v>1314</v>
      </c>
      <c r="X1577" s="13" t="s" ph="1">
        <v>3934</v>
      </c>
    </row>
    <row r="1578" spans="1:25" s="7" customFormat="1" ht="22.5" customHeight="1" ph="1" x14ac:dyDescent="0.35">
      <c r="A1578" s="106" ph="1"/>
      <c r="B1578" s="5" ph="1"/>
      <c r="C1578" s="9" t="s" ph="1">
        <v>4106</v>
      </c>
      <c r="D1578" s="122" ph="1"/>
      <c r="E1578" s="122" ph="1"/>
      <c r="G1578" s="8" t="s" ph="1">
        <v>6483</v>
      </c>
      <c r="H1578" s="9" t="s" ph="1">
        <v>1269</v>
      </c>
      <c r="M1578" s="7" t="str" ph="1">
        <f>IFERROR(INDEX([1]!_born[生没年],
MATCH(I1578,[1]!_born[作],0)),"")</f>
        <v/>
      </c>
      <c r="N1578" s="7" t="str" ph="1">
        <f>IFERROR(INDEX([1]!_born[生没年],
MATCH(K1578,[1]!_born[作],0)),"")</f>
        <v/>
      </c>
      <c r="R1578" s="10" ph="1"/>
      <c r="U1578" s="10" ph="1"/>
      <c r="V1578" s="11" ph="1"/>
      <c r="W1578" s="11" ph="1"/>
    </row>
    <row r="1579" spans="1:25" s="19" customFormat="1" ht="22.5" customHeight="1" ph="1" x14ac:dyDescent="0.35">
      <c r="A1579" s="107" ph="1"/>
      <c r="B1579" s="18" ph="1"/>
      <c r="C1579" s="19" t="s" ph="1">
        <v>4586</v>
      </c>
      <c r="D1579" s="124" ph="1"/>
      <c r="E1579" s="124" ph="1"/>
      <c r="G1579" s="19" t="s" ph="1">
        <v>7239</v>
      </c>
      <c r="H1579" s="19" t="s" ph="1">
        <v>1257</v>
      </c>
      <c r="I1579" s="19" t="s" ph="1">
        <v>7240</v>
      </c>
      <c r="K1579" s="19" t="s" ph="1">
        <v>296</v>
      </c>
      <c r="L1579" s="19" t="s" ph="1">
        <v>5534</v>
      </c>
      <c r="M1579" s="27" t="str" ph="1">
        <f>IFERROR(INDEX([1]!_born[生没年],
MATCH(I1579,[1]!_born[作],0)),"")</f>
        <v/>
      </c>
      <c r="N1579" s="27" t="str" ph="1">
        <f>IFERROR(INDEX([1]!_born[生没年],
MATCH(K1579,[1]!_born[作],0)),"")</f>
        <v/>
      </c>
      <c r="O1579" s="23" t="s" ph="1">
        <v>7241</v>
      </c>
      <c r="R1579" s="20" ph="1"/>
      <c r="U1579" s="20" ph="1"/>
      <c r="V1579" s="21" ph="1"/>
      <c r="W1579" s="21" ph="1"/>
    </row>
    <row r="1580" spans="1:25" ht="22.5" customHeight="1" ph="1" x14ac:dyDescent="0.35">
      <c r="C1580" s="13" t="s" ph="1">
        <v>4106</v>
      </c>
      <c r="G1580" s="13" t="s" ph="1">
        <v>6483</v>
      </c>
      <c r="H1580" s="13" t="s" ph="1">
        <v>1269</v>
      </c>
      <c r="I1580" s="13" t="s" ph="1">
        <v>414</v>
      </c>
      <c r="K1580" s="13" t="s" ph="1">
        <v>7242</v>
      </c>
      <c r="L1580" s="13" t="s" ph="1">
        <v>7150</v>
      </c>
      <c r="M1580" s="14" t="str" ph="1">
        <f>IFERROR(INDEX([1]!_born[生没年],
MATCH(I1580,[1]!_born[作],0)),"")</f>
        <v/>
      </c>
      <c r="N1580" s="14" t="str" ph="1">
        <f>IFERROR(INDEX([1]!_born[生没年],
MATCH(K1580,[1]!_born[作],0)),"")</f>
        <v/>
      </c>
      <c r="O1580" s="13" t="s" ph="1">
        <v>7243</v>
      </c>
      <c r="R1580" s="16" t="s" ph="1">
        <v>1315</v>
      </c>
      <c r="S1580" s="13" t="s" ph="1">
        <v>7244</v>
      </c>
      <c r="T1580" s="13" t="s" ph="1">
        <v>7245</v>
      </c>
      <c r="U1580" s="16" ph="1">
        <v>36722</v>
      </c>
      <c r="V1580" s="17" ph="1">
        <v>1400</v>
      </c>
      <c r="W1580" s="17" t="s" ph="1">
        <v>4001</v>
      </c>
    </row>
    <row r="1581" spans="1:25" ht="22.5" customHeight="1" ph="1" x14ac:dyDescent="0.35">
      <c r="C1581" s="13" t="s" ph="1">
        <v>4106</v>
      </c>
      <c r="G1581" s="13" t="s" ph="1">
        <v>6483</v>
      </c>
      <c r="H1581" s="13" t="s" ph="1">
        <v>1269</v>
      </c>
      <c r="I1581" s="13" t="s" ph="1">
        <v>252</v>
      </c>
      <c r="K1581" s="13" t="s" ph="1">
        <v>7242</v>
      </c>
      <c r="L1581" s="13" t="s" ph="1">
        <v>7150</v>
      </c>
      <c r="M1581" s="14" t="str" ph="1">
        <f>IFERROR(INDEX([1]!_born[生没年],
MATCH(I1581,[1]!_born[作],0)),"")</f>
        <v/>
      </c>
      <c r="N1581" s="14" t="str" ph="1">
        <f>IFERROR(INDEX([1]!_born[生没年],
MATCH(K1581,[1]!_born[作],0)),"")</f>
        <v/>
      </c>
      <c r="O1581" s="13" t="s" ph="1">
        <v>7246</v>
      </c>
      <c r="S1581" s="13" t="s" ph="1">
        <v>7247</v>
      </c>
      <c r="T1581" s="13" t="s" ph="1">
        <v>3768</v>
      </c>
      <c r="V1581" s="17" ph="1">
        <v>2000</v>
      </c>
    </row>
    <row r="1582" spans="1:25" ht="22.5" customHeight="1" ph="1" x14ac:dyDescent="0.35">
      <c r="C1582" s="13" t="s" ph="1">
        <v>4106</v>
      </c>
      <c r="G1582" s="13" t="s" ph="1">
        <v>6483</v>
      </c>
      <c r="H1582" s="13" t="s" ph="1">
        <v>1269</v>
      </c>
      <c r="I1582" s="13" t="s" ph="1">
        <v>253</v>
      </c>
      <c r="K1582" s="13" t="s" ph="1">
        <v>7248</v>
      </c>
      <c r="L1582" s="13" t="s" ph="1">
        <v>3616</v>
      </c>
      <c r="M1582" s="14" t="str" ph="1">
        <f>IFERROR(INDEX([1]!_born[生没年],
MATCH(I1582,[1]!_born[作],0)),"")</f>
        <v/>
      </c>
      <c r="N1582" s="14" t="str" ph="1">
        <f>IFERROR(INDEX([1]!_born[生没年],
MATCH(K1582,[1]!_born[作],0)),"")</f>
        <v/>
      </c>
      <c r="O1582" s="13" t="s" ph="1">
        <v>7249</v>
      </c>
      <c r="S1582" s="13" t="s" ph="1">
        <v>7250</v>
      </c>
      <c r="T1582" s="13" t="s" ph="1">
        <v>7190</v>
      </c>
      <c r="V1582" s="17" ph="1">
        <v>800</v>
      </c>
    </row>
    <row r="1583" spans="1:25" ht="22.5" customHeight="1" ph="1" x14ac:dyDescent="0.35">
      <c r="C1583" s="13" t="s" ph="1">
        <v>4106</v>
      </c>
      <c r="G1583" s="13" t="s" ph="1">
        <v>6483</v>
      </c>
      <c r="H1583" s="13" t="s" ph="1">
        <v>1269</v>
      </c>
      <c r="I1583" s="13" t="s" ph="1">
        <v>254</v>
      </c>
      <c r="K1583" s="13" t="s" ph="1">
        <v>5164</v>
      </c>
      <c r="L1583" s="13" t="s" ph="1">
        <v>3628</v>
      </c>
      <c r="M1583" s="14" t="str" ph="1">
        <f>IFERROR(INDEX([1]!_born[生没年],
MATCH(I1583,[1]!_born[作],0)),"")</f>
        <v/>
      </c>
      <c r="N1583" s="14" t="str" ph="1">
        <f>IFERROR(INDEX([1]!_born[生没年],
MATCH(K1583,[1]!_born[作],0)),"")</f>
        <v/>
      </c>
      <c r="O1583" s="13" t="s" ph="1">
        <v>7251</v>
      </c>
      <c r="S1583" s="13" t="s" ph="1">
        <v>7252</v>
      </c>
      <c r="T1583" s="13" t="s" ph="1">
        <v>7190</v>
      </c>
      <c r="U1583" s="16" ph="1">
        <v>30887</v>
      </c>
      <c r="V1583" s="17" ph="1">
        <v>800</v>
      </c>
    </row>
    <row r="1584" spans="1:25" ht="22.5" customHeight="1" ph="1" x14ac:dyDescent="0.35">
      <c r="C1584" s="13" t="s" ph="1">
        <v>4106</v>
      </c>
      <c r="G1584" s="13" t="s" ph="1">
        <v>6483</v>
      </c>
      <c r="H1584" s="13" t="s" ph="1">
        <v>1269</v>
      </c>
      <c r="I1584" s="13" t="s" ph="1">
        <v>255</v>
      </c>
      <c r="K1584" s="13" t="s" ph="1">
        <v>7253</v>
      </c>
      <c r="L1584" s="13" t="s" ph="1">
        <v>3628</v>
      </c>
      <c r="M1584" s="14" t="str" ph="1">
        <f>IFERROR(INDEX([1]!_born[生没年],
MATCH(I1584,[1]!_born[作],0)),"")</f>
        <v/>
      </c>
      <c r="N1584" s="14" t="str" ph="1">
        <f>IFERROR(INDEX([1]!_born[生没年],
MATCH(K1584,[1]!_born[作],0)),"")</f>
        <v/>
      </c>
      <c r="O1584" s="13" t="s" ph="1">
        <v>7254</v>
      </c>
      <c r="S1584" s="13" t="s" ph="1">
        <v>7255</v>
      </c>
      <c r="T1584" s="13" t="s" ph="1">
        <v>7190</v>
      </c>
      <c r="U1584" s="16" t="s" ph="1">
        <v>1217</v>
      </c>
      <c r="V1584" s="17" ph="1">
        <v>800</v>
      </c>
    </row>
    <row r="1585" spans="1:24" ht="22.5" customHeight="1" ph="1" x14ac:dyDescent="0.35">
      <c r="C1585" s="13" t="s" ph="1">
        <v>4106</v>
      </c>
      <c r="G1585" s="13" t="s" ph="1">
        <v>6483</v>
      </c>
      <c r="H1585" s="13" t="s" ph="1">
        <v>1269</v>
      </c>
      <c r="I1585" s="13" t="s" ph="1">
        <v>7256</v>
      </c>
      <c r="K1585" s="13" t="s" ph="1">
        <v>7257</v>
      </c>
      <c r="L1585" s="13" t="s" ph="1">
        <v>3628</v>
      </c>
      <c r="M1585" s="14" t="str" ph="1">
        <f>IFERROR(INDEX([1]!_born[生没年],
MATCH(I1585,[1]!_born[作],0)),"")</f>
        <v/>
      </c>
      <c r="N1585" s="14" t="str" ph="1">
        <f>IFERROR(INDEX([1]!_born[生没年],
MATCH(K1585,[1]!_born[作],0)),"")</f>
        <v/>
      </c>
      <c r="O1585" s="13" t="s" ph="1">
        <v>7258</v>
      </c>
      <c r="S1585" s="13" t="s" ph="1">
        <v>7259</v>
      </c>
      <c r="T1585" s="13" t="s" ph="1">
        <v>7190</v>
      </c>
      <c r="V1585" s="17" ph="1">
        <v>600</v>
      </c>
      <c r="W1585" s="17" t="s" ph="1">
        <v>7260</v>
      </c>
    </row>
    <row r="1586" spans="1:24" ht="22.5" customHeight="1" ph="1" x14ac:dyDescent="0.35">
      <c r="C1586" s="13" t="s" ph="1">
        <v>4106</v>
      </c>
      <c r="G1586" s="13" t="s" ph="1">
        <v>6483</v>
      </c>
      <c r="H1586" s="13" t="s" ph="1">
        <v>1269</v>
      </c>
      <c r="I1586" s="13" t="s" ph="1">
        <v>7261</v>
      </c>
      <c r="K1586" s="13" t="s" ph="1">
        <v>7262</v>
      </c>
      <c r="L1586" s="13" t="s" ph="1">
        <v>3628</v>
      </c>
      <c r="M1586" s="14" t="str" ph="1">
        <f>IFERROR(INDEX([1]!_born[生没年],
MATCH(I1586,[1]!_born[作],0)),"")</f>
        <v/>
      </c>
      <c r="N1586" s="14" t="str" ph="1">
        <f>IFERROR(INDEX([1]!_born[生没年],
MATCH(K1586,[1]!_born[作],0)),"")</f>
        <v/>
      </c>
      <c r="O1586" s="13" t="s" ph="1">
        <v>7263</v>
      </c>
      <c r="S1586" s="13" t="s" ph="1">
        <v>7264</v>
      </c>
      <c r="T1586" s="13" t="s" ph="1">
        <v>7190</v>
      </c>
      <c r="V1586" s="17" ph="1">
        <v>800</v>
      </c>
    </row>
    <row r="1587" spans="1:24" ht="22.5" customHeight="1" ph="1" x14ac:dyDescent="0.35">
      <c r="C1587" s="13" t="s" ph="1">
        <v>4106</v>
      </c>
      <c r="G1587" s="13" t="s" ph="1">
        <v>6483</v>
      </c>
      <c r="H1587" s="13" t="s" ph="1">
        <v>1257</v>
      </c>
      <c r="I1587" s="13" t="s" ph="1">
        <v>256</v>
      </c>
      <c r="K1587" s="13" t="s" ph="1">
        <v>7265</v>
      </c>
      <c r="L1587" s="13" t="s" ph="1">
        <v>3628</v>
      </c>
      <c r="M1587" s="14" t="str" ph="1">
        <f>IFERROR(INDEX([1]!_born[生没年],
MATCH(I1587,[1]!_born[作],0)),"")</f>
        <v/>
      </c>
      <c r="N1587" s="14" t="str" ph="1">
        <f>IFERROR(INDEX([1]!_born[生没年],
MATCH(K1587,[1]!_born[作],0)),"")</f>
        <v/>
      </c>
      <c r="O1587" s="13" t="s" ph="1">
        <v>7266</v>
      </c>
      <c r="S1587" s="13" t="s" ph="1">
        <v>7267</v>
      </c>
      <c r="T1587" s="13" t="s" ph="1">
        <v>7190</v>
      </c>
      <c r="V1587" s="17" ph="1">
        <v>800</v>
      </c>
    </row>
    <row r="1588" spans="1:24" ht="22.5" customHeight="1" ph="1" x14ac:dyDescent="0.35">
      <c r="C1588" s="13" t="s" ph="1">
        <v>4106</v>
      </c>
      <c r="G1588" s="13" t="s" ph="1">
        <v>6483</v>
      </c>
      <c r="H1588" s="13" t="s" ph="1">
        <v>1269</v>
      </c>
      <c r="I1588" s="13" t="s" ph="1">
        <v>7268</v>
      </c>
      <c r="K1588" s="13" t="s" ph="1">
        <v>7269</v>
      </c>
      <c r="L1588" s="13" t="s" ph="1">
        <v>3628</v>
      </c>
      <c r="M1588" s="14" t="str" ph="1">
        <f>IFERROR(INDEX([1]!_born[生没年],
MATCH(I1588,[1]!_born[作],0)),"")</f>
        <v/>
      </c>
      <c r="N1588" s="14" t="str" ph="1">
        <f>IFERROR(INDEX([1]!_born[生没年],
MATCH(K1588,[1]!_born[作],0)),"")</f>
        <v/>
      </c>
      <c r="O1588" s="13" t="s" ph="1">
        <v>7270</v>
      </c>
      <c r="S1588" s="13" t="s" ph="1">
        <v>7271</v>
      </c>
      <c r="T1588" s="13" t="s" ph="1">
        <v>7190</v>
      </c>
      <c r="V1588" s="17" ph="1">
        <v>1030</v>
      </c>
    </row>
    <row r="1589" spans="1:24" ht="22.5" customHeight="1" ph="1" x14ac:dyDescent="0.35">
      <c r="C1589" s="13" t="s" ph="1">
        <v>4106</v>
      </c>
      <c r="G1589" s="13" t="s" ph="1">
        <v>6483</v>
      </c>
      <c r="H1589" s="13" t="s" ph="1">
        <v>1269</v>
      </c>
      <c r="I1589" s="13" t="s" ph="1">
        <v>7272</v>
      </c>
      <c r="K1589" s="13" t="s" ph="1">
        <v>7273</v>
      </c>
      <c r="L1589" s="13" t="s" ph="1">
        <v>3628</v>
      </c>
      <c r="M1589" s="14" t="str" ph="1">
        <f>IFERROR(INDEX([1]!_born[生没年],
MATCH(I1589,[1]!_born[作],0)),"")</f>
        <v/>
      </c>
      <c r="N1589" s="14" t="str" ph="1">
        <f>IFERROR(INDEX([1]!_born[生没年],
MATCH(K1589,[1]!_born[作],0)),"")</f>
        <v/>
      </c>
      <c r="O1589" s="13" t="s" ph="1">
        <v>7274</v>
      </c>
      <c r="S1589" s="13" t="s" ph="1">
        <v>7275</v>
      </c>
      <c r="T1589" s="13" t="s" ph="1">
        <v>7190</v>
      </c>
      <c r="V1589" s="17" ph="1">
        <v>800</v>
      </c>
    </row>
    <row r="1590" spans="1:24" ht="22.5" customHeight="1" ph="1" x14ac:dyDescent="0.35">
      <c r="C1590" s="13" t="s" ph="1">
        <v>4106</v>
      </c>
      <c r="G1590" s="13" t="s" ph="1">
        <v>6483</v>
      </c>
      <c r="H1590" s="13" t="s" ph="1">
        <v>1257</v>
      </c>
      <c r="I1590" s="13" t="s" ph="1">
        <v>7276</v>
      </c>
      <c r="K1590" s="13" t="s" ph="1">
        <v>7277</v>
      </c>
      <c r="L1590" s="13" t="s" ph="1">
        <v>3628</v>
      </c>
      <c r="M1590" s="14" t="str" ph="1">
        <f>IFERROR(INDEX([1]!_born[生没年],
MATCH(I1590,[1]!_born[作],0)),"")</f>
        <v/>
      </c>
      <c r="N1590" s="14" t="str" ph="1">
        <f>IFERROR(INDEX([1]!_born[生没年],
MATCH(K1590,[1]!_born[作],0)),"")</f>
        <v/>
      </c>
      <c r="O1590" s="13" t="s" ph="1">
        <v>7278</v>
      </c>
      <c r="S1590" s="13" t="s" ph="1">
        <v>7279</v>
      </c>
      <c r="T1590" s="13" t="s" ph="1">
        <v>7190</v>
      </c>
      <c r="V1590" s="17" ph="1">
        <v>950</v>
      </c>
    </row>
    <row r="1591" spans="1:24" ht="22.5" customHeight="1" ph="1" x14ac:dyDescent="0.35">
      <c r="C1591" s="13" t="s" ph="1">
        <v>4106</v>
      </c>
      <c r="G1591" s="13" t="s" ph="1">
        <v>6483</v>
      </c>
      <c r="H1591" s="13" t="s" ph="1">
        <v>1269</v>
      </c>
      <c r="I1591" s="13" t="s" ph="1">
        <v>257</v>
      </c>
      <c r="K1591" s="13" t="s" ph="1">
        <v>7280</v>
      </c>
      <c r="L1591" s="13" t="s" ph="1">
        <v>3628</v>
      </c>
      <c r="M1591" s="14" t="str" ph="1">
        <f>IFERROR(INDEX([1]!_born[生没年],
MATCH(I1591,[1]!_born[作],0)),"")</f>
        <v/>
      </c>
      <c r="N1591" s="14" t="str" ph="1">
        <f>IFERROR(INDEX([1]!_born[生没年],
MATCH(K1591,[1]!_born[作],0)),"")</f>
        <v/>
      </c>
      <c r="O1591" s="13" t="s" ph="1">
        <v>7281</v>
      </c>
      <c r="S1591" s="13" t="s" ph="1">
        <v>7282</v>
      </c>
      <c r="T1591" s="13" t="s" ph="1">
        <v>7195</v>
      </c>
      <c r="V1591" s="17" ph="1">
        <v>480</v>
      </c>
    </row>
    <row r="1592" spans="1:24" ht="22.5" customHeight="1" ph="1" x14ac:dyDescent="0.35">
      <c r="C1592" s="13" t="s" ph="1">
        <v>4106</v>
      </c>
      <c r="G1592" s="13" t="s" ph="1">
        <v>6483</v>
      </c>
      <c r="H1592" s="13" t="s" ph="1">
        <v>1269</v>
      </c>
      <c r="I1592" s="13" t="s" ph="1">
        <v>258</v>
      </c>
      <c r="K1592" s="13" t="s" ph="1">
        <v>7283</v>
      </c>
      <c r="L1592" s="13" t="s" ph="1">
        <v>3628</v>
      </c>
      <c r="M1592" s="14" t="str" ph="1">
        <f>IFERROR(INDEX([1]!_born[生没年],
MATCH(I1592,[1]!_born[作],0)),"")</f>
        <v/>
      </c>
      <c r="N1592" s="14" t="str" ph="1">
        <f>IFERROR(INDEX([1]!_born[生没年],
MATCH(K1592,[1]!_born[作],0)),"")</f>
        <v/>
      </c>
      <c r="O1592" s="13" t="s" ph="1">
        <v>7284</v>
      </c>
      <c r="S1592" s="13" t="s" ph="1">
        <v>7285</v>
      </c>
      <c r="T1592" s="13" t="s" ph="1">
        <v>7195</v>
      </c>
      <c r="V1592" s="17" ph="1">
        <v>580</v>
      </c>
    </row>
    <row r="1593" spans="1:24" ht="22.5" customHeight="1" ph="1" x14ac:dyDescent="0.35">
      <c r="C1593" s="13" t="s" ph="1">
        <v>4106</v>
      </c>
      <c r="G1593" s="13" t="s" ph="1">
        <v>6483</v>
      </c>
      <c r="H1593" s="13" t="s" ph="1">
        <v>1269</v>
      </c>
      <c r="I1593" s="13" t="s" ph="1">
        <v>553</v>
      </c>
      <c r="K1593" s="13" t="s" ph="1">
        <v>7286</v>
      </c>
      <c r="L1593" s="13" t="s" ph="1">
        <v>7150</v>
      </c>
      <c r="M1593" s="14" t="str" ph="1">
        <f>IFERROR(INDEX([1]!_born[生没年],
MATCH(I1593,[1]!_born[作],0)),"")</f>
        <v/>
      </c>
      <c r="N1593" s="14" t="str" ph="1">
        <f>IFERROR(INDEX([1]!_born[生没年],
MATCH(K1593,[1]!_born[作],0)),"")</f>
        <v/>
      </c>
      <c r="O1593" s="13" t="s" ph="1">
        <v>7287</v>
      </c>
      <c r="S1593" s="13" t="s" ph="1">
        <v>7288</v>
      </c>
      <c r="T1593" s="13" t="s" ph="1">
        <v>3768</v>
      </c>
      <c r="V1593" s="17" ph="1">
        <v>1200</v>
      </c>
    </row>
    <row r="1594" spans="1:24" ht="22.5" customHeight="1" ph="1" x14ac:dyDescent="0.35">
      <c r="C1594" s="13" t="s" ph="1">
        <v>4106</v>
      </c>
      <c r="G1594" s="13" t="s" ph="1">
        <v>6483</v>
      </c>
      <c r="H1594" s="13" t="s" ph="1">
        <v>1257</v>
      </c>
      <c r="I1594" s="13" t="s" ph="1">
        <v>7289</v>
      </c>
      <c r="K1594" s="13" t="s" ph="1">
        <v>7290</v>
      </c>
      <c r="L1594" s="13" t="s" ph="1">
        <v>7291</v>
      </c>
      <c r="M1594" s="14" t="str" ph="1">
        <f>IFERROR(INDEX([1]!_born[生没年],
MATCH(I1594,[1]!_born[作],0)),"")</f>
        <v/>
      </c>
      <c r="N1594" s="14" t="str" ph="1">
        <f>IFERROR(INDEX([1]!_born[生没年],
MATCH(K1594,[1]!_born[作],0)),"")</f>
        <v/>
      </c>
      <c r="O1594" s="13" t="s" ph="1">
        <v>7292</v>
      </c>
      <c r="S1594" s="13" t="s" ph="1">
        <v>7293</v>
      </c>
      <c r="T1594" s="13" t="s" ph="1">
        <v>6487</v>
      </c>
      <c r="V1594" s="17" ph="1">
        <v>980</v>
      </c>
    </row>
    <row r="1595" spans="1:24" ht="22.5" customHeight="1" ph="1" x14ac:dyDescent="0.35">
      <c r="C1595" s="13" t="s" ph="1">
        <v>4106</v>
      </c>
      <c r="G1595" s="13" t="s" ph="1">
        <v>6483</v>
      </c>
      <c r="H1595" s="13" t="s" ph="1">
        <v>1257</v>
      </c>
      <c r="I1595" s="13" t="s" ph="1">
        <v>7294</v>
      </c>
      <c r="K1595" s="13" t="s" ph="1">
        <v>7295</v>
      </c>
      <c r="L1595" s="13" t="s" ph="1">
        <v>7150</v>
      </c>
      <c r="M1595" s="14" t="str" ph="1">
        <f>IFERROR(INDEX([1]!_born[生没年],
MATCH(I1595,[1]!_born[作],0)),"")</f>
        <v/>
      </c>
      <c r="N1595" s="14" t="str" ph="1">
        <f>IFERROR(INDEX([1]!_born[生没年],
MATCH(K1595,[1]!_born[作],0)),"")</f>
        <v/>
      </c>
      <c r="O1595" s="13" t="s" ph="1">
        <v>7296</v>
      </c>
      <c r="S1595" s="13" t="s" ph="1">
        <v>7297</v>
      </c>
      <c r="T1595" s="13" t="s" ph="1">
        <v>6487</v>
      </c>
      <c r="V1595" s="17" ph="1">
        <v>880</v>
      </c>
    </row>
    <row r="1596" spans="1:24" ht="22.5" customHeight="1" ph="1" x14ac:dyDescent="0.35">
      <c r="C1596" s="13" t="s" ph="1">
        <v>4106</v>
      </c>
      <c r="G1596" s="13" t="s" ph="1">
        <v>6483</v>
      </c>
      <c r="H1596" s="13" t="s" ph="1">
        <v>1269</v>
      </c>
      <c r="I1596" s="13" t="s" ph="1">
        <v>7298</v>
      </c>
      <c r="K1596" s="13" t="s" ph="1">
        <v>7299</v>
      </c>
      <c r="L1596" s="13" t="s" ph="1">
        <v>7291</v>
      </c>
      <c r="M1596" s="14" t="str" ph="1">
        <f>IFERROR(INDEX([1]!_born[生没年],
MATCH(I1596,[1]!_born[作],0)),"")</f>
        <v/>
      </c>
      <c r="N1596" s="14" t="str" ph="1">
        <f>IFERROR(INDEX([1]!_born[生没年],
MATCH(K1596,[1]!_born[作],0)),"")</f>
        <v/>
      </c>
      <c r="O1596" s="13" t="s" ph="1">
        <v>7300</v>
      </c>
      <c r="S1596" s="13" t="s" ph="1">
        <v>7301</v>
      </c>
      <c r="T1596" s="13" t="s" ph="1">
        <v>6487</v>
      </c>
      <c r="V1596" s="17" ph="1">
        <v>1300</v>
      </c>
    </row>
    <row r="1597" spans="1:24" s="7" customFormat="1" ht="22.5" customHeight="1" ph="1" x14ac:dyDescent="0.35">
      <c r="A1597" s="106" ph="1"/>
      <c r="B1597" s="5" ph="1"/>
      <c r="C1597" s="9" t="s" ph="1">
        <v>5828</v>
      </c>
      <c r="D1597" s="122" ph="1"/>
      <c r="E1597" s="122" ph="1"/>
      <c r="G1597" s="8" t="s" ph="1">
        <v>3599</v>
      </c>
      <c r="H1597" s="9" t="s" ph="1">
        <v>1219</v>
      </c>
      <c r="M1597" s="7" t="str" ph="1">
        <f>IFERROR(INDEX([1]!_born[生没年],
MATCH(I1597,[1]!_born[作],0)),"")</f>
        <v/>
      </c>
      <c r="N1597" s="7" t="str" ph="1">
        <f>IFERROR(INDEX([1]!_born[生没年],
MATCH(K1597,[1]!_born[作],0)),"")</f>
        <v/>
      </c>
      <c r="R1597" s="10" ph="1"/>
      <c r="U1597" s="10" ph="1"/>
      <c r="V1597" s="11" ph="1"/>
      <c r="W1597" s="11" ph="1"/>
    </row>
    <row r="1598" spans="1:24" ht="22.5" customHeight="1" ph="1" x14ac:dyDescent="0.35">
      <c r="C1598" s="13" t="s" ph="1">
        <v>4106</v>
      </c>
      <c r="G1598" s="13" t="s" ph="1">
        <v>1218</v>
      </c>
      <c r="H1598" s="13" t="s" ph="1">
        <v>4423</v>
      </c>
      <c r="I1598" s="13" t="s" ph="1">
        <v>7302</v>
      </c>
      <c r="M1598" s="14" t="str" ph="1">
        <f>IFERROR(INDEX([1]!_born[生没年],
MATCH(I1598,[1]!_born[作],0)),"")</f>
        <v/>
      </c>
      <c r="N1598" s="14" t="str" ph="1">
        <f>IFERROR(INDEX([1]!_born[生没年],
MATCH(K1598,[1]!_born[作],0)),"")</f>
        <v/>
      </c>
      <c r="O1598" s="15" t="s" ph="1">
        <v>7303</v>
      </c>
      <c r="T1598" s="13" t="s" ph="1">
        <v>7304</v>
      </c>
      <c r="V1598" s="17" ph="1">
        <v>168000</v>
      </c>
      <c r="W1598" s="17" ph="1">
        <v>0</v>
      </c>
    </row>
    <row r="1599" spans="1:24" ht="22.5" customHeight="1" ph="1" x14ac:dyDescent="0.35">
      <c r="C1599" s="13" t="s" ph="1">
        <v>4106</v>
      </c>
      <c r="G1599" s="13" t="s" ph="1">
        <v>112</v>
      </c>
      <c r="I1599" s="13" t="s" ph="1">
        <v>7305</v>
      </c>
      <c r="M1599" s="14" t="str" ph="1">
        <f>IFERROR(INDEX([1]!_born[生没年],
MATCH(I1599,[1]!_born[作],0)),"")</f>
        <v/>
      </c>
      <c r="N1599" s="14" t="str" ph="1">
        <f>IFERROR(INDEX([1]!_born[生没年],
MATCH(K1599,[1]!_born[作],0)),"")</f>
        <v/>
      </c>
      <c r="O1599" s="13" t="s" ph="1">
        <v>7306</v>
      </c>
      <c r="R1599" s="16" t="s" ph="1">
        <v>1316</v>
      </c>
      <c r="S1599" s="13" t="s" ph="1">
        <v>7307</v>
      </c>
      <c r="T1599" s="13" t="s" ph="1">
        <v>3938</v>
      </c>
      <c r="U1599" s="16" ph="1">
        <v>37800</v>
      </c>
      <c r="V1599" s="17" ph="1">
        <v>1400</v>
      </c>
      <c r="W1599" s="17" ph="1">
        <v>500</v>
      </c>
      <c r="X1599" s="13" t="s" ph="1">
        <v>4034</v>
      </c>
    </row>
    <row r="1600" spans="1:24" ht="22.5" customHeight="1" ph="1" x14ac:dyDescent="0.35">
      <c r="A1600" s="106" t="s" ph="1">
        <v>2512</v>
      </c>
      <c r="B1600" s="5" t="s" ph="1">
        <v>2511</v>
      </c>
      <c r="C1600" s="13" t="s" ph="1">
        <v>5828</v>
      </c>
      <c r="G1600" s="13" t="s" ph="1">
        <v>1309</v>
      </c>
      <c r="I1600" s="13" t="s" ph="1">
        <v>7308</v>
      </c>
      <c r="M1600" s="14" t="str" ph="1">
        <f>IFERROR(INDEX([1]!_born[生没年],
MATCH(I1600,[1]!_born[作],0)),"")</f>
        <v/>
      </c>
      <c r="N1600" s="14" t="str" ph="1">
        <f>IFERROR(INDEX([1]!_born[生没年],
MATCH(K1600,[1]!_born[作],0)),"")</f>
        <v/>
      </c>
      <c r="O1600" s="13" t="s" ph="1">
        <v>7309</v>
      </c>
      <c r="R1600" s="90" t="s" ph="1">
        <v>2510</v>
      </c>
      <c r="S1600" s="13" t="s" ph="1">
        <v>7310</v>
      </c>
      <c r="T1600" s="13" t="s" ph="1">
        <v>7311</v>
      </c>
      <c r="U1600" s="16" ph="1">
        <v>40427</v>
      </c>
      <c r="V1600" s="17" ph="1">
        <v>580</v>
      </c>
      <c r="W1600" s="17" ph="1">
        <f>170+250</f>
        <v>420</v>
      </c>
      <c r="X1600" s="13" t="s" ph="1">
        <v>2630</v>
      </c>
    </row>
    <row r="1601" spans="1:25" ht="22.5" customHeight="1" ph="1" x14ac:dyDescent="0.35">
      <c r="C1601" s="13" t="s" ph="1">
        <v>4106</v>
      </c>
      <c r="G1601" s="13" t="s" ph="1">
        <v>1309</v>
      </c>
      <c r="I1601" s="13" t="s" ph="1">
        <v>7312</v>
      </c>
      <c r="K1601" s="13" t="s" ph="1">
        <v>7313</v>
      </c>
      <c r="M1601" s="14" t="str" ph="1">
        <f>IFERROR(INDEX([1]!_born[生没年],
MATCH(I1601,[1]!_born[作],0)),"")</f>
        <v/>
      </c>
      <c r="N1601" s="14" t="str" ph="1">
        <f>IFERROR(INDEX([1]!_born[生没年],
MATCH(K1601,[1]!_born[作],0)),"")</f>
        <v/>
      </c>
      <c r="O1601" s="13" t="s" ph="1">
        <v>7314</v>
      </c>
      <c r="R1601" s="16" t="s" ph="1">
        <v>1317</v>
      </c>
      <c r="T1601" s="13" t="s" ph="1">
        <v>7315</v>
      </c>
      <c r="V1601" s="17" ph="1">
        <v>1200</v>
      </c>
      <c r="W1601" s="17" ph="1">
        <v>350</v>
      </c>
    </row>
    <row r="1602" spans="1:25" ht="22.5" customHeight="1" ph="1" x14ac:dyDescent="0.35">
      <c r="A1602" s="106" t="s" ph="1">
        <v>2944</v>
      </c>
      <c r="B1602" s="5" t="s" ph="1">
        <v>2945</v>
      </c>
      <c r="C1602" s="13" t="s" ph="1">
        <v>4106</v>
      </c>
      <c r="G1602" s="13" t="s" ph="1">
        <v>46</v>
      </c>
      <c r="H1602" s="13" t="s" ph="1">
        <v>61</v>
      </c>
      <c r="I1602" s="13" t="s" ph="1">
        <v>6222</v>
      </c>
      <c r="J1602" s="13" t="s" ph="1">
        <v>3664</v>
      </c>
      <c r="M1602" s="14" t="str" ph="1">
        <f>IFERROR(INDEX([1]!_born[生没年],
MATCH(I1602,[1]!_born[作],0)),"")</f>
        <v/>
      </c>
      <c r="N1602" s="14" t="str" ph="1">
        <f>IFERROR(INDEX([1]!_born[生没年],
MATCH(K1602,[1]!_born[作],0)),"")</f>
        <v/>
      </c>
      <c r="O1602" s="13" t="s" ph="1">
        <v>7316</v>
      </c>
      <c r="R1602" s="16" ph="1">
        <v>38341</v>
      </c>
      <c r="S1602" s="13" t="s" ph="1">
        <v>7317</v>
      </c>
      <c r="T1602" s="13" t="s" ph="1">
        <v>7318</v>
      </c>
      <c r="U1602" s="16" ph="1">
        <v>42776</v>
      </c>
      <c r="V1602" s="17" ph="1">
        <v>1260</v>
      </c>
      <c r="W1602" s="17" ph="1">
        <v>1</v>
      </c>
      <c r="X1602" s="13" t="s" ph="1">
        <v>7319</v>
      </c>
    </row>
    <row r="1603" spans="1:25" ht="22.5" customHeight="1" ph="1" x14ac:dyDescent="0.35">
      <c r="C1603" s="13" t="s" ph="1">
        <v>4106</v>
      </c>
      <c r="G1603" s="13" t="s" ph="1">
        <v>46</v>
      </c>
      <c r="H1603" s="13" t="s" ph="1">
        <v>61</v>
      </c>
      <c r="I1603" s="13" t="s" ph="1">
        <v>7320</v>
      </c>
      <c r="J1603" s="13" t="s" ph="1">
        <v>3664</v>
      </c>
      <c r="M1603" s="14" t="str" ph="1">
        <f>IFERROR(INDEX([1]!_born[生没年],
MATCH(I1603,[1]!_born[作],0)),"")</f>
        <v/>
      </c>
      <c r="N1603" s="14" t="str" ph="1">
        <f>IFERROR(INDEX([1]!_born[生没年],
MATCH(K1603,[1]!_born[作],0)),"")</f>
        <v/>
      </c>
      <c r="O1603" s="13" t="s" ph="1">
        <v>7321</v>
      </c>
      <c r="R1603" s="16" ph="1">
        <v>25666</v>
      </c>
      <c r="S1603" s="13" t="s" ph="1">
        <v>7322</v>
      </c>
      <c r="T1603" s="13" t="s" ph="1">
        <v>7323</v>
      </c>
      <c r="U1603" s="16" t="s" ph="1">
        <v>50</v>
      </c>
      <c r="V1603" s="17" ph="1">
        <v>750</v>
      </c>
      <c r="W1603" s="17" ph="1">
        <v>750</v>
      </c>
      <c r="X1603" s="13" t="s" ph="1">
        <v>4724</v>
      </c>
      <c r="Y1603" s="13" t="s" ph="1">
        <v>4725</v>
      </c>
    </row>
    <row r="1604" spans="1:25" ht="22.5" customHeight="1" ph="1" x14ac:dyDescent="0.35">
      <c r="A1604" s="106" t="s" ph="1">
        <v>2729</v>
      </c>
      <c r="C1604" s="13" t="s" ph="1">
        <v>6459</v>
      </c>
      <c r="G1604" s="13" t="s" ph="1">
        <v>46</v>
      </c>
      <c r="H1604" s="13" t="s" ph="1">
        <v>2491</v>
      </c>
      <c r="I1604" s="13" t="s" ph="1">
        <v>7324</v>
      </c>
      <c r="K1604" s="13" t="s" ph="1">
        <v>7325</v>
      </c>
      <c r="L1604" s="13" t="s" ph="1">
        <v>5423</v>
      </c>
      <c r="M1604" s="14" t="str" ph="1">
        <f>IFERROR(INDEX([1]!_born[生没年],
MATCH(I1604,[1]!_born[作],0)),"")</f>
        <v/>
      </c>
      <c r="N1604" s="14" t="str" ph="1">
        <f>IFERROR(INDEX([1]!_born[生没年],
MATCH(K1604,[1]!_born[作],0)),"")</f>
        <v/>
      </c>
      <c r="O1604" s="13" t="s" ph="1">
        <v>7326</v>
      </c>
      <c r="R1604" s="16" ph="1">
        <v>27395</v>
      </c>
      <c r="S1604" s="13" t="s" ph="1">
        <v>7327</v>
      </c>
      <c r="T1604" s="13" t="s" ph="1">
        <v>4723</v>
      </c>
      <c r="U1604" s="16" t="s" ph="1">
        <v>50</v>
      </c>
      <c r="V1604" s="17" ph="1">
        <v>0</v>
      </c>
      <c r="W1604" s="17" ph="1">
        <v>0</v>
      </c>
      <c r="X1604" s="13" t="s" ph="1">
        <v>4724</v>
      </c>
      <c r="Y1604" s="13" t="s" ph="1">
        <v>4725</v>
      </c>
    </row>
    <row r="1605" spans="1:25" ht="22.5" customHeight="1" ph="1" x14ac:dyDescent="0.35">
      <c r="A1605" s="106" t="s" ph="1">
        <v>2730</v>
      </c>
      <c r="C1605" s="13" t="s" ph="1">
        <v>6459</v>
      </c>
      <c r="G1605" s="13" t="s" ph="1">
        <v>46</v>
      </c>
      <c r="H1605" s="13" t="s" ph="1">
        <v>2731</v>
      </c>
      <c r="I1605" s="13" t="s" ph="1">
        <v>7328</v>
      </c>
      <c r="M1605" s="14" t="str" ph="1">
        <f>IFERROR(INDEX([1]!_born[生没年],
MATCH(I1605,[1]!_born[作],0)),"")</f>
        <v/>
      </c>
      <c r="N1605" s="14" t="str" ph="1">
        <f>IFERROR(INDEX([1]!_born[生没年],
MATCH(K1605,[1]!_born[作],0)),"")</f>
        <v/>
      </c>
      <c r="O1605" s="13" t="s" ph="1">
        <v>7329</v>
      </c>
      <c r="R1605" s="16" ph="1">
        <v>27395</v>
      </c>
      <c r="S1605" s="13" t="s" ph="1">
        <v>7330</v>
      </c>
      <c r="T1605" s="13" t="s" ph="1">
        <v>4723</v>
      </c>
      <c r="U1605" s="16" t="s" ph="1">
        <v>50</v>
      </c>
      <c r="V1605" s="17" ph="1">
        <f>220-20</f>
        <v>200</v>
      </c>
      <c r="W1605" s="17" ph="1">
        <f>220-20</f>
        <v>200</v>
      </c>
      <c r="X1605" s="13" t="s" ph="1">
        <v>4724</v>
      </c>
      <c r="Y1605" s="13" t="s" ph="1">
        <v>4725</v>
      </c>
    </row>
    <row r="1606" spans="1:25" ht="22.5" customHeight="1" ph="1" x14ac:dyDescent="0.35">
      <c r="C1606" s="13" t="s" ph="1">
        <v>599</v>
      </c>
      <c r="G1606" s="13" t="s" ph="1">
        <v>3884</v>
      </c>
      <c r="H1606" s="13" t="s" ph="1">
        <v>61</v>
      </c>
      <c r="I1606" s="13" t="s" ph="1">
        <v>7331</v>
      </c>
      <c r="M1606" s="14" t="str" ph="1">
        <f>IFERROR(INDEX([1]!_born[生没年],
MATCH(I1606,[1]!_born[作],0)),"")</f>
        <v/>
      </c>
      <c r="N1606" s="14" t="str" ph="1">
        <f>IFERROR(INDEX([1]!_born[生没年],
MATCH(K1606,[1]!_born[作],0)),"")</f>
        <v/>
      </c>
      <c r="O1606" s="13" t="s" ph="1">
        <v>7332</v>
      </c>
      <c r="R1606" s="16" t="s" ph="1">
        <v>2732</v>
      </c>
      <c r="T1606" s="13" t="s" ph="1">
        <v>7331</v>
      </c>
      <c r="U1606" s="16" t="s" ph="1">
        <v>50</v>
      </c>
      <c r="V1606" s="17" ph="1">
        <v>0</v>
      </c>
      <c r="W1606" s="17" ph="1">
        <v>0</v>
      </c>
      <c r="X1606" s="13" t="s" ph="1">
        <v>4724</v>
      </c>
      <c r="Y1606" s="13" t="s" ph="1">
        <v>4725</v>
      </c>
    </row>
    <row r="1607" spans="1:25" ht="22.5" customHeight="1" ph="1" x14ac:dyDescent="0.35">
      <c r="A1607" s="106" t="s" ph="1">
        <v>2733</v>
      </c>
      <c r="C1607" s="13" t="s" ph="1">
        <v>5828</v>
      </c>
      <c r="G1607" s="13" t="s" ph="1">
        <v>46</v>
      </c>
      <c r="H1607" s="13" t="s" ph="1">
        <v>61</v>
      </c>
      <c r="I1607" s="13" t="s" ph="1">
        <v>7333</v>
      </c>
      <c r="J1607" s="13" t="s" ph="1">
        <v>3664</v>
      </c>
      <c r="M1607" s="14" t="str" ph="1">
        <f>IFERROR(INDEX([1]!_born[生没年],
MATCH(I1607,[1]!_born[作],0)),"")</f>
        <v/>
      </c>
      <c r="N1607" s="14" t="str" ph="1">
        <f>IFERROR(INDEX([1]!_born[生没年],
MATCH(K1607,[1]!_born[作],0)),"")</f>
        <v/>
      </c>
      <c r="O1607" s="13" t="s" ph="1">
        <v>7334</v>
      </c>
      <c r="R1607" s="16" ph="1">
        <v>25096</v>
      </c>
      <c r="S1607" s="13" t="s" ph="1">
        <v>7335</v>
      </c>
      <c r="T1607" s="13" t="s" ph="1">
        <v>4132</v>
      </c>
      <c r="U1607" s="16" t="s" ph="1">
        <v>50</v>
      </c>
      <c r="V1607" s="17" ph="1">
        <v>560</v>
      </c>
      <c r="W1607" s="17" ph="1">
        <v>560</v>
      </c>
      <c r="X1607" s="13" t="s" ph="1">
        <v>4724</v>
      </c>
      <c r="Y1607" s="13" t="s" ph="1">
        <v>4725</v>
      </c>
    </row>
    <row r="1608" spans="1:25" ht="22.5" customHeight="1" ph="1" x14ac:dyDescent="0.35">
      <c r="A1608" s="106" t="s" ph="1">
        <v>2733</v>
      </c>
      <c r="C1608" s="13" t="s" ph="1">
        <v>5828</v>
      </c>
      <c r="G1608" s="13" t="s" ph="1">
        <v>46</v>
      </c>
      <c r="H1608" s="13" t="s" ph="1">
        <v>61</v>
      </c>
      <c r="I1608" s="13" t="s" ph="1">
        <v>7336</v>
      </c>
      <c r="J1608" s="13" t="s" ph="1">
        <v>3664</v>
      </c>
      <c r="M1608" s="14" t="str" ph="1">
        <f>IFERROR(INDEX([1]!_born[生没年],
MATCH(I1608,[1]!_born[作],0)),"")</f>
        <v/>
      </c>
      <c r="N1608" s="14" t="str" ph="1">
        <f>IFERROR(INDEX([1]!_born[生没年],
MATCH(K1608,[1]!_born[作],0)),"")</f>
        <v/>
      </c>
      <c r="O1608" s="13" t="s" ph="1">
        <v>7337</v>
      </c>
      <c r="R1608" s="16" ph="1">
        <v>27287</v>
      </c>
      <c r="S1608" s="13" t="s" ph="1">
        <v>2734</v>
      </c>
      <c r="T1608" s="13" t="s" ph="1">
        <v>6207</v>
      </c>
      <c r="U1608" s="16" t="s" ph="1">
        <v>50</v>
      </c>
      <c r="V1608" s="17" ph="1">
        <v>560</v>
      </c>
      <c r="W1608" s="17" ph="1">
        <v>560</v>
      </c>
      <c r="X1608" s="13" t="s" ph="1">
        <v>4724</v>
      </c>
      <c r="Y1608" s="13" t="s" ph="1">
        <v>4725</v>
      </c>
    </row>
    <row r="1609" spans="1:25" ht="22.5" customHeight="1" ph="1" x14ac:dyDescent="0.35">
      <c r="C1609" s="13" t="s" ph="1">
        <v>4106</v>
      </c>
      <c r="G1609" s="13" t="s" ph="1">
        <v>1260</v>
      </c>
      <c r="I1609" s="13" t="s" ph="1">
        <v>7338</v>
      </c>
      <c r="J1609" s="13" t="s" ph="1">
        <v>7339</v>
      </c>
      <c r="M1609" s="14" t="str" ph="1">
        <f>IFERROR(INDEX([1]!_born[生没年],
MATCH(I1609,[1]!_born[作],0)),"")</f>
        <v/>
      </c>
      <c r="N1609" s="14" t="str" ph="1">
        <f>IFERROR(INDEX([1]!_born[生没年],
MATCH(K1609,[1]!_born[作],0)),"")</f>
        <v/>
      </c>
      <c r="O1609" s="13" t="s" ph="1">
        <v>7340</v>
      </c>
      <c r="R1609" s="16" t="s" ph="1">
        <v>1318</v>
      </c>
      <c r="T1609" s="13" t="s" ph="1">
        <v>7341</v>
      </c>
      <c r="V1609" s="17" ph="1">
        <v>680</v>
      </c>
    </row>
    <row r="1610" spans="1:25" ht="22.5" customHeight="1" ph="1" x14ac:dyDescent="0.35">
      <c r="C1610" s="13" t="s" ph="1">
        <v>4106</v>
      </c>
      <c r="G1610" s="13" t="s" ph="1">
        <v>3599</v>
      </c>
      <c r="I1610" s="13" t="s" ph="1">
        <v>7342</v>
      </c>
      <c r="K1610" s="13" t="s" ph="1">
        <v>295</v>
      </c>
      <c r="L1610" s="13" t="s" ph="1">
        <v>1319</v>
      </c>
      <c r="M1610" s="14" t="str" ph="1">
        <f>IFERROR(INDEX([1]!_born[生没年],
MATCH(I1610,[1]!_born[作],0)),"")</f>
        <v/>
      </c>
      <c r="N1610" s="14" t="str" ph="1">
        <f>IFERROR(INDEX([1]!_born[生没年],
MATCH(K1610,[1]!_born[作],0)),"")</f>
        <v/>
      </c>
      <c r="O1610" s="13" t="s" ph="1">
        <v>7343</v>
      </c>
      <c r="R1610" s="16" t="s" ph="1">
        <v>1320</v>
      </c>
      <c r="S1610" s="13" t="s" ph="1">
        <v>1321</v>
      </c>
      <c r="T1610" s="13" t="s" ph="1">
        <v>7344</v>
      </c>
      <c r="V1610" s="17" ph="1">
        <v>460</v>
      </c>
    </row>
    <row r="1611" spans="1:25" ht="22.5" customHeight="1" ph="1" x14ac:dyDescent="0.35">
      <c r="C1611" s="13" t="s" ph="1">
        <v>7345</v>
      </c>
      <c r="G1611" s="13" t="s" ph="1">
        <v>3803</v>
      </c>
      <c r="I1611" s="13" t="s" ph="1">
        <v>7346</v>
      </c>
      <c r="J1611" s="13" t="s" ph="1">
        <v>7347</v>
      </c>
      <c r="M1611" s="14" t="str" ph="1">
        <f>IFERROR(INDEX([1]!_born[生没年],
MATCH(I1611,[1]!_born[作],0)),"")</f>
        <v/>
      </c>
      <c r="N1611" s="14" t="str" ph="1">
        <f>IFERROR(INDEX([1]!_born[生没年],
MATCH(K1611,[1]!_born[作],0)),"")</f>
        <v/>
      </c>
      <c r="O1611" s="13" t="s" ph="1">
        <v>7348</v>
      </c>
    </row>
    <row r="1612" spans="1:25" ht="22.5" customHeight="1" ph="1" x14ac:dyDescent="0.35">
      <c r="C1612" s="13" t="s" ph="1">
        <v>7345</v>
      </c>
      <c r="G1612" s="13" t="s" ph="1">
        <v>1218</v>
      </c>
      <c r="I1612" s="13" t="s" ph="1">
        <v>1322</v>
      </c>
      <c r="M1612" s="14" t="str" ph="1">
        <f>IFERROR(INDEX([1]!_born[生没年],
MATCH(I1612,[1]!_born[作],0)),"")</f>
        <v/>
      </c>
      <c r="N1612" s="14" t="str" ph="1">
        <f>IFERROR(INDEX([1]!_born[生没年],
MATCH(K1612,[1]!_born[作],0)),"")</f>
        <v/>
      </c>
      <c r="O1612" s="13" t="s" ph="1">
        <v>7349</v>
      </c>
    </row>
    <row r="1613" spans="1:25" ht="22.5" customHeight="1" ph="1" x14ac:dyDescent="0.35">
      <c r="C1613" s="13" t="s" ph="1">
        <v>5828</v>
      </c>
      <c r="G1613" s="13" t="s" ph="1">
        <v>1323</v>
      </c>
      <c r="H1613" s="13" t="s" ph="1">
        <v>1324</v>
      </c>
      <c r="I1613" s="13" t="s" ph="1">
        <v>7350</v>
      </c>
      <c r="J1613" s="13" t="s" ph="1">
        <v>3671</v>
      </c>
      <c r="K1613" s="13" t="s" ph="1">
        <v>7351</v>
      </c>
      <c r="M1613" s="14" t="str" ph="1">
        <f>IFERROR(INDEX([1]!_born[生没年],
MATCH(I1613,[1]!_born[作],0)),"")</f>
        <v/>
      </c>
      <c r="N1613" s="14" t="str" ph="1">
        <f>IFERROR(INDEX([1]!_born[生没年],
MATCH(K1613,[1]!_born[作],0)),"")</f>
        <v/>
      </c>
      <c r="O1613" s="13" t="s" ph="1">
        <v>7352</v>
      </c>
      <c r="R1613" s="16" ph="1">
        <v>25399</v>
      </c>
      <c r="S1613" s="13" t="s" ph="1">
        <v>1325</v>
      </c>
      <c r="T1613" s="13" t="s" ph="1">
        <v>7353</v>
      </c>
      <c r="U1613" s="16" ph="1">
        <v>39594</v>
      </c>
      <c r="V1613" s="17" ph="1">
        <v>300</v>
      </c>
      <c r="W1613" s="17" ph="1">
        <f>1000*0.9</f>
        <v>900</v>
      </c>
      <c r="X1613" s="13" t="s" ph="1">
        <v>5298</v>
      </c>
    </row>
    <row r="1614" spans="1:25" ht="22.5" customHeight="1" ph="1" x14ac:dyDescent="0.35">
      <c r="C1614" s="13" t="s" ph="1">
        <v>5828</v>
      </c>
      <c r="G1614" s="13" t="s" ph="1">
        <v>1323</v>
      </c>
      <c r="H1614" s="13" t="s" ph="1">
        <v>1324</v>
      </c>
      <c r="I1614" s="13" t="s" ph="1">
        <v>7350</v>
      </c>
      <c r="J1614" s="13" t="s" ph="1">
        <v>3671</v>
      </c>
      <c r="K1614" s="13" t="s" ph="1">
        <v>7354</v>
      </c>
      <c r="M1614" s="14" t="str" ph="1">
        <f>IFERROR(INDEX([1]!_born[生没年],
MATCH(I1614,[1]!_born[作],0)),"")</f>
        <v/>
      </c>
      <c r="N1614" s="14" t="str" ph="1">
        <f>IFERROR(INDEX([1]!_born[生没年],
MATCH(K1614,[1]!_born[作],0)),"")</f>
        <v/>
      </c>
      <c r="O1614" s="13" t="s" ph="1">
        <v>7355</v>
      </c>
      <c r="R1614" s="16" ph="1">
        <v>25461</v>
      </c>
      <c r="S1614" s="13" t="s" ph="1">
        <v>1325</v>
      </c>
      <c r="T1614" s="13" t="s" ph="1">
        <v>7353</v>
      </c>
      <c r="U1614" s="16" ph="1">
        <v>39596</v>
      </c>
      <c r="V1614" s="17" ph="1">
        <v>300</v>
      </c>
      <c r="W1614" s="17" ph="1">
        <f>1350*0.9</f>
        <v>1215</v>
      </c>
      <c r="X1614" s="13" t="s" ph="1">
        <v>5298</v>
      </c>
    </row>
    <row r="1615" spans="1:25" ht="22.5" customHeight="1" ph="1" x14ac:dyDescent="0.35">
      <c r="A1615" s="106" t="s" ph="1">
        <v>3140</v>
      </c>
      <c r="C1615" s="13" t="s" ph="1">
        <v>5828</v>
      </c>
      <c r="G1615" s="13" t="s" ph="1">
        <v>46</v>
      </c>
      <c r="H1615" s="13" t="s" ph="1">
        <v>61</v>
      </c>
      <c r="I1615" s="13" t="s" ph="1">
        <v>7356</v>
      </c>
      <c r="J1615" s="13" t="s" ph="1">
        <v>3664</v>
      </c>
      <c r="M1615" s="14" t="str" ph="1">
        <f>IFERROR(INDEX([1]!_born[生没年],
MATCH(I1615,[1]!_born[作],0)),"")</f>
        <v/>
      </c>
      <c r="N1615" s="14" t="str" ph="1">
        <f>IFERROR(INDEX([1]!_born[生没年],
MATCH(K1615,[1]!_born[作],0)),"")</f>
        <v/>
      </c>
      <c r="O1615" s="13" t="s" ph="1">
        <v>7357</v>
      </c>
      <c r="R1615" s="16" ph="1">
        <v>39783</v>
      </c>
      <c r="S1615" s="13" t="s" ph="1">
        <v>7358</v>
      </c>
      <c r="T1615" s="13" t="s" ph="1">
        <v>3607</v>
      </c>
      <c r="U1615" s="16" ph="1">
        <v>44599</v>
      </c>
      <c r="W1615" s="17" ph="1">
        <f>884+257</f>
        <v>1141</v>
      </c>
      <c r="X1615" s="13" t="s" ph="1">
        <v>2874</v>
      </c>
    </row>
    <row r="1616" spans="1:25" ht="22.5" customHeight="1" ph="1" x14ac:dyDescent="0.35">
      <c r="C1616" s="13" t="s" ph="1">
        <v>5828</v>
      </c>
      <c r="G1616" s="13" t="s" ph="1">
        <v>1323</v>
      </c>
      <c r="H1616" s="13" t="s" ph="1">
        <v>1326</v>
      </c>
      <c r="I1616" s="13" t="s" ph="1">
        <v>7359</v>
      </c>
      <c r="M1616" s="14" t="str" ph="1">
        <f>IFERROR(INDEX([1]!_born[生没年],
MATCH(I1616,[1]!_born[作],0)),"")</f>
        <v/>
      </c>
      <c r="N1616" s="14" t="str" ph="1">
        <f>IFERROR(INDEX([1]!_born[生没年],
MATCH(K1616,[1]!_born[作],0)),"")</f>
        <v/>
      </c>
      <c r="O1616" s="13" t="s" ph="1">
        <v>7360</v>
      </c>
      <c r="R1616" s="16" ph="1">
        <v>23543</v>
      </c>
      <c r="S1616" s="13" t="s" ph="1">
        <v>7361</v>
      </c>
      <c r="T1616" s="13" t="s" ph="1">
        <v>3926</v>
      </c>
      <c r="U1616" s="16" ph="1">
        <v>39594</v>
      </c>
      <c r="V1616" s="17" ph="1">
        <v>240</v>
      </c>
      <c r="W1616" s="17" ph="1">
        <f>630*0.9</f>
        <v>567</v>
      </c>
      <c r="X1616" s="13" t="s" ph="1">
        <v>5298</v>
      </c>
    </row>
    <row r="1617" spans="1:24" ht="22.5" customHeight="1" ph="1" x14ac:dyDescent="0.35">
      <c r="C1617" s="13" t="s" ph="1">
        <v>5828</v>
      </c>
      <c r="G1617" s="13" t="s" ph="1">
        <v>1323</v>
      </c>
      <c r="H1617" s="13" t="s" ph="1">
        <v>1327</v>
      </c>
      <c r="I1617" s="13" t="s" ph="1">
        <v>7359</v>
      </c>
      <c r="M1617" s="14" t="str" ph="1">
        <f>IFERROR(INDEX([1]!_born[生没年],
MATCH(I1617,[1]!_born[作],0)),"")</f>
        <v/>
      </c>
      <c r="N1617" s="14" t="str" ph="1">
        <f>IFERROR(INDEX([1]!_born[生没年],
MATCH(K1617,[1]!_born[作],0)),"")</f>
        <v/>
      </c>
      <c r="O1617" s="13" t="s" ph="1">
        <v>7362</v>
      </c>
      <c r="R1617" s="16" ph="1">
        <v>23910</v>
      </c>
      <c r="S1617" s="13" t="s" ph="1">
        <v>7361</v>
      </c>
      <c r="T1617" s="13" t="s" ph="1">
        <v>3926</v>
      </c>
      <c r="U1617" s="16" ph="1">
        <v>39594</v>
      </c>
      <c r="V1617" s="17" ph="1">
        <v>240</v>
      </c>
      <c r="W1617" s="17" ph="1">
        <f>630*0.9</f>
        <v>567</v>
      </c>
      <c r="X1617" s="13" t="s" ph="1">
        <v>5298</v>
      </c>
    </row>
    <row r="1618" spans="1:24" ht="22.5" customHeight="1" ph="1" x14ac:dyDescent="0.35">
      <c r="C1618" s="13" t="s" ph="1">
        <v>5828</v>
      </c>
      <c r="G1618" s="13" t="s" ph="1">
        <v>1218</v>
      </c>
      <c r="H1618" s="13" t="s" ph="1">
        <v>1219</v>
      </c>
      <c r="I1618" s="13" t="s" ph="1">
        <v>7363</v>
      </c>
      <c r="M1618" s="14" t="str" ph="1">
        <f>IFERROR(INDEX([1]!_born[生没年],
MATCH(I1618,[1]!_born[作],0)),"")</f>
        <v/>
      </c>
      <c r="N1618" s="14" t="str" ph="1">
        <f>IFERROR(INDEX([1]!_born[生没年],
MATCH(K1618,[1]!_born[作],0)),"")</f>
        <v/>
      </c>
      <c r="O1618" s="13" t="s" ph="1">
        <v>7364</v>
      </c>
      <c r="R1618" s="16" t="s" ph="1">
        <v>1328</v>
      </c>
      <c r="S1618" s="13" t="s" ph="1">
        <v>7365</v>
      </c>
      <c r="T1618" s="13" t="s" ph="1">
        <v>7366</v>
      </c>
      <c r="V1618" s="17" ph="1">
        <v>600</v>
      </c>
    </row>
    <row r="1619" spans="1:24" ht="22.5" customHeight="1" ph="1" x14ac:dyDescent="0.35">
      <c r="C1619" s="13" t="s" ph="1">
        <v>5828</v>
      </c>
      <c r="G1619" s="13" t="s" ph="1">
        <v>3599</v>
      </c>
      <c r="H1619" s="13" t="s" ph="1">
        <v>1219</v>
      </c>
      <c r="I1619" s="13" t="s" ph="1">
        <v>7367</v>
      </c>
      <c r="M1619" s="14" t="str" ph="1">
        <f>IFERROR(INDEX([1]!_born[生没年],
MATCH(I1619,[1]!_born[作],0)),"")</f>
        <v/>
      </c>
      <c r="N1619" s="14" t="str" ph="1">
        <f>IFERROR(INDEX([1]!_born[生没年],
MATCH(K1619,[1]!_born[作],0)),"")</f>
        <v/>
      </c>
      <c r="O1619" s="13" t="s" ph="1">
        <v>7368</v>
      </c>
      <c r="R1619" s="16" t="s" ph="1">
        <v>1329</v>
      </c>
      <c r="S1619" s="13" t="s" ph="1">
        <v>1330</v>
      </c>
      <c r="T1619" s="13" t="s" ph="1">
        <v>7369</v>
      </c>
      <c r="V1619" s="17" ph="1">
        <v>300</v>
      </c>
    </row>
    <row r="1620" spans="1:24" ht="22.5" customHeight="1" ph="1" x14ac:dyDescent="0.35">
      <c r="A1620" s="106" t="s" ph="1">
        <v>1331</v>
      </c>
      <c r="B1620" s="5" t="s" ph="1">
        <v>1332</v>
      </c>
      <c r="C1620" s="13" t="s" ph="1">
        <v>5828</v>
      </c>
      <c r="G1620" s="13" t="s" ph="1">
        <v>3599</v>
      </c>
      <c r="H1620" s="13" t="s" ph="1">
        <v>1219</v>
      </c>
      <c r="I1620" s="13" t="s" ph="1">
        <v>7370</v>
      </c>
      <c r="M1620" s="14" t="str" ph="1">
        <f>IFERROR(INDEX([1]!_born[生没年],
MATCH(I1620,[1]!_born[作],0)),"")</f>
        <v/>
      </c>
      <c r="N1620" s="14" t="str" ph="1">
        <f>IFERROR(INDEX([1]!_born[生没年],
MATCH(K1620,[1]!_born[作],0)),"")</f>
        <v/>
      </c>
      <c r="O1620" s="13" t="s" ph="1">
        <v>7371</v>
      </c>
      <c r="R1620" s="16" t="s" ph="1">
        <v>1333</v>
      </c>
      <c r="S1620" s="13" t="s" ph="1">
        <v>1334</v>
      </c>
      <c r="T1620" s="13" t="s" ph="1">
        <v>7372</v>
      </c>
      <c r="U1620" s="16" ph="1">
        <v>38976</v>
      </c>
      <c r="V1620" s="17" ph="1">
        <f>720*1.05</f>
        <v>756</v>
      </c>
      <c r="W1620" s="17" ph="1">
        <f>720*1.05</f>
        <v>756</v>
      </c>
    </row>
    <row r="1621" spans="1:24" ht="22.5" customHeight="1" ph="1" x14ac:dyDescent="0.35">
      <c r="C1621" s="13" t="s" ph="1">
        <v>5828</v>
      </c>
      <c r="G1621" s="13" t="s" ph="1">
        <v>3599</v>
      </c>
      <c r="H1621" s="13" t="s" ph="1">
        <v>1219</v>
      </c>
      <c r="I1621" s="13" t="s" ph="1">
        <v>7373</v>
      </c>
      <c r="M1621" s="14" t="str" ph="1">
        <f>IFERROR(INDEX([1]!_born[生没年],
MATCH(I1621,[1]!_born[作],0)),"")</f>
        <v/>
      </c>
      <c r="N1621" s="14" t="str" ph="1">
        <f>IFERROR(INDEX([1]!_born[生没年],
MATCH(K1621,[1]!_born[作],0)),"")</f>
        <v/>
      </c>
      <c r="O1621" s="13" t="s" ph="1">
        <v>7374</v>
      </c>
      <c r="R1621" s="16" t="s" ph="1">
        <v>1335</v>
      </c>
      <c r="S1621" s="13" t="s" ph="1">
        <v>1336</v>
      </c>
      <c r="T1621" s="13" t="s" ph="1">
        <v>7375</v>
      </c>
      <c r="V1621" s="17" ph="1">
        <v>640</v>
      </c>
    </row>
    <row r="1622" spans="1:24" ht="22.5" customHeight="1" ph="1" x14ac:dyDescent="0.35">
      <c r="C1622" s="13" t="s" ph="1">
        <v>5828</v>
      </c>
      <c r="G1622" s="13" t="s" ph="1">
        <v>3599</v>
      </c>
      <c r="H1622" s="13" t="s" ph="1">
        <v>1219</v>
      </c>
      <c r="I1622" s="13" t="s" ph="1">
        <v>7376</v>
      </c>
      <c r="M1622" s="14" t="str" ph="1">
        <f>IFERROR(INDEX([1]!_born[生没年],
MATCH(I1622,[1]!_born[作],0)),"")</f>
        <v/>
      </c>
      <c r="N1622" s="14" t="str" ph="1">
        <f>IFERROR(INDEX([1]!_born[生没年],
MATCH(K1622,[1]!_born[作],0)),"")</f>
        <v/>
      </c>
      <c r="O1622" s="13" t="s" ph="1">
        <v>7377</v>
      </c>
      <c r="R1622" s="16" t="s" ph="1">
        <v>1292</v>
      </c>
      <c r="S1622" s="13" t="s" ph="1">
        <v>1337</v>
      </c>
      <c r="T1622" s="13" t="s" ph="1">
        <v>7375</v>
      </c>
      <c r="V1622" s="17" ph="1">
        <v>490</v>
      </c>
    </row>
    <row r="1623" spans="1:24" ht="22.5" customHeight="1" ph="1" x14ac:dyDescent="0.35">
      <c r="C1623" s="13" t="s" ph="1">
        <v>5828</v>
      </c>
      <c r="G1623" s="13" t="s" ph="1">
        <v>3599</v>
      </c>
      <c r="H1623" s="13" t="s" ph="1">
        <v>1219</v>
      </c>
      <c r="I1623" s="13" t="s" ph="1">
        <v>7378</v>
      </c>
      <c r="M1623" s="14" t="str" ph="1">
        <f>IFERROR(INDEX([1]!_born[生没年],
MATCH(I1623,[1]!_born[作],0)),"")</f>
        <v/>
      </c>
      <c r="N1623" s="14" t="str" ph="1">
        <f>IFERROR(INDEX([1]!_born[生没年],
MATCH(K1623,[1]!_born[作],0)),"")</f>
        <v/>
      </c>
      <c r="O1623" s="13" t="s" ph="1">
        <v>7379</v>
      </c>
      <c r="R1623" s="16" t="s" ph="1">
        <v>1318</v>
      </c>
      <c r="S1623" s="13" t="s" ph="1">
        <v>1338</v>
      </c>
      <c r="T1623" s="13" t="s" ph="1">
        <v>7375</v>
      </c>
      <c r="V1623" s="17" ph="1">
        <v>560</v>
      </c>
    </row>
    <row r="1624" spans="1:24" ht="22.5" customHeight="1" ph="1" x14ac:dyDescent="0.35">
      <c r="C1624" s="13" t="s" ph="1">
        <v>5828</v>
      </c>
      <c r="G1624" s="13" t="s" ph="1">
        <v>3599</v>
      </c>
      <c r="H1624" s="13" t="s" ph="1">
        <v>1219</v>
      </c>
      <c r="I1624" s="13" t="s" ph="1">
        <v>7380</v>
      </c>
      <c r="M1624" s="14" t="str" ph="1">
        <f>IFERROR(INDEX([1]!_born[生没年],
MATCH(I1624,[1]!_born[作],0)),"")</f>
        <v/>
      </c>
      <c r="N1624" s="14" t="str" ph="1">
        <f>IFERROR(INDEX([1]!_born[生没年],
MATCH(K1624,[1]!_born[作],0)),"")</f>
        <v/>
      </c>
      <c r="O1624" s="13" t="s" ph="1">
        <v>7381</v>
      </c>
      <c r="R1624" s="16" t="s" ph="1">
        <v>1339</v>
      </c>
      <c r="S1624" s="13" t="s" ph="1">
        <v>1340</v>
      </c>
      <c r="T1624" s="13" t="s" ph="1">
        <v>7375</v>
      </c>
      <c r="V1624" s="17" ph="1">
        <v>580</v>
      </c>
    </row>
    <row r="1625" spans="1:24" ht="22.5" customHeight="1" ph="1" x14ac:dyDescent="0.35">
      <c r="C1625" s="13" t="s" ph="1">
        <v>5828</v>
      </c>
      <c r="G1625" s="13" t="s" ph="1">
        <v>3599</v>
      </c>
      <c r="H1625" s="13" t="s" ph="1">
        <v>1219</v>
      </c>
      <c r="I1625" s="13" t="s" ph="1">
        <v>7382</v>
      </c>
      <c r="M1625" s="14" t="str" ph="1">
        <f>IFERROR(INDEX([1]!_born[生没年],
MATCH(I1625,[1]!_born[作],0)),"")</f>
        <v/>
      </c>
      <c r="N1625" s="14" t="str" ph="1">
        <f>IFERROR(INDEX([1]!_born[生没年],
MATCH(K1625,[1]!_born[作],0)),"")</f>
        <v/>
      </c>
      <c r="O1625" s="13" t="s" ph="1">
        <v>7383</v>
      </c>
      <c r="R1625" s="16" t="s" ph="1">
        <v>1341</v>
      </c>
      <c r="S1625" s="13" t="s" ph="1">
        <v>1342</v>
      </c>
      <c r="T1625" s="13" t="s" ph="1">
        <v>7375</v>
      </c>
      <c r="V1625" s="17" ph="1">
        <v>660</v>
      </c>
    </row>
    <row r="1626" spans="1:24" ht="22.5" customHeight="1" ph="1" x14ac:dyDescent="0.35">
      <c r="C1626" s="13" t="s" ph="1">
        <v>5828</v>
      </c>
      <c r="G1626" s="13" t="s" ph="1">
        <v>3599</v>
      </c>
      <c r="H1626" s="13" t="s" ph="1">
        <v>1219</v>
      </c>
      <c r="I1626" s="13" t="s" ph="1">
        <v>7384</v>
      </c>
      <c r="M1626" s="14" t="str" ph="1">
        <f>IFERROR(INDEX([1]!_born[生没年],
MATCH(I1626,[1]!_born[作],0)),"")</f>
        <v/>
      </c>
      <c r="N1626" s="14" t="str" ph="1">
        <f>IFERROR(INDEX([1]!_born[生没年],
MATCH(K1626,[1]!_born[作],0)),"")</f>
        <v/>
      </c>
      <c r="O1626" s="13" t="s" ph="1">
        <v>7385</v>
      </c>
      <c r="R1626" s="16" t="s" ph="1">
        <v>1343</v>
      </c>
      <c r="S1626" s="13" t="s" ph="1">
        <v>1344</v>
      </c>
      <c r="T1626" s="13" t="s" ph="1">
        <v>7375</v>
      </c>
      <c r="V1626" s="17" ph="1">
        <v>540</v>
      </c>
    </row>
    <row r="1627" spans="1:24" ht="22.5" customHeight="1" ph="1" x14ac:dyDescent="0.35">
      <c r="C1627" s="13" t="s" ph="1">
        <v>5828</v>
      </c>
      <c r="G1627" s="13" t="s" ph="1">
        <v>3599</v>
      </c>
      <c r="H1627" s="13" t="s" ph="1">
        <v>1219</v>
      </c>
      <c r="I1627" s="13" t="s" ph="1">
        <v>7386</v>
      </c>
      <c r="M1627" s="14" t="str" ph="1">
        <f>IFERROR(INDEX([1]!_born[生没年],
MATCH(I1627,[1]!_born[作],0)),"")</f>
        <v/>
      </c>
      <c r="N1627" s="14" t="str" ph="1">
        <f>IFERROR(INDEX([1]!_born[生没年],
MATCH(K1627,[1]!_born[作],0)),"")</f>
        <v/>
      </c>
      <c r="O1627" s="13" t="s" ph="1">
        <v>7387</v>
      </c>
      <c r="R1627" s="16" t="s" ph="1">
        <v>1345</v>
      </c>
      <c r="S1627" s="13" t="s" ph="1">
        <v>1346</v>
      </c>
      <c r="T1627" s="13" t="s" ph="1">
        <v>7375</v>
      </c>
      <c r="V1627" s="17" ph="1">
        <v>560</v>
      </c>
    </row>
    <row r="1628" spans="1:24" ht="22.5" customHeight="1" ph="1" x14ac:dyDescent="0.35">
      <c r="C1628" s="13" t="s" ph="1">
        <v>5828</v>
      </c>
      <c r="G1628" s="13" t="s" ph="1">
        <v>3599</v>
      </c>
      <c r="H1628" s="13" t="s" ph="1">
        <v>1219</v>
      </c>
      <c r="I1628" s="13" t="s" ph="1">
        <v>5962</v>
      </c>
      <c r="M1628" s="14" t="str" ph="1">
        <f>IFERROR(INDEX([1]!_born[生没年],
MATCH(I1628,[1]!_born[作],0)),"")</f>
        <v/>
      </c>
      <c r="N1628" s="14" t="str" ph="1">
        <f>IFERROR(INDEX([1]!_born[生没年],
MATCH(K1628,[1]!_born[作],0)),"")</f>
        <v/>
      </c>
      <c r="O1628" s="13" t="s" ph="1">
        <v>7388</v>
      </c>
      <c r="R1628" s="16" t="s" ph="1">
        <v>1347</v>
      </c>
      <c r="S1628" s="13" t="s" ph="1">
        <v>1348</v>
      </c>
      <c r="T1628" s="13" t="s" ph="1">
        <v>7375</v>
      </c>
      <c r="V1628" s="17" ph="1">
        <v>200</v>
      </c>
      <c r="W1628" s="17" ph="1">
        <v>100</v>
      </c>
    </row>
    <row r="1629" spans="1:24" ht="22.5" customHeight="1" ph="1" x14ac:dyDescent="0.35">
      <c r="C1629" s="13" t="s" ph="1">
        <v>5828</v>
      </c>
      <c r="G1629" s="13" t="s" ph="1">
        <v>3599</v>
      </c>
      <c r="H1629" s="13" t="s" ph="1">
        <v>1219</v>
      </c>
      <c r="I1629" s="13" t="s" ph="1">
        <v>7389</v>
      </c>
      <c r="M1629" s="14" t="str" ph="1">
        <f>IFERROR(INDEX([1]!_born[生没年],
MATCH(I1629,[1]!_born[作],0)),"")</f>
        <v/>
      </c>
      <c r="N1629" s="14" t="str" ph="1">
        <f>IFERROR(INDEX([1]!_born[生没年],
MATCH(K1629,[1]!_born[作],0)),"")</f>
        <v/>
      </c>
      <c r="O1629" s="13" t="s" ph="1">
        <v>7390</v>
      </c>
      <c r="R1629" s="16" t="s" ph="1">
        <v>1349</v>
      </c>
      <c r="S1629" s="13" t="s" ph="1">
        <v>1350</v>
      </c>
      <c r="T1629" s="13" t="s" ph="1">
        <v>7375</v>
      </c>
      <c r="V1629" s="17" ph="1">
        <v>480</v>
      </c>
    </row>
    <row r="1630" spans="1:24" ht="22.5" customHeight="1" ph="1" x14ac:dyDescent="0.35">
      <c r="C1630" s="13" t="s" ph="1">
        <v>5828</v>
      </c>
      <c r="G1630" s="13" t="s" ph="1">
        <v>3599</v>
      </c>
      <c r="H1630" s="13" t="s" ph="1">
        <v>1219</v>
      </c>
      <c r="I1630" s="13" t="s" ph="1">
        <v>7391</v>
      </c>
      <c r="M1630" s="14" t="str" ph="1">
        <f>IFERROR(INDEX([1]!_born[生没年],
MATCH(I1630,[1]!_born[作],0)),"")</f>
        <v/>
      </c>
      <c r="N1630" s="14" t="str" ph="1">
        <f>IFERROR(INDEX([1]!_born[生没年],
MATCH(K1630,[1]!_born[作],0)),"")</f>
        <v/>
      </c>
      <c r="O1630" s="13" t="s" ph="1">
        <v>7392</v>
      </c>
      <c r="R1630" s="16" t="s" ph="1">
        <v>1318</v>
      </c>
      <c r="S1630" s="13" t="s" ph="1">
        <v>1351</v>
      </c>
      <c r="T1630" s="13" t="s" ph="1">
        <v>7375</v>
      </c>
      <c r="V1630" s="17" ph="1">
        <v>560</v>
      </c>
    </row>
    <row r="1631" spans="1:24" ht="22.5" customHeight="1" ph="1" x14ac:dyDescent="0.35">
      <c r="C1631" s="13" t="s" ph="1">
        <v>5828</v>
      </c>
      <c r="G1631" s="13" t="s" ph="1">
        <v>3599</v>
      </c>
      <c r="H1631" s="13" t="s" ph="1">
        <v>1219</v>
      </c>
      <c r="I1631" s="13" t="s" ph="1">
        <v>7393</v>
      </c>
      <c r="J1631" s="13" t="s" ph="1">
        <v>7394</v>
      </c>
      <c r="M1631" s="14" t="str" ph="1">
        <f>IFERROR(INDEX([1]!_born[生没年],
MATCH(I1631,[1]!_born[作],0)),"")</f>
        <v/>
      </c>
      <c r="N1631" s="14" t="str" ph="1">
        <f>IFERROR(INDEX([1]!_born[生没年],
MATCH(K1631,[1]!_born[作],0)),"")</f>
        <v/>
      </c>
      <c r="O1631" s="13" t="s" ph="1">
        <v>7395</v>
      </c>
      <c r="R1631" s="16" t="s" ph="1">
        <v>1352</v>
      </c>
      <c r="S1631" s="13" t="s" ph="1">
        <v>1353</v>
      </c>
      <c r="T1631" s="13" t="s" ph="1">
        <v>7375</v>
      </c>
      <c r="V1631" s="17" ph="1">
        <v>380</v>
      </c>
    </row>
    <row r="1632" spans="1:24" ht="22.5" customHeight="1" ph="1" x14ac:dyDescent="0.35">
      <c r="C1632" s="13" t="s" ph="1">
        <v>5828</v>
      </c>
      <c r="G1632" s="13" t="s" ph="1">
        <v>3599</v>
      </c>
      <c r="H1632" s="13" t="s" ph="1">
        <v>1219</v>
      </c>
      <c r="I1632" s="13" t="s" ph="1">
        <v>7396</v>
      </c>
      <c r="M1632" s="14" t="str" ph="1">
        <f>IFERROR(INDEX([1]!_born[生没年],
MATCH(I1632,[1]!_born[作],0)),"")</f>
        <v/>
      </c>
      <c r="N1632" s="14" t="str" ph="1">
        <f>IFERROR(INDEX([1]!_born[生没年],
MATCH(K1632,[1]!_born[作],0)),"")</f>
        <v/>
      </c>
      <c r="O1632" s="13" t="s" ph="1">
        <v>7397</v>
      </c>
      <c r="R1632" s="16" t="s" ph="1">
        <v>1339</v>
      </c>
      <c r="S1632" s="13" t="s" ph="1">
        <v>1354</v>
      </c>
      <c r="T1632" s="13" t="s" ph="1">
        <v>7375</v>
      </c>
      <c r="V1632" s="17" ph="1">
        <v>540</v>
      </c>
    </row>
    <row r="1633" spans="1:25" ht="22.5" customHeight="1" ph="1" x14ac:dyDescent="0.35">
      <c r="C1633" s="13" t="s" ph="1">
        <v>5828</v>
      </c>
      <c r="G1633" s="13" t="s" ph="1">
        <v>3599</v>
      </c>
      <c r="H1633" s="13" t="s" ph="1">
        <v>1219</v>
      </c>
      <c r="I1633" s="13" t="s" ph="1">
        <v>7398</v>
      </c>
      <c r="M1633" s="14" t="str" ph="1">
        <f>IFERROR(INDEX([1]!_born[生没年],
MATCH(I1633,[1]!_born[作],0)),"")</f>
        <v/>
      </c>
      <c r="N1633" s="14" t="str" ph="1">
        <f>IFERROR(INDEX([1]!_born[生没年],
MATCH(K1633,[1]!_born[作],0)),"")</f>
        <v/>
      </c>
      <c r="O1633" s="13" t="s" ph="1">
        <v>7399</v>
      </c>
      <c r="R1633" s="16" t="s" ph="1">
        <v>1339</v>
      </c>
      <c r="S1633" s="13" t="s" ph="1">
        <v>1355</v>
      </c>
      <c r="T1633" s="13" t="s" ph="1">
        <v>7375</v>
      </c>
      <c r="V1633" s="17" ph="1">
        <v>520</v>
      </c>
    </row>
    <row r="1634" spans="1:25" ht="22.5" customHeight="1" ph="1" x14ac:dyDescent="0.35">
      <c r="C1634" s="13" t="s" ph="1">
        <v>5828</v>
      </c>
      <c r="G1634" s="13" t="s" ph="1">
        <v>3599</v>
      </c>
      <c r="H1634" s="13" t="s" ph="1">
        <v>1219</v>
      </c>
      <c r="I1634" s="13" t="s" ph="1">
        <v>7400</v>
      </c>
      <c r="M1634" s="14" t="str" ph="1">
        <f>IFERROR(INDEX([1]!_born[生没年],
MATCH(I1634,[1]!_born[作],0)),"")</f>
        <v/>
      </c>
      <c r="N1634" s="14" t="str" ph="1">
        <f>IFERROR(INDEX([1]!_born[生没年],
MATCH(K1634,[1]!_born[作],0)),"")</f>
        <v/>
      </c>
      <c r="O1634" s="13" t="s" ph="1">
        <v>7401</v>
      </c>
      <c r="R1634" s="16" t="s" ph="1">
        <v>1343</v>
      </c>
      <c r="S1634" s="13" t="s" ph="1">
        <v>1356</v>
      </c>
      <c r="T1634" s="13" t="s" ph="1">
        <v>7375</v>
      </c>
      <c r="V1634" s="17" ph="1">
        <v>600</v>
      </c>
    </row>
    <row r="1635" spans="1:25" ht="22.5" customHeight="1" ph="1" x14ac:dyDescent="0.35">
      <c r="C1635" s="13" t="s" ph="1">
        <v>5828</v>
      </c>
      <c r="G1635" s="13" t="s" ph="1">
        <v>3599</v>
      </c>
      <c r="H1635" s="13" t="s" ph="1">
        <v>1219</v>
      </c>
      <c r="I1635" s="13" t="s" ph="1">
        <v>7402</v>
      </c>
      <c r="M1635" s="14" t="str" ph="1">
        <f>IFERROR(INDEX([1]!_born[生没年],
MATCH(I1635,[1]!_born[作],0)),"")</f>
        <v/>
      </c>
      <c r="N1635" s="14" t="str" ph="1">
        <f>IFERROR(INDEX([1]!_born[生没年],
MATCH(K1635,[1]!_born[作],0)),"")</f>
        <v/>
      </c>
      <c r="O1635" s="13" t="s" ph="1">
        <v>7403</v>
      </c>
      <c r="R1635" s="16" t="s" ph="1">
        <v>1335</v>
      </c>
      <c r="S1635" s="13" t="s" ph="1">
        <v>1357</v>
      </c>
      <c r="T1635" s="13" t="s" ph="1">
        <v>7375</v>
      </c>
      <c r="V1635" s="17" ph="1">
        <v>680</v>
      </c>
    </row>
    <row r="1636" spans="1:25" ht="22.5" customHeight="1" ph="1" x14ac:dyDescent="0.35">
      <c r="C1636" s="13" t="s" ph="1">
        <v>5828</v>
      </c>
      <c r="G1636" s="13" t="s" ph="1">
        <v>3599</v>
      </c>
      <c r="H1636" s="13" t="s" ph="1">
        <v>1219</v>
      </c>
      <c r="I1636" s="13" t="s" ph="1">
        <v>7404</v>
      </c>
      <c r="M1636" s="14" t="str" ph="1">
        <f>IFERROR(INDEX([1]!_born[生没年],
MATCH(I1636,[1]!_born[作],0)),"")</f>
        <v/>
      </c>
      <c r="N1636" s="14" t="str" ph="1">
        <f>IFERROR(INDEX([1]!_born[生没年],
MATCH(K1636,[1]!_born[作],0)),"")</f>
        <v/>
      </c>
      <c r="O1636" s="13" t="s" ph="1">
        <v>7405</v>
      </c>
      <c r="R1636" s="16" t="s" ph="1">
        <v>1358</v>
      </c>
      <c r="S1636" s="13" t="s" ph="1">
        <v>1359</v>
      </c>
      <c r="T1636" s="13" t="s" ph="1">
        <v>7375</v>
      </c>
      <c r="V1636" s="17" ph="1">
        <v>540</v>
      </c>
    </row>
    <row r="1637" spans="1:25" ht="22.5" customHeight="1" ph="1" x14ac:dyDescent="0.35">
      <c r="C1637" s="13" t="s" ph="1">
        <v>5828</v>
      </c>
      <c r="G1637" s="13" t="s" ph="1">
        <v>3599</v>
      </c>
      <c r="H1637" s="13" t="s" ph="1">
        <v>1219</v>
      </c>
      <c r="I1637" s="13" t="s" ph="1">
        <v>7406</v>
      </c>
      <c r="M1637" s="14" t="str" ph="1">
        <f>IFERROR(INDEX([1]!_born[生没年],
MATCH(I1637,[1]!_born[作],0)),"")</f>
        <v/>
      </c>
      <c r="N1637" s="14" t="str" ph="1">
        <f>IFERROR(INDEX([1]!_born[生没年],
MATCH(K1637,[1]!_born[作],0)),"")</f>
        <v/>
      </c>
      <c r="O1637" s="13" t="s" ph="1">
        <v>7407</v>
      </c>
      <c r="R1637" s="16" t="s" ph="1">
        <v>1360</v>
      </c>
      <c r="S1637" s="13" t="s" ph="1">
        <v>1361</v>
      </c>
      <c r="T1637" s="13" t="s" ph="1">
        <v>7375</v>
      </c>
      <c r="V1637" s="17" ph="1">
        <v>540</v>
      </c>
    </row>
    <row r="1638" spans="1:25" ht="22.5" customHeight="1" ph="1" x14ac:dyDescent="0.35">
      <c r="C1638" s="13" t="s" ph="1">
        <v>5828</v>
      </c>
      <c r="G1638" s="13" t="s" ph="1">
        <v>3599</v>
      </c>
      <c r="H1638" s="13" t="s" ph="1">
        <v>1219</v>
      </c>
      <c r="I1638" s="13" t="s" ph="1">
        <v>7408</v>
      </c>
      <c r="M1638" s="14" t="str" ph="1">
        <f>IFERROR(INDEX([1]!_born[生没年],
MATCH(I1638,[1]!_born[作],0)),"")</f>
        <v/>
      </c>
      <c r="N1638" s="14" t="str" ph="1">
        <f>IFERROR(INDEX([1]!_born[生没年],
MATCH(K1638,[1]!_born[作],0)),"")</f>
        <v/>
      </c>
      <c r="O1638" s="13" t="s" ph="1">
        <v>7409</v>
      </c>
      <c r="R1638" s="16" t="s" ph="1">
        <v>1360</v>
      </c>
      <c r="S1638" s="13" t="s" ph="1">
        <v>1362</v>
      </c>
      <c r="T1638" s="13" t="s" ph="1">
        <v>7375</v>
      </c>
      <c r="V1638" s="17" ph="1">
        <v>560</v>
      </c>
    </row>
    <row r="1639" spans="1:25" ht="22.5" customHeight="1" ph="1" x14ac:dyDescent="0.35">
      <c r="C1639" s="13" t="s" ph="1">
        <v>5828</v>
      </c>
      <c r="G1639" s="13" t="s" ph="1">
        <v>3599</v>
      </c>
      <c r="H1639" s="13" t="s" ph="1">
        <v>1219</v>
      </c>
      <c r="I1639" s="13" t="s" ph="1">
        <v>7222</v>
      </c>
      <c r="M1639" s="14" t="str" ph="1">
        <f>IFERROR(INDEX([1]!_born[生没年],
MATCH(I1639,[1]!_born[作],0)),"")</f>
        <v/>
      </c>
      <c r="N1639" s="14" t="str" ph="1">
        <f>IFERROR(INDEX([1]!_born[生没年],
MATCH(K1639,[1]!_born[作],0)),"")</f>
        <v/>
      </c>
      <c r="O1639" s="13" t="s" ph="1">
        <v>7410</v>
      </c>
      <c r="R1639" s="16" t="s" ph="1">
        <v>1363</v>
      </c>
      <c r="S1639" s="13" t="s" ph="1">
        <v>1364</v>
      </c>
      <c r="T1639" s="13" t="s" ph="1">
        <v>7375</v>
      </c>
      <c r="V1639" s="17" ph="1">
        <v>640</v>
      </c>
    </row>
    <row r="1640" spans="1:25" ht="22.5" customHeight="1" ph="1" x14ac:dyDescent="0.35">
      <c r="C1640" s="13" t="s" ph="1">
        <v>5828</v>
      </c>
      <c r="G1640" s="13" t="s" ph="1">
        <v>3599</v>
      </c>
      <c r="H1640" s="13" t="s" ph="1">
        <v>1219</v>
      </c>
      <c r="I1640" s="13" t="s" ph="1">
        <v>7411</v>
      </c>
      <c r="M1640" s="14" t="str" ph="1">
        <f>IFERROR(INDEX([1]!_born[生没年],
MATCH(I1640,[1]!_born[作],0)),"")</f>
        <v/>
      </c>
      <c r="N1640" s="14" t="str" ph="1">
        <f>IFERROR(INDEX([1]!_born[生没年],
MATCH(K1640,[1]!_born[作],0)),"")</f>
        <v/>
      </c>
      <c r="O1640" s="13" t="s" ph="1">
        <v>7412</v>
      </c>
      <c r="R1640" s="16" t="s" ph="1">
        <v>1328</v>
      </c>
      <c r="S1640" s="13" t="s" ph="1">
        <v>1365</v>
      </c>
      <c r="T1640" s="13" t="s" ph="1">
        <v>7375</v>
      </c>
      <c r="V1640" s="17" ph="1">
        <v>480</v>
      </c>
    </row>
    <row r="1641" spans="1:25" ht="22.5" customHeight="1" ph="1" x14ac:dyDescent="0.35">
      <c r="A1641" s="106" t="s" ph="1">
        <v>1366</v>
      </c>
      <c r="B1641" s="5" t="s" ph="1">
        <v>1367</v>
      </c>
      <c r="C1641" s="13" t="s" ph="1">
        <v>5828</v>
      </c>
      <c r="G1641" s="13" t="s" ph="1">
        <v>3599</v>
      </c>
      <c r="H1641" s="13" t="s" ph="1">
        <v>1219</v>
      </c>
      <c r="I1641" s="13" t="s" ph="1">
        <v>7413</v>
      </c>
      <c r="M1641" s="14" t="str" ph="1">
        <f>IFERROR(INDEX([1]!_born[生没年],
MATCH(I1641,[1]!_born[作],0)),"")</f>
        <v/>
      </c>
      <c r="N1641" s="14" t="str" ph="1">
        <f>IFERROR(INDEX([1]!_born[生没年],
MATCH(K1641,[1]!_born[作],0)),"")</f>
        <v/>
      </c>
      <c r="O1641" s="13" t="s" ph="1">
        <v>7414</v>
      </c>
      <c r="R1641" s="16" ph="1">
        <v>39726</v>
      </c>
      <c r="S1641" s="13" t="s" ph="1">
        <v>1368</v>
      </c>
      <c r="T1641" s="13" t="s" ph="1">
        <v>7415</v>
      </c>
      <c r="V1641" s="17" ph="1">
        <f>760*1.05</f>
        <v>798</v>
      </c>
    </row>
    <row r="1642" spans="1:25" ht="22.5" customHeight="1" ph="1" x14ac:dyDescent="0.35">
      <c r="C1642" s="13" t="s" ph="1">
        <v>5828</v>
      </c>
      <c r="G1642" s="13" t="s" ph="1">
        <v>3599</v>
      </c>
      <c r="H1642" s="13" t="s" ph="1">
        <v>1219</v>
      </c>
      <c r="I1642" s="13" t="s" ph="1">
        <v>7416</v>
      </c>
      <c r="M1642" s="14" t="str" ph="1">
        <f>IFERROR(INDEX([1]!_born[生没年],
MATCH(I1642,[1]!_born[作],0)),"")</f>
        <v/>
      </c>
      <c r="N1642" s="14" t="str" ph="1">
        <f>IFERROR(INDEX([1]!_born[生没年],
MATCH(K1642,[1]!_born[作],0)),"")</f>
        <v/>
      </c>
      <c r="O1642" s="13" t="s" ph="1">
        <v>7417</v>
      </c>
      <c r="R1642" s="16" t="s" ph="1">
        <v>1369</v>
      </c>
      <c r="S1642" s="13" t="s" ph="1">
        <v>1370</v>
      </c>
      <c r="T1642" s="13" t="s" ph="1">
        <v>7418</v>
      </c>
      <c r="V1642" s="17" ph="1">
        <v>150</v>
      </c>
      <c r="W1642" s="17" ph="1">
        <v>150</v>
      </c>
      <c r="X1642" s="5" t="s" ph="1">
        <v>3635</v>
      </c>
      <c r="Y1642" s="5" ph="1"/>
    </row>
    <row r="1643" spans="1:25" ht="22.5" customHeight="1" ph="1" x14ac:dyDescent="0.35">
      <c r="C1643" s="13" t="s" ph="1">
        <v>5828</v>
      </c>
      <c r="G1643" s="13" t="s" ph="1">
        <v>3599</v>
      </c>
      <c r="H1643" s="13" t="s" ph="1">
        <v>1309</v>
      </c>
      <c r="I1643" s="13" t="s" ph="1">
        <v>7419</v>
      </c>
      <c r="M1643" s="14" t="str" ph="1">
        <f>IFERROR(INDEX([1]!_born[生没年],
MATCH(I1643,[1]!_born[作],0)),"")</f>
        <v/>
      </c>
      <c r="N1643" s="14" t="str" ph="1">
        <f>IFERROR(INDEX([1]!_born[生没年],
MATCH(K1643,[1]!_born[作],0)),"")</f>
        <v/>
      </c>
      <c r="O1643" s="15" t="s" ph="1">
        <v>7420</v>
      </c>
      <c r="R1643" s="16" t="s" ph="1">
        <v>1371</v>
      </c>
      <c r="S1643" s="13" t="s" ph="1">
        <v>1372</v>
      </c>
      <c r="T1643" s="13" t="s" ph="1">
        <v>7418</v>
      </c>
      <c r="V1643" s="17" ph="1">
        <v>380</v>
      </c>
    </row>
    <row r="1644" spans="1:25" ht="22.5" customHeight="1" ph="1" x14ac:dyDescent="0.35">
      <c r="C1644" s="13" t="s" ph="1">
        <v>5828</v>
      </c>
      <c r="G1644" s="13" t="s" ph="1">
        <v>3599</v>
      </c>
      <c r="H1644" s="13" t="s" ph="1">
        <v>1309</v>
      </c>
      <c r="I1644" s="13" t="s" ph="1">
        <v>7421</v>
      </c>
      <c r="M1644" s="14" t="str" ph="1">
        <f>IFERROR(INDEX([1]!_born[生没年],
MATCH(I1644,[1]!_born[作],0)),"")</f>
        <v/>
      </c>
      <c r="N1644" s="14" t="str" ph="1">
        <f>IFERROR(INDEX([1]!_born[生没年],
MATCH(K1644,[1]!_born[作],0)),"")</f>
        <v/>
      </c>
      <c r="O1644" s="13" t="s" ph="1">
        <v>7422</v>
      </c>
      <c r="R1644" s="16" t="s" ph="1">
        <v>1329</v>
      </c>
      <c r="S1644" s="13" t="s" ph="1">
        <v>1373</v>
      </c>
      <c r="T1644" s="13" t="s" ph="1">
        <v>7418</v>
      </c>
      <c r="V1644" s="17" ph="1">
        <v>320</v>
      </c>
      <c r="W1644" s="17" ph="1">
        <v>160</v>
      </c>
    </row>
    <row r="1645" spans="1:25" ht="22.5" customHeight="1" ph="1" x14ac:dyDescent="0.35">
      <c r="C1645" s="13" t="s" ph="1">
        <v>5828</v>
      </c>
      <c r="G1645" s="13" t="s" ph="1">
        <v>3599</v>
      </c>
      <c r="H1645" s="13" t="s" ph="1">
        <v>1219</v>
      </c>
      <c r="I1645" s="13" t="s" ph="1">
        <v>7423</v>
      </c>
      <c r="M1645" s="14" t="str" ph="1">
        <f>IFERROR(INDEX([1]!_born[生没年],
MATCH(I1645,[1]!_born[作],0)),"")</f>
        <v/>
      </c>
      <c r="N1645" s="14" t="str" ph="1">
        <f>IFERROR(INDEX([1]!_born[生没年],
MATCH(K1645,[1]!_born[作],0)),"")</f>
        <v/>
      </c>
      <c r="O1645" s="13" t="s" ph="1">
        <v>7424</v>
      </c>
      <c r="R1645" s="16" t="s" ph="1">
        <v>1374</v>
      </c>
      <c r="S1645" s="13" t="s" ph="1">
        <v>1375</v>
      </c>
      <c r="T1645" s="13" t="s" ph="1">
        <v>7418</v>
      </c>
      <c r="V1645" s="17" ph="1">
        <v>380</v>
      </c>
    </row>
    <row r="1646" spans="1:25" ht="22.5" customHeight="1" ph="1" x14ac:dyDescent="0.35">
      <c r="A1646" s="106" t="s" ph="1">
        <v>3088</v>
      </c>
      <c r="B1646" s="5" t="s" ph="1">
        <v>3089</v>
      </c>
      <c r="C1646" s="13" t="s" ph="1">
        <v>5828</v>
      </c>
      <c r="G1646" s="13" t="s" ph="1">
        <v>3599</v>
      </c>
      <c r="H1646" s="13" t="s" ph="1">
        <v>61</v>
      </c>
      <c r="I1646" s="13" t="s" ph="1">
        <v>7425</v>
      </c>
      <c r="M1646" s="14" t="str" ph="1">
        <f>IFERROR(INDEX([1]!_born[生没年],
MATCH(I1646,[1]!_born[作],0)),"")</f>
        <v/>
      </c>
      <c r="N1646" s="14" t="str" ph="1">
        <f>IFERROR(INDEX([1]!_born[生没年],
MATCH(K1646,[1]!_born[作],0)),"")</f>
        <v/>
      </c>
      <c r="O1646" s="13" t="s" ph="1">
        <v>7426</v>
      </c>
      <c r="R1646" s="16" ph="1">
        <v>41325</v>
      </c>
      <c r="S1646" s="13" t="s" ph="1">
        <v>7427</v>
      </c>
      <c r="T1646" s="13" t="s" ph="1">
        <v>7418</v>
      </c>
      <c r="U1646" s="16" t="s" ph="1">
        <v>3054</v>
      </c>
      <c r="V1646" s="17" ph="1">
        <f>760*1.08</f>
        <v>820.80000000000007</v>
      </c>
      <c r="W1646" s="17" t="s" ph="1">
        <v>1225</v>
      </c>
      <c r="X1646" s="13" t="s" ph="1">
        <v>7428</v>
      </c>
    </row>
    <row r="1647" spans="1:25" ht="22.5" customHeight="1" ph="1" x14ac:dyDescent="0.35">
      <c r="C1647" s="13" t="s" ph="1">
        <v>5828</v>
      </c>
      <c r="G1647" s="13" t="s" ph="1">
        <v>3599</v>
      </c>
      <c r="H1647" s="13" t="s" ph="1">
        <v>1219</v>
      </c>
      <c r="I1647" s="13" t="s" ph="1">
        <v>7429</v>
      </c>
      <c r="M1647" s="14" t="str" ph="1">
        <f>IFERROR(INDEX([1]!_born[生没年],
MATCH(I1647,[1]!_born[作],0)),"")</f>
        <v/>
      </c>
      <c r="N1647" s="14" t="str" ph="1">
        <f>IFERROR(INDEX([1]!_born[生没年],
MATCH(K1647,[1]!_born[作],0)),"")</f>
        <v/>
      </c>
      <c r="O1647" s="13" t="s" ph="1">
        <v>7430</v>
      </c>
      <c r="R1647" s="16" t="s" ph="1">
        <v>1376</v>
      </c>
      <c r="S1647" s="13" t="s" ph="1">
        <v>1377</v>
      </c>
      <c r="T1647" s="13" t="s" ph="1">
        <v>7418</v>
      </c>
      <c r="V1647" s="17" ph="1">
        <v>430</v>
      </c>
    </row>
    <row r="1648" spans="1:25" ht="22.5" customHeight="1" ph="1" x14ac:dyDescent="0.35">
      <c r="C1648" s="13" t="s" ph="1">
        <v>5828</v>
      </c>
      <c r="G1648" s="13" t="s" ph="1">
        <v>3599</v>
      </c>
      <c r="H1648" s="13" t="s" ph="1">
        <v>1219</v>
      </c>
      <c r="I1648" s="13" t="s" ph="1">
        <v>7431</v>
      </c>
      <c r="M1648" s="14" t="str" ph="1">
        <f>IFERROR(INDEX([1]!_born[生没年],
MATCH(I1648,[1]!_born[作],0)),"")</f>
        <v/>
      </c>
      <c r="N1648" s="14" t="str" ph="1">
        <f>IFERROR(INDEX([1]!_born[生没年],
MATCH(K1648,[1]!_born[作],0)),"")</f>
        <v/>
      </c>
      <c r="O1648" s="13" t="s" ph="1">
        <v>7432</v>
      </c>
      <c r="R1648" s="16" t="s" ph="1">
        <v>1307</v>
      </c>
      <c r="S1648" s="13" t="s" ph="1">
        <v>7433</v>
      </c>
      <c r="T1648" s="13" t="s" ph="1">
        <v>7418</v>
      </c>
      <c r="V1648" s="17" ph="1">
        <v>580</v>
      </c>
    </row>
    <row r="1649" spans="1:25" ht="22.5" customHeight="1" ph="1" x14ac:dyDescent="0.35">
      <c r="C1649" s="13" t="s" ph="1">
        <v>5828</v>
      </c>
      <c r="G1649" s="13" t="s" ph="1">
        <v>1378</v>
      </c>
      <c r="H1649" s="13" t="s" ph="1">
        <v>1219</v>
      </c>
      <c r="I1649" s="15" t="s" ph="1">
        <v>7434</v>
      </c>
      <c r="M1649" s="14" t="str" ph="1">
        <f>IFERROR(INDEX([1]!_born[生没年],
MATCH(I1649,[1]!_born[作],0)),"")</f>
        <v/>
      </c>
      <c r="N1649" s="14" t="str" ph="1">
        <f>IFERROR(INDEX([1]!_born[生没年],
MATCH(K1649,[1]!_born[作],0)),"")</f>
        <v/>
      </c>
      <c r="O1649" s="13" t="s" ph="1">
        <v>7435</v>
      </c>
      <c r="R1649" s="16" t="s" ph="1">
        <v>1379</v>
      </c>
      <c r="S1649" s="13" t="s" ph="1">
        <v>7436</v>
      </c>
      <c r="T1649" s="13" t="s" ph="1">
        <v>7418</v>
      </c>
      <c r="U1649" s="16" t="s" ph="1">
        <v>1217</v>
      </c>
      <c r="V1649" s="17" ph="1">
        <v>850</v>
      </c>
    </row>
    <row r="1650" spans="1:25" ht="22.5" customHeight="1" ph="1" x14ac:dyDescent="0.35">
      <c r="C1650" s="13" t="s" ph="1">
        <v>5828</v>
      </c>
      <c r="G1650" s="13" t="s" ph="1">
        <v>1378</v>
      </c>
      <c r="H1650" s="13" t="s" ph="1">
        <v>1219</v>
      </c>
      <c r="I1650" s="15" t="s" ph="1">
        <v>7434</v>
      </c>
      <c r="M1650" s="14" t="str" ph="1">
        <f>IFERROR(INDEX([1]!_born[生没年],
MATCH(I1650,[1]!_born[作],0)),"")</f>
        <v/>
      </c>
      <c r="N1650" s="14" t="str" ph="1">
        <f>IFERROR(INDEX([1]!_born[生没年],
MATCH(K1650,[1]!_born[作],0)),"")</f>
        <v/>
      </c>
      <c r="O1650" s="13" t="s" ph="1">
        <v>7437</v>
      </c>
      <c r="R1650" s="16" t="s" ph="1">
        <v>1380</v>
      </c>
      <c r="S1650" s="13" t="s" ph="1">
        <v>7438</v>
      </c>
      <c r="T1650" s="13" t="s" ph="1">
        <v>7418</v>
      </c>
      <c r="U1650" s="16" t="s" ph="1">
        <v>1217</v>
      </c>
      <c r="V1650" s="17" ph="1">
        <v>850</v>
      </c>
      <c r="W1650" s="17" ph="1">
        <v>600</v>
      </c>
    </row>
    <row r="1651" spans="1:25" ht="22.5" customHeight="1" ph="1" x14ac:dyDescent="0.35">
      <c r="C1651" s="13" t="s" ph="1">
        <v>5828</v>
      </c>
      <c r="G1651" s="13" t="s" ph="1">
        <v>3599</v>
      </c>
      <c r="H1651" s="13" t="s" ph="1">
        <v>1219</v>
      </c>
      <c r="I1651" s="13" t="s" ph="1">
        <v>7439</v>
      </c>
      <c r="M1651" s="14" t="str" ph="1">
        <f>IFERROR(INDEX([1]!_born[生没年],
MATCH(I1651,[1]!_born[作],0)),"")</f>
        <v/>
      </c>
      <c r="N1651" s="14" t="str" ph="1">
        <f>IFERROR(INDEX([1]!_born[生没年],
MATCH(K1651,[1]!_born[作],0)),"")</f>
        <v/>
      </c>
      <c r="O1651" s="25" t="s" ph="1">
        <v>3584</v>
      </c>
      <c r="R1651" s="16" t="s" ph="1">
        <v>1238</v>
      </c>
      <c r="S1651" s="13" t="s" ph="1">
        <v>7440</v>
      </c>
      <c r="T1651" s="13" t="s" ph="1">
        <v>7418</v>
      </c>
      <c r="V1651" s="17" ph="1">
        <f>640*1.05</f>
        <v>672</v>
      </c>
    </row>
    <row r="1652" spans="1:25" ht="22.5" customHeight="1" ph="1" x14ac:dyDescent="0.35">
      <c r="C1652" s="13" t="s" ph="1">
        <v>5828</v>
      </c>
      <c r="G1652" s="13" t="s" ph="1">
        <v>3599</v>
      </c>
      <c r="H1652" s="13" t="s" ph="1">
        <v>1219</v>
      </c>
      <c r="I1652" s="13" t="s" ph="1">
        <v>7441</v>
      </c>
      <c r="M1652" s="14" t="str" ph="1">
        <f>IFERROR(INDEX([1]!_born[生没年],
MATCH(I1652,[1]!_born[作],0)),"")</f>
        <v/>
      </c>
      <c r="N1652" s="14" t="str" ph="1">
        <f>IFERROR(INDEX([1]!_born[生没年],
MATCH(K1652,[1]!_born[作],0)),"")</f>
        <v/>
      </c>
      <c r="O1652" s="13" t="s" ph="1">
        <v>7442</v>
      </c>
      <c r="R1652" s="16" t="s" ph="1">
        <v>1381</v>
      </c>
      <c r="S1652" s="13" t="s" ph="1">
        <v>1382</v>
      </c>
      <c r="T1652" s="13" t="s" ph="1">
        <v>7443</v>
      </c>
      <c r="V1652" s="17" ph="1">
        <v>420</v>
      </c>
    </row>
    <row r="1653" spans="1:25" ht="22.5" customHeight="1" ph="1" x14ac:dyDescent="0.35">
      <c r="C1653" s="13" t="s" ph="1">
        <v>5828</v>
      </c>
      <c r="G1653" s="13" t="s" ph="1">
        <v>1309</v>
      </c>
      <c r="H1653" s="13" t="s" ph="1">
        <v>1219</v>
      </c>
      <c r="I1653" s="13" t="s" ph="1">
        <v>7444</v>
      </c>
      <c r="M1653" s="14" t="str" ph="1">
        <f>IFERROR(INDEX([1]!_born[生没年],
MATCH(I1653,[1]!_born[作],0)),"")</f>
        <v/>
      </c>
      <c r="N1653" s="14" t="str" ph="1">
        <f>IFERROR(INDEX([1]!_born[生没年],
MATCH(K1653,[1]!_born[作],0)),"")</f>
        <v/>
      </c>
      <c r="O1653" s="13" t="s" ph="1">
        <v>7445</v>
      </c>
      <c r="R1653" s="16" t="s" ph="1">
        <v>1347</v>
      </c>
      <c r="S1653" s="13" t="s" ph="1">
        <v>1383</v>
      </c>
      <c r="T1653" s="13" t="s" ph="1">
        <v>7443</v>
      </c>
      <c r="U1653" s="16" t="s" ph="1">
        <v>1217</v>
      </c>
      <c r="V1653" s="17" ph="1">
        <v>420</v>
      </c>
    </row>
    <row r="1654" spans="1:25" ht="22.5" customHeight="1" ph="1" x14ac:dyDescent="0.35">
      <c r="C1654" s="13" t="s" ph="1">
        <v>5828</v>
      </c>
      <c r="G1654" s="13" t="s" ph="1">
        <v>3599</v>
      </c>
      <c r="H1654" s="13" t="s" ph="1">
        <v>1219</v>
      </c>
      <c r="I1654" s="13" t="s" ph="1">
        <v>7446</v>
      </c>
      <c r="M1654" s="14" t="str" ph="1">
        <f>IFERROR(INDEX([1]!_born[生没年],
MATCH(I1654,[1]!_born[作],0)),"")</f>
        <v/>
      </c>
      <c r="N1654" s="14" t="str" ph="1">
        <f>IFERROR(INDEX([1]!_born[生没年],
MATCH(K1654,[1]!_born[作],0)),"")</f>
        <v/>
      </c>
      <c r="O1654" s="13" t="s" ph="1">
        <v>7447</v>
      </c>
      <c r="R1654" s="16" t="s" ph="1">
        <v>1358</v>
      </c>
      <c r="S1654" s="13" t="s" ph="1">
        <v>1384</v>
      </c>
      <c r="T1654" s="13" t="s" ph="1">
        <v>7443</v>
      </c>
      <c r="V1654" s="17" ph="1">
        <v>390</v>
      </c>
    </row>
    <row r="1655" spans="1:25" ht="22.5" customHeight="1" ph="1" x14ac:dyDescent="0.35">
      <c r="C1655" s="13" t="s" ph="1">
        <v>5828</v>
      </c>
      <c r="G1655" s="13" t="s" ph="1">
        <v>3599</v>
      </c>
      <c r="H1655" s="13" t="s" ph="1">
        <v>1219</v>
      </c>
      <c r="I1655" s="13" t="s" ph="1">
        <v>7448</v>
      </c>
      <c r="K1655" s="13" t="s" ph="1">
        <v>7449</v>
      </c>
      <c r="L1655" s="13" t="s" ph="1">
        <v>1319</v>
      </c>
      <c r="M1655" s="14" t="str" ph="1">
        <f>IFERROR(INDEX([1]!_born[生没年],
MATCH(I1655,[1]!_born[作],0)),"")</f>
        <v/>
      </c>
      <c r="N1655" s="14" t="str" ph="1">
        <f>IFERROR(INDEX([1]!_born[生没年],
MATCH(K1655,[1]!_born[作],0)),"")</f>
        <v/>
      </c>
      <c r="O1655" s="13" t="s" ph="1">
        <v>7450</v>
      </c>
      <c r="R1655" s="16" ph="1">
        <v>25127</v>
      </c>
      <c r="S1655" s="13" t="s" ph="1">
        <v>1385</v>
      </c>
      <c r="T1655" s="13" t="s" ph="1">
        <v>7443</v>
      </c>
      <c r="U1655" s="16" ph="1">
        <v>38488</v>
      </c>
      <c r="V1655" s="17" ph="1">
        <v>250</v>
      </c>
      <c r="W1655" s="17" ph="1">
        <v>0</v>
      </c>
      <c r="X1655" s="13" t="s" ph="1">
        <v>5858</v>
      </c>
      <c r="Y1655" s="13" t="s" ph="1">
        <v>5322</v>
      </c>
    </row>
    <row r="1656" spans="1:25" s="19" customFormat="1" ht="22.5" customHeight="1" ph="1" x14ac:dyDescent="0.35">
      <c r="A1656" s="107" ph="1"/>
      <c r="B1656" s="18" ph="1"/>
      <c r="C1656" s="19" t="s" ph="1">
        <v>7451</v>
      </c>
      <c r="D1656" s="124" ph="1"/>
      <c r="E1656" s="124" ph="1"/>
      <c r="G1656" s="19" t="s" ph="1">
        <v>1309</v>
      </c>
      <c r="H1656" s="19" t="s" ph="1">
        <v>1219</v>
      </c>
      <c r="I1656" s="19" t="s" ph="1">
        <v>7452</v>
      </c>
      <c r="M1656" s="27" t="str" ph="1">
        <f>IFERROR(INDEX([1]!_born[生没年],
MATCH(I1656,[1]!_born[作],0)),"")</f>
        <v/>
      </c>
      <c r="N1656" s="27" t="str" ph="1">
        <f>IFERROR(INDEX([1]!_born[生没年],
MATCH(K1656,[1]!_born[作],0)),"")</f>
        <v/>
      </c>
      <c r="O1656" s="19" t="s" ph="1">
        <v>7453</v>
      </c>
      <c r="R1656" s="20" t="s" ph="1">
        <v>1358</v>
      </c>
      <c r="S1656" s="19" t="s" ph="1">
        <v>7454</v>
      </c>
      <c r="T1656" s="19" t="s" ph="1">
        <v>7455</v>
      </c>
      <c r="U1656" s="20" ph="1"/>
      <c r="V1656" s="21" ph="1">
        <v>600</v>
      </c>
      <c r="W1656" s="21" ph="1"/>
      <c r="Y1656" s="19" t="s" ph="1">
        <v>7456</v>
      </c>
    </row>
    <row r="1657" spans="1:25" s="19" customFormat="1" ht="22.5" customHeight="1" ph="1" x14ac:dyDescent="0.35">
      <c r="A1657" s="107" ph="1"/>
      <c r="B1657" s="18" ph="1"/>
      <c r="C1657" s="19" t="s" ph="1">
        <v>7451</v>
      </c>
      <c r="D1657" s="124" ph="1"/>
      <c r="E1657" s="124" ph="1"/>
      <c r="G1657" s="19" t="s" ph="1">
        <v>1309</v>
      </c>
      <c r="H1657" s="19" t="s" ph="1">
        <v>1219</v>
      </c>
      <c r="I1657" s="19" t="s" ph="1">
        <v>7452</v>
      </c>
      <c r="M1657" s="27" t="str" ph="1">
        <f>IFERROR(INDEX([1]!_born[生没年],
MATCH(I1657,[1]!_born[作],0)),"")</f>
        <v/>
      </c>
      <c r="N1657" s="27" t="str" ph="1">
        <f>IFERROR(INDEX([1]!_born[生没年],
MATCH(K1657,[1]!_born[作],0)),"")</f>
        <v/>
      </c>
      <c r="O1657" s="19" t="s" ph="1">
        <v>7457</v>
      </c>
      <c r="R1657" s="20" t="s" ph="1">
        <v>1301</v>
      </c>
      <c r="S1657" s="19" t="s" ph="1">
        <v>7454</v>
      </c>
      <c r="T1657" s="19" t="s" ph="1">
        <v>7455</v>
      </c>
      <c r="U1657" s="20" ph="1"/>
      <c r="V1657" s="21" ph="1">
        <v>680</v>
      </c>
      <c r="W1657" s="21" ph="1"/>
      <c r="Y1657" s="19" t="s" ph="1">
        <v>7456</v>
      </c>
    </row>
    <row r="1658" spans="1:25" ht="22.5" customHeight="1" ph="1" x14ac:dyDescent="0.35">
      <c r="C1658" s="13" t="s" ph="1">
        <v>5828</v>
      </c>
      <c r="G1658" s="13" t="s" ph="1">
        <v>3599</v>
      </c>
      <c r="H1658" s="13" t="s" ph="1">
        <v>1219</v>
      </c>
      <c r="I1658" s="13" t="s" ph="1">
        <v>7458</v>
      </c>
      <c r="M1658" s="14" t="str" ph="1">
        <f>IFERROR(INDEX([1]!_born[生没年],
MATCH(I1658,[1]!_born[作],0)),"")</f>
        <v/>
      </c>
      <c r="N1658" s="14" t="str" ph="1">
        <f>IFERROR(INDEX([1]!_born[生没年],
MATCH(K1658,[1]!_born[作],0)),"")</f>
        <v/>
      </c>
      <c r="O1658" s="13" t="s" ph="1">
        <v>7459</v>
      </c>
      <c r="R1658" s="16" t="s" ph="1">
        <v>1230</v>
      </c>
      <c r="S1658" s="13" t="s" ph="1">
        <v>1386</v>
      </c>
      <c r="T1658" s="13" t="s" ph="1">
        <v>7460</v>
      </c>
      <c r="V1658" s="17" ph="1">
        <v>690</v>
      </c>
    </row>
    <row r="1659" spans="1:25" ht="22.5" customHeight="1" ph="1" x14ac:dyDescent="0.35">
      <c r="C1659" s="13" t="s" ph="1">
        <v>5828</v>
      </c>
      <c r="G1659" s="13" t="s" ph="1">
        <v>3599</v>
      </c>
      <c r="H1659" s="13" t="s" ph="1">
        <v>1219</v>
      </c>
      <c r="I1659" s="13" t="s" ph="1">
        <v>7461</v>
      </c>
      <c r="M1659" s="14" t="str" ph="1">
        <f>IFERROR(INDEX([1]!_born[生没年],
MATCH(I1659,[1]!_born[作],0)),"")</f>
        <v/>
      </c>
      <c r="N1659" s="14" t="str" ph="1">
        <f>IFERROR(INDEX([1]!_born[生没年],
MATCH(K1659,[1]!_born[作],0)),"")</f>
        <v/>
      </c>
      <c r="O1659" s="13" t="s" ph="1">
        <v>7462</v>
      </c>
      <c r="R1659" s="16" t="s" ph="1">
        <v>1360</v>
      </c>
      <c r="S1659" s="13" t="s" ph="1">
        <v>1387</v>
      </c>
      <c r="T1659" s="13" t="s" ph="1">
        <v>7463</v>
      </c>
      <c r="V1659" s="17" ph="1">
        <v>600</v>
      </c>
      <c r="W1659" s="17" ph="1">
        <v>200</v>
      </c>
      <c r="X1659" s="5" t="s" ph="1">
        <v>7464</v>
      </c>
      <c r="Y1659" s="5" ph="1"/>
    </row>
    <row r="1660" spans="1:25" ht="22.5" customHeight="1" ph="1" x14ac:dyDescent="0.35">
      <c r="A1660" s="106" t="s" ph="1">
        <v>1388</v>
      </c>
      <c r="B1660" s="5" t="s" ph="1">
        <v>1389</v>
      </c>
      <c r="C1660" s="13" t="s" ph="1">
        <v>5828</v>
      </c>
      <c r="G1660" s="13" t="s" ph="1">
        <v>3599</v>
      </c>
      <c r="H1660" s="13" t="s" ph="1">
        <v>1219</v>
      </c>
      <c r="I1660" s="13" t="s" ph="1">
        <v>7465</v>
      </c>
      <c r="M1660" s="14" t="str" ph="1">
        <f>IFERROR(INDEX([1]!_born[生没年],
MATCH(I1660,[1]!_born[作],0)),"")</f>
        <v/>
      </c>
      <c r="N1660" s="14" t="str" ph="1">
        <f>IFERROR(INDEX([1]!_born[生没年],
MATCH(K1660,[1]!_born[作],0)),"")</f>
        <v/>
      </c>
      <c r="O1660" s="13" t="s" ph="1">
        <v>7466</v>
      </c>
      <c r="R1660" s="16" t="s" ph="1">
        <v>1390</v>
      </c>
      <c r="S1660" s="13" t="s" ph="1">
        <v>1391</v>
      </c>
      <c r="T1660" s="13" t="s" ph="1">
        <v>7467</v>
      </c>
      <c r="U1660" s="16" t="s" ph="1">
        <v>1392</v>
      </c>
      <c r="V1660" s="17" ph="1">
        <f>720*1.05</f>
        <v>756</v>
      </c>
      <c r="W1660" s="17" ph="1">
        <f>720*1.05</f>
        <v>756</v>
      </c>
    </row>
    <row r="1661" spans="1:25" ht="22.5" customHeight="1" ph="1" x14ac:dyDescent="0.35">
      <c r="C1661" s="13" t="s" ph="1">
        <v>5828</v>
      </c>
      <c r="G1661" s="13" t="s" ph="1">
        <v>3599</v>
      </c>
      <c r="H1661" s="13" t="s" ph="1">
        <v>1219</v>
      </c>
      <c r="I1661" s="13" t="s" ph="1">
        <v>7468</v>
      </c>
      <c r="M1661" s="14" t="str" ph="1">
        <f>IFERROR(INDEX([1]!_born[生没年],
MATCH(I1661,[1]!_born[作],0)),"")</f>
        <v/>
      </c>
      <c r="N1661" s="14" t="str" ph="1">
        <f>IFERROR(INDEX([1]!_born[生没年],
MATCH(K1661,[1]!_born[作],0)),"")</f>
        <v/>
      </c>
      <c r="O1661" s="13" t="s" ph="1">
        <v>7469</v>
      </c>
      <c r="R1661" s="16" t="s" ph="1">
        <v>1380</v>
      </c>
      <c r="S1661" s="13" t="s" ph="1">
        <v>1393</v>
      </c>
      <c r="T1661" s="13" t="s" ph="1">
        <v>7470</v>
      </c>
      <c r="V1661" s="17" ph="1">
        <v>870</v>
      </c>
    </row>
    <row r="1662" spans="1:25" ht="22.5" customHeight="1" ph="1" x14ac:dyDescent="0.35">
      <c r="C1662" s="13" t="s" ph="1">
        <v>5828</v>
      </c>
      <c r="G1662" s="13" t="s" ph="1">
        <v>3599</v>
      </c>
      <c r="H1662" s="13" t="s" ph="1">
        <v>1219</v>
      </c>
      <c r="I1662" s="13" t="s" ph="1">
        <v>7471</v>
      </c>
      <c r="M1662" s="14" t="str" ph="1">
        <f>IFERROR(INDEX([1]!_born[生没年],
MATCH(I1662,[1]!_born[作],0)),"")</f>
        <v/>
      </c>
      <c r="N1662" s="14" t="str" ph="1">
        <f>IFERROR(INDEX([1]!_born[生没年],
MATCH(K1662,[1]!_born[作],0)),"")</f>
        <v/>
      </c>
      <c r="O1662" s="13" t="s" ph="1">
        <v>7472</v>
      </c>
      <c r="R1662" s="16" t="s" ph="1">
        <v>1380</v>
      </c>
      <c r="S1662" s="13" t="s" ph="1">
        <v>1393</v>
      </c>
      <c r="T1662" s="13" t="s" ph="1">
        <v>7470</v>
      </c>
      <c r="V1662" s="17" ph="1">
        <v>850</v>
      </c>
    </row>
    <row r="1663" spans="1:25" ht="22.5" customHeight="1" ph="1" x14ac:dyDescent="0.35">
      <c r="C1663" s="13" t="s" ph="1">
        <v>5828</v>
      </c>
      <c r="G1663" s="13" t="s" ph="1">
        <v>3599</v>
      </c>
      <c r="H1663" s="13" t="s" ph="1">
        <v>1219</v>
      </c>
      <c r="I1663" s="13" t="s" ph="1">
        <v>7473</v>
      </c>
      <c r="M1663" s="14" t="str" ph="1">
        <f>IFERROR(INDEX([1]!_born[生没年],
MATCH(I1663,[1]!_born[作],0)),"")</f>
        <v/>
      </c>
      <c r="N1663" s="14" t="str" ph="1">
        <f>IFERROR(INDEX([1]!_born[生没年],
MATCH(K1663,[1]!_born[作],0)),"")</f>
        <v/>
      </c>
      <c r="O1663" s="13" t="s" ph="1">
        <v>7474</v>
      </c>
      <c r="R1663" s="16" t="s" ph="1">
        <v>1261</v>
      </c>
      <c r="S1663" s="13" t="s" ph="1">
        <v>1393</v>
      </c>
      <c r="T1663" s="13" t="s" ph="1">
        <v>7470</v>
      </c>
      <c r="U1663" s="16" t="s" ph="1">
        <v>1217</v>
      </c>
      <c r="V1663" s="17" ph="1">
        <v>790</v>
      </c>
      <c r="W1663" s="17" ph="1">
        <v>300</v>
      </c>
    </row>
    <row r="1664" spans="1:25" ht="22.5" customHeight="1" ph="1" x14ac:dyDescent="0.35">
      <c r="C1664" s="13" t="s" ph="1">
        <v>5828</v>
      </c>
      <c r="G1664" s="13" t="s" ph="1">
        <v>3803</v>
      </c>
      <c r="H1664" s="13" t="s" ph="1">
        <v>1219</v>
      </c>
      <c r="I1664" s="13" t="s" ph="1">
        <v>7475</v>
      </c>
      <c r="M1664" s="14" t="str" ph="1">
        <f>IFERROR(INDEX([1]!_born[生没年],
MATCH(I1664,[1]!_born[作],0)),"")</f>
        <v/>
      </c>
      <c r="N1664" s="14" t="str" ph="1">
        <f>IFERROR(INDEX([1]!_born[生没年],
MATCH(K1664,[1]!_born[作],0)),"")</f>
        <v/>
      </c>
      <c r="O1664" s="13" t="s" ph="1">
        <v>7476</v>
      </c>
      <c r="R1664" s="16" t="s" ph="1">
        <v>1261</v>
      </c>
      <c r="S1664" s="13" t="s" ph="1">
        <v>1394</v>
      </c>
      <c r="T1664" s="13" t="s" ph="1">
        <v>7470</v>
      </c>
      <c r="U1664" s="16" t="s" ph="1">
        <v>1217</v>
      </c>
      <c r="V1664" s="17" ph="1">
        <v>600</v>
      </c>
    </row>
    <row r="1665" spans="1:25" ht="22.5" customHeight="1" ph="1" x14ac:dyDescent="0.35">
      <c r="C1665" s="13" t="s" ph="1">
        <v>5828</v>
      </c>
      <c r="G1665" s="13" t="s" ph="1">
        <v>3803</v>
      </c>
      <c r="H1665" s="13" t="s" ph="1">
        <v>1219</v>
      </c>
      <c r="I1665" s="13" t="s" ph="1">
        <v>7477</v>
      </c>
      <c r="M1665" s="14" t="str" ph="1">
        <f>IFERROR(INDEX([1]!_born[生没年],
MATCH(I1665,[1]!_born[作],0)),"")</f>
        <v/>
      </c>
      <c r="N1665" s="14" t="str" ph="1">
        <f>IFERROR(INDEX([1]!_born[生没年],
MATCH(K1665,[1]!_born[作],0)),"")</f>
        <v/>
      </c>
      <c r="O1665" s="13" t="s" ph="1">
        <v>7478</v>
      </c>
      <c r="R1665" s="16" t="s" ph="1">
        <v>1292</v>
      </c>
      <c r="S1665" s="13" t="s" ph="1">
        <v>7479</v>
      </c>
      <c r="T1665" s="13" t="s" ph="1">
        <v>385</v>
      </c>
      <c r="U1665" s="16" t="s" ph="1">
        <v>1217</v>
      </c>
      <c r="V1665" s="17" ph="1">
        <v>630</v>
      </c>
    </row>
    <row r="1666" spans="1:25" ht="22.5" customHeight="1" ph="1" x14ac:dyDescent="0.35">
      <c r="C1666" s="13" t="s" ph="1">
        <v>5828</v>
      </c>
      <c r="G1666" s="13" t="s" ph="1">
        <v>3599</v>
      </c>
      <c r="H1666" s="13" t="s" ph="1">
        <v>1219</v>
      </c>
      <c r="I1666" s="13" t="s" ph="1">
        <v>7480</v>
      </c>
      <c r="K1666" s="13" t="s" ph="1">
        <v>7481</v>
      </c>
      <c r="L1666" s="13" t="s" ph="1">
        <v>3628</v>
      </c>
      <c r="M1666" s="14" t="str" ph="1">
        <f>IFERROR(INDEX([1]!_born[生没年],
MATCH(I1666,[1]!_born[作],0)),"")</f>
        <v/>
      </c>
      <c r="N1666" s="14" t="str" ph="1">
        <f>IFERROR(INDEX([1]!_born[生没年],
MATCH(K1666,[1]!_born[作],0)),"")</f>
        <v/>
      </c>
      <c r="O1666" s="13" t="s" ph="1">
        <v>7482</v>
      </c>
      <c r="R1666" s="16" t="s" ph="1">
        <v>1352</v>
      </c>
      <c r="S1666" s="13" t="s" ph="1">
        <v>7483</v>
      </c>
      <c r="T1666" s="13" t="s" ph="1">
        <v>385</v>
      </c>
      <c r="U1666" s="16" t="s" ph="1">
        <v>1217</v>
      </c>
      <c r="V1666" s="17" ph="1">
        <v>680</v>
      </c>
    </row>
    <row r="1667" spans="1:25" ht="22.5" customHeight="1" ph="1" x14ac:dyDescent="0.35">
      <c r="C1667" s="13" t="s" ph="1">
        <v>5828</v>
      </c>
      <c r="G1667" s="13" t="s" ph="1">
        <v>3857</v>
      </c>
      <c r="H1667" s="13" t="s" ph="1">
        <v>1219</v>
      </c>
      <c r="I1667" s="13" t="s" ph="1">
        <v>7484</v>
      </c>
      <c r="M1667" s="14" t="str" ph="1">
        <f>IFERROR(INDEX([1]!_born[生没年],
MATCH(I1667,[1]!_born[作],0)),"")</f>
        <v/>
      </c>
      <c r="N1667" s="14" t="str" ph="1">
        <f>IFERROR(INDEX([1]!_born[生没年],
MATCH(K1667,[1]!_born[作],0)),"")</f>
        <v/>
      </c>
      <c r="O1667" s="15" t="s" ph="1">
        <v>7485</v>
      </c>
      <c r="R1667" s="16" t="s" ph="1">
        <v>1395</v>
      </c>
      <c r="S1667" s="13" t="s" ph="1">
        <v>1396</v>
      </c>
      <c r="T1667" s="13" t="s" ph="1">
        <v>7486</v>
      </c>
      <c r="U1667" s="16" ph="1">
        <v>34992</v>
      </c>
      <c r="V1667" s="17" ph="1">
        <v>850</v>
      </c>
      <c r="W1667" s="17" ph="1">
        <v>500</v>
      </c>
      <c r="X1667" s="13" t="s" ph="1">
        <v>1397</v>
      </c>
    </row>
    <row r="1668" spans="1:25" ht="22.5" customHeight="1" ph="1" x14ac:dyDescent="0.35">
      <c r="A1668" s="106" t="s" ph="1">
        <v>1398</v>
      </c>
      <c r="B1668" s="5" t="s" ph="1">
        <v>1233</v>
      </c>
      <c r="C1668" s="13" t="s" ph="1">
        <v>5828</v>
      </c>
      <c r="G1668" s="13" t="s" ph="1">
        <v>1218</v>
      </c>
      <c r="H1668" s="13" t="s" ph="1">
        <v>1219</v>
      </c>
      <c r="I1668" s="13" t="s" ph="1">
        <v>7487</v>
      </c>
      <c r="J1668" s="13" t="s" ph="1">
        <v>3616</v>
      </c>
      <c r="M1668" s="14" t="str" ph="1">
        <f>IFERROR(INDEX([1]!_born[生没年],
MATCH(I1668,[1]!_born[作],0)),"")</f>
        <v/>
      </c>
      <c r="N1668" s="14" t="str" ph="1">
        <f>IFERROR(INDEX([1]!_born[生没年],
MATCH(K1668,[1]!_born[作],0)),"")</f>
        <v/>
      </c>
      <c r="O1668" s="13" t="s" ph="1">
        <v>7488</v>
      </c>
      <c r="R1668" s="16" t="s" ph="1">
        <v>1243</v>
      </c>
      <c r="S1668" s="13" t="s" ph="1">
        <v>7489</v>
      </c>
      <c r="T1668" s="13" t="s" ph="1">
        <v>7490</v>
      </c>
      <c r="U1668" s="16" ph="1">
        <v>38262</v>
      </c>
      <c r="V1668" s="17" ph="1">
        <f>1000*1.05</f>
        <v>1050</v>
      </c>
      <c r="W1668" s="17" ph="1">
        <f>1000*1.05</f>
        <v>1050</v>
      </c>
      <c r="X1668" s="13" t="s" ph="1">
        <v>6698</v>
      </c>
    </row>
    <row r="1669" spans="1:25" ht="22.5" customHeight="1" ph="1" x14ac:dyDescent="0.35">
      <c r="C1669" s="13" t="s" ph="1">
        <v>5828</v>
      </c>
      <c r="G1669" s="13" t="s" ph="1">
        <v>1260</v>
      </c>
      <c r="H1669" s="13" t="s" ph="1">
        <v>1219</v>
      </c>
      <c r="I1669" s="13" t="s" ph="1">
        <v>7491</v>
      </c>
      <c r="M1669" s="14" t="str" ph="1">
        <f>IFERROR(INDEX([1]!_born[生没年],
MATCH(I1669,[1]!_born[作],0)),"")</f>
        <v/>
      </c>
      <c r="N1669" s="14" t="str" ph="1">
        <f>IFERROR(INDEX([1]!_born[生没年],
MATCH(K1669,[1]!_born[作],0)),"")</f>
        <v/>
      </c>
      <c r="O1669" s="13" t="s" ph="1">
        <v>7492</v>
      </c>
      <c r="R1669" s="16" t="s" ph="1">
        <v>1395</v>
      </c>
      <c r="S1669" s="13" t="s" ph="1">
        <v>1399</v>
      </c>
      <c r="T1669" s="13" t="s" ph="1">
        <v>4119</v>
      </c>
      <c r="U1669" s="16" t="s" ph="1">
        <v>1217</v>
      </c>
      <c r="V1669" s="17" ph="1">
        <v>750</v>
      </c>
      <c r="W1669" s="17" ph="1">
        <v>0</v>
      </c>
    </row>
    <row r="1670" spans="1:25" ht="22.5" customHeight="1" ph="1" x14ac:dyDescent="0.35">
      <c r="C1670" s="13" t="s" ph="1">
        <v>5828</v>
      </c>
      <c r="G1670" s="13" t="s" ph="1">
        <v>1260</v>
      </c>
      <c r="H1670" s="13" t="s" ph="1">
        <v>1257</v>
      </c>
      <c r="I1670" s="13" t="s" ph="1">
        <v>7493</v>
      </c>
      <c r="M1670" s="14" t="str" ph="1">
        <f>IFERROR(INDEX([1]!_born[生没年],
MATCH(I1670,[1]!_born[作],0)),"")</f>
        <v/>
      </c>
      <c r="N1670" s="14" t="str" ph="1">
        <f>IFERROR(INDEX([1]!_born[生没年],
MATCH(K1670,[1]!_born[作],0)),"")</f>
        <v/>
      </c>
      <c r="O1670" s="13" t="s" ph="1">
        <v>7494</v>
      </c>
      <c r="R1670" s="16" t="s" ph="1">
        <v>1296</v>
      </c>
      <c r="S1670" s="13" t="s" ph="1">
        <v>1400</v>
      </c>
      <c r="T1670" s="13" t="s" ph="1">
        <v>4119</v>
      </c>
      <c r="U1670" s="16" t="s" ph="1">
        <v>1217</v>
      </c>
      <c r="V1670" s="17" ph="1">
        <v>880</v>
      </c>
    </row>
    <row r="1671" spans="1:25" ht="22.5" customHeight="1" ph="1" x14ac:dyDescent="0.35">
      <c r="C1671" s="13" t="s" ph="1">
        <v>5828</v>
      </c>
      <c r="G1671" s="13" t="s" ph="1">
        <v>3599</v>
      </c>
      <c r="H1671" s="13" t="s" ph="1">
        <v>1219</v>
      </c>
      <c r="I1671" s="13" t="s" ph="1">
        <v>7495</v>
      </c>
      <c r="K1671" s="13" t="s" ph="1">
        <v>7496</v>
      </c>
      <c r="L1671" s="13" t="s" ph="1">
        <v>3616</v>
      </c>
      <c r="M1671" s="14" t="str" ph="1">
        <f>IFERROR(INDEX([1]!_born[生没年],
MATCH(I1671,[1]!_born[作],0)),"")</f>
        <v/>
      </c>
      <c r="N1671" s="14" t="str" ph="1">
        <f>IFERROR(INDEX([1]!_born[生没年],
MATCH(K1671,[1]!_born[作],0)),"")</f>
        <v/>
      </c>
      <c r="O1671" s="13" t="s" ph="1">
        <v>7497</v>
      </c>
      <c r="R1671" s="16" t="s" ph="1">
        <v>1301</v>
      </c>
      <c r="S1671" s="13" t="s" ph="1">
        <v>7498</v>
      </c>
      <c r="T1671" s="13" t="s" ph="1">
        <v>7499</v>
      </c>
      <c r="V1671" s="17" ph="1">
        <v>720</v>
      </c>
    </row>
    <row r="1672" spans="1:25" ht="22.5" customHeight="1" ph="1" x14ac:dyDescent="0.35">
      <c r="C1672" s="13" t="s" ph="1">
        <v>7500</v>
      </c>
      <c r="G1672" s="13" t="s" ph="1">
        <v>3599</v>
      </c>
      <c r="H1672" s="13" t="s" ph="1">
        <v>1219</v>
      </c>
      <c r="I1672" s="13" t="s" ph="1">
        <v>7501</v>
      </c>
      <c r="M1672" s="14" t="str" ph="1">
        <f>IFERROR(INDEX([1]!_born[生没年],
MATCH(I1672,[1]!_born[作],0)),"")</f>
        <v/>
      </c>
      <c r="N1672" s="14" t="str" ph="1">
        <f>IFERROR(INDEX([1]!_born[生没年],
MATCH(K1672,[1]!_born[作],0)),"")</f>
        <v/>
      </c>
      <c r="O1672" s="13" t="s" ph="1">
        <v>1401</v>
      </c>
      <c r="R1672" s="16" t="s" ph="1">
        <v>1301</v>
      </c>
      <c r="S1672" s="13" t="s" ph="1">
        <v>7502</v>
      </c>
      <c r="T1672" s="13" t="s" ph="1">
        <v>4402</v>
      </c>
      <c r="V1672" s="17" ph="1">
        <v>500</v>
      </c>
    </row>
    <row r="1673" spans="1:25" ht="22.5" customHeight="1" ph="1" x14ac:dyDescent="0.35">
      <c r="C1673" s="13" t="s" ph="1">
        <v>7500</v>
      </c>
      <c r="G1673" s="13" t="s" ph="1">
        <v>1260</v>
      </c>
      <c r="H1673" s="13" t="s" ph="1">
        <v>1219</v>
      </c>
      <c r="I1673" s="13" t="s" ph="1">
        <v>7503</v>
      </c>
      <c r="M1673" s="14" t="str" ph="1">
        <f>IFERROR(INDEX([1]!_born[生没年],
MATCH(I1673,[1]!_born[作],0)),"")</f>
        <v/>
      </c>
      <c r="N1673" s="14" t="str" ph="1">
        <f>IFERROR(INDEX([1]!_born[生没年],
MATCH(K1673,[1]!_born[作],0)),"")</f>
        <v/>
      </c>
      <c r="O1673" s="13" t="s" ph="1">
        <v>7504</v>
      </c>
      <c r="R1673" s="16" t="s" ph="1">
        <v>1341</v>
      </c>
      <c r="S1673" s="13" t="s" ph="1">
        <v>7505</v>
      </c>
      <c r="T1673" s="13" t="s" ph="1">
        <v>4402</v>
      </c>
      <c r="V1673" s="17" ph="1">
        <v>500</v>
      </c>
    </row>
    <row r="1674" spans="1:25" ht="22.5" customHeight="1" ph="1" x14ac:dyDescent="0.35">
      <c r="C1674" s="13" t="s" ph="1">
        <v>7500</v>
      </c>
      <c r="G1674" s="13" t="s" ph="1">
        <v>3599</v>
      </c>
      <c r="H1674" s="13" t="s" ph="1">
        <v>1219</v>
      </c>
      <c r="I1674" s="13" t="s" ph="1">
        <v>4914</v>
      </c>
      <c r="M1674" s="14" t="str" ph="1">
        <f>IFERROR(INDEX([1]!_born[生没年],
MATCH(I1674,[1]!_born[作],0)),"")</f>
        <v/>
      </c>
      <c r="N1674" s="14" t="str" ph="1">
        <f>IFERROR(INDEX([1]!_born[生没年],
MATCH(K1674,[1]!_born[作],0)),"")</f>
        <v/>
      </c>
      <c r="O1674" s="13" t="s" ph="1">
        <v>7506</v>
      </c>
      <c r="R1674" s="16" t="s" ph="1">
        <v>1341</v>
      </c>
      <c r="S1674" s="13" t="s" ph="1">
        <v>7507</v>
      </c>
      <c r="T1674" s="13" t="s" ph="1">
        <v>4402</v>
      </c>
      <c r="V1674" s="17" ph="1">
        <v>500</v>
      </c>
    </row>
    <row r="1675" spans="1:25" ht="22.5" customHeight="1" ph="1" x14ac:dyDescent="0.35">
      <c r="C1675" s="13" t="s" ph="1">
        <v>5828</v>
      </c>
      <c r="G1675" s="13" t="s" ph="1">
        <v>3599</v>
      </c>
      <c r="H1675" s="13" t="s" ph="1">
        <v>1219</v>
      </c>
      <c r="I1675" s="13" t="s" ph="1">
        <v>5318</v>
      </c>
      <c r="M1675" s="14" t="str" ph="1">
        <f>IFERROR(INDEX([1]!_born[生没年],
MATCH(I1675,[1]!_born[作],0)),"")</f>
        <v/>
      </c>
      <c r="N1675" s="14" t="str" ph="1">
        <f>IFERROR(INDEX([1]!_born[生没年],
MATCH(K1675,[1]!_born[作],0)),"")</f>
        <v/>
      </c>
      <c r="O1675" s="13" t="s" ph="1">
        <v>7508</v>
      </c>
      <c r="S1675" s="13" t="s" ph="1">
        <v>1402</v>
      </c>
      <c r="T1675" s="13" t="s" ph="1">
        <v>7509</v>
      </c>
      <c r="V1675" s="17" ph="1">
        <v>880</v>
      </c>
      <c r="W1675" s="17" ph="1">
        <v>200</v>
      </c>
      <c r="X1675" s="5" t="s" ph="1">
        <v>4133</v>
      </c>
      <c r="Y1675" s="5" ph="1"/>
    </row>
    <row r="1676" spans="1:25" ht="22.5" customHeight="1" ph="1" x14ac:dyDescent="0.35">
      <c r="C1676" s="13" t="s" ph="1">
        <v>5828</v>
      </c>
      <c r="G1676" s="13" t="s" ph="1">
        <v>3599</v>
      </c>
      <c r="H1676" s="13" t="s" ph="1">
        <v>1219</v>
      </c>
      <c r="I1676" s="13" t="s" ph="1">
        <v>7510</v>
      </c>
      <c r="M1676" s="14" t="str" ph="1">
        <f>IFERROR(INDEX([1]!_born[生没年],
MATCH(I1676,[1]!_born[作],0)),"")</f>
        <v/>
      </c>
      <c r="N1676" s="14" t="str" ph="1">
        <f>IFERROR(INDEX([1]!_born[生没年],
MATCH(K1676,[1]!_born[作],0)),"")</f>
        <v/>
      </c>
      <c r="O1676" s="13" t="s" ph="1">
        <v>7511</v>
      </c>
      <c r="R1676" s="16" t="s" ph="1">
        <v>1329</v>
      </c>
      <c r="S1676" s="13" t="s" ph="1">
        <v>1403</v>
      </c>
      <c r="T1676" s="13" t="s" ph="1">
        <v>3926</v>
      </c>
      <c r="U1676" s="13" ph="1"/>
      <c r="V1676" s="17" ph="1">
        <v>460</v>
      </c>
      <c r="W1676" s="17" ph="1">
        <v>460</v>
      </c>
      <c r="Y1676" s="13" t="s" ph="1">
        <v>4724</v>
      </c>
    </row>
    <row r="1677" spans="1:25" ht="22.5" customHeight="1" ph="1" x14ac:dyDescent="0.35">
      <c r="C1677" s="13" t="s" ph="1">
        <v>5828</v>
      </c>
      <c r="G1677" s="13" t="s" ph="1">
        <v>3599</v>
      </c>
      <c r="H1677" s="13" t="s" ph="1">
        <v>1219</v>
      </c>
      <c r="I1677" s="13" t="s" ph="1">
        <v>7510</v>
      </c>
      <c r="M1677" s="14" t="str" ph="1">
        <f>IFERROR(INDEX([1]!_born[生没年],
MATCH(I1677,[1]!_born[作],0)),"")</f>
        <v/>
      </c>
      <c r="N1677" s="14" t="str" ph="1">
        <f>IFERROR(INDEX([1]!_born[生没年],
MATCH(K1677,[1]!_born[作],0)),"")</f>
        <v/>
      </c>
      <c r="O1677" s="13" t="s" ph="1">
        <v>7512</v>
      </c>
      <c r="R1677" s="16" t="s" ph="1">
        <v>1328</v>
      </c>
      <c r="S1677" s="13" t="s" ph="1">
        <v>1403</v>
      </c>
      <c r="T1677" s="13" t="s" ph="1">
        <v>3926</v>
      </c>
      <c r="U1677" s="13" ph="1"/>
      <c r="V1677" s="17" ph="1">
        <v>460</v>
      </c>
      <c r="W1677" s="17" ph="1">
        <v>460</v>
      </c>
      <c r="Y1677" s="13" t="s" ph="1">
        <v>4724</v>
      </c>
    </row>
    <row r="1678" spans="1:25" ht="22.5" customHeight="1" ph="1" x14ac:dyDescent="0.35">
      <c r="C1678" s="13" t="s" ph="1">
        <v>5828</v>
      </c>
      <c r="G1678" s="13" t="s" ph="1">
        <v>3599</v>
      </c>
      <c r="H1678" s="13" t="s" ph="1">
        <v>1219</v>
      </c>
      <c r="I1678" s="13" t="s" ph="1">
        <v>7513</v>
      </c>
      <c r="M1678" s="14" t="str" ph="1">
        <f>IFERROR(INDEX([1]!_born[生没年],
MATCH(I1678,[1]!_born[作],0)),"")</f>
        <v/>
      </c>
      <c r="N1678" s="14" t="str" ph="1">
        <f>IFERROR(INDEX([1]!_born[生没年],
MATCH(K1678,[1]!_born[作],0)),"")</f>
        <v/>
      </c>
      <c r="O1678" s="13" t="s" ph="1">
        <v>7514</v>
      </c>
      <c r="R1678" s="16" t="s" ph="1">
        <v>1358</v>
      </c>
      <c r="S1678" s="13" t="s" ph="1">
        <v>1403</v>
      </c>
      <c r="T1678" s="13" t="s" ph="1">
        <v>3926</v>
      </c>
      <c r="U1678" s="13" ph="1"/>
      <c r="V1678" s="17" ph="1">
        <v>460</v>
      </c>
      <c r="W1678" s="17" ph="1">
        <v>460</v>
      </c>
      <c r="Y1678" s="13" t="s" ph="1">
        <v>4724</v>
      </c>
    </row>
    <row r="1679" spans="1:25" ht="22.5" customHeight="1" ph="1" x14ac:dyDescent="0.35">
      <c r="C1679" s="13" t="s" ph="1">
        <v>5828</v>
      </c>
      <c r="G1679" s="13" t="s" ph="1">
        <v>3599</v>
      </c>
      <c r="H1679" s="13" t="s" ph="1">
        <v>1219</v>
      </c>
      <c r="I1679" s="13" t="s" ph="1">
        <v>7515</v>
      </c>
      <c r="M1679" s="14" t="str" ph="1">
        <f>IFERROR(INDEX([1]!_born[生没年],
MATCH(I1679,[1]!_born[作],0)),"")</f>
        <v/>
      </c>
      <c r="N1679" s="14" t="str" ph="1">
        <f>IFERROR(INDEX([1]!_born[生没年],
MATCH(K1679,[1]!_born[作],0)),"")</f>
        <v/>
      </c>
      <c r="O1679" s="13" t="s" ph="1">
        <v>7516</v>
      </c>
      <c r="R1679" s="16" t="s" ph="1">
        <v>1404</v>
      </c>
      <c r="S1679" s="13" t="s" ph="1">
        <v>1405</v>
      </c>
      <c r="T1679" s="13" t="s" ph="1">
        <v>3842</v>
      </c>
      <c r="U1679" s="13" ph="1"/>
      <c r="V1679" s="17" ph="1">
        <v>650</v>
      </c>
      <c r="W1679" s="17" ph="1">
        <v>650</v>
      </c>
      <c r="Y1679" s="13" t="s" ph="1">
        <v>4724</v>
      </c>
    </row>
    <row r="1680" spans="1:25" ht="22.5" customHeight="1" ph="1" x14ac:dyDescent="0.35">
      <c r="C1680" s="13" t="s" ph="1">
        <v>5828</v>
      </c>
      <c r="G1680" s="13" t="s" ph="1">
        <v>3599</v>
      </c>
      <c r="H1680" s="13" t="s" ph="1">
        <v>1219</v>
      </c>
      <c r="I1680" s="13" t="s" ph="1">
        <v>7517</v>
      </c>
      <c r="J1680" s="13" t="s" ph="1">
        <v>7518</v>
      </c>
      <c r="M1680" s="14" t="str" ph="1">
        <f>IFERROR(INDEX([1]!_born[生没年],
MATCH(I1680,[1]!_born[作],0)),"")</f>
        <v/>
      </c>
      <c r="N1680" s="14" t="str" ph="1">
        <f>IFERROR(INDEX([1]!_born[生没年],
MATCH(K1680,[1]!_born[作],0)),"")</f>
        <v/>
      </c>
      <c r="O1680" s="13" t="s" ph="1">
        <v>7519</v>
      </c>
      <c r="R1680" s="16" t="s" ph="1">
        <v>1406</v>
      </c>
      <c r="S1680" s="13" t="s" ph="1">
        <v>1407</v>
      </c>
      <c r="T1680" s="13" t="s" ph="1">
        <v>7520</v>
      </c>
      <c r="U1680" s="13" ph="1"/>
      <c r="V1680" s="17" ph="1">
        <v>580</v>
      </c>
      <c r="W1680" s="17" ph="1">
        <v>0</v>
      </c>
      <c r="Y1680" s="13" t="s" ph="1">
        <v>7521</v>
      </c>
    </row>
    <row r="1681" spans="1:25" ht="22.5" customHeight="1" ph="1" x14ac:dyDescent="0.35">
      <c r="C1681" s="13" t="s" ph="1">
        <v>5828</v>
      </c>
      <c r="G1681" s="13" t="s" ph="1">
        <v>3599</v>
      </c>
      <c r="H1681" s="13" t="s" ph="1">
        <v>1219</v>
      </c>
      <c r="I1681" s="13" t="s" ph="1">
        <v>7522</v>
      </c>
      <c r="J1681" s="13" t="s" ph="1">
        <v>7523</v>
      </c>
      <c r="M1681" s="14" t="str" ph="1">
        <f>IFERROR(INDEX([1]!_born[生没年],
MATCH(I1681,[1]!_born[作],0)),"")</f>
        <v/>
      </c>
      <c r="N1681" s="14" t="str" ph="1">
        <f>IFERROR(INDEX([1]!_born[生没年],
MATCH(K1681,[1]!_born[作],0)),"")</f>
        <v/>
      </c>
      <c r="O1681" s="13" t="s" ph="1">
        <v>7524</v>
      </c>
      <c r="R1681" s="16" t="s" ph="1">
        <v>1358</v>
      </c>
      <c r="S1681" s="13" t="s" ph="1">
        <v>4132</v>
      </c>
      <c r="T1681" s="13" t="s" ph="1">
        <v>385</v>
      </c>
      <c r="U1681" s="13" ph="1"/>
      <c r="V1681" s="17" ph="1">
        <v>600</v>
      </c>
      <c r="W1681" s="17" ph="1">
        <v>600</v>
      </c>
      <c r="Y1681" s="13" t="s" ph="1">
        <v>4724</v>
      </c>
    </row>
    <row r="1682" spans="1:25" ht="22.5" customHeight="1" ph="1" x14ac:dyDescent="0.35">
      <c r="A1682" s="106" t="s" ph="1">
        <v>2992</v>
      </c>
      <c r="B1682" s="5" t="s" ph="1">
        <v>1389</v>
      </c>
      <c r="C1682" s="13" t="s" ph="1">
        <v>5828</v>
      </c>
      <c r="G1682" s="13" t="s" ph="1">
        <v>3599</v>
      </c>
      <c r="H1682" s="13" t="s" ph="1">
        <v>3902</v>
      </c>
      <c r="I1682" s="13" t="s" ph="1">
        <v>7525</v>
      </c>
      <c r="M1682" s="14" t="str" ph="1">
        <f>IFERROR(INDEX([1]!_born[生没年],
MATCH(I1682,[1]!_born[作],0)),"")</f>
        <v/>
      </c>
      <c r="N1682" s="14" t="str" ph="1">
        <f>IFERROR(INDEX([1]!_born[生没年],
MATCH(K1682,[1]!_born[作],0)),"")</f>
        <v/>
      </c>
      <c r="O1682" s="13" t="s" ph="1">
        <v>7526</v>
      </c>
      <c r="R1682" s="16" t="s" ph="1">
        <v>989</v>
      </c>
      <c r="S1682" s="13" t="s" ph="1">
        <v>7527</v>
      </c>
      <c r="T1682" s="13" t="s" ph="1">
        <v>7528</v>
      </c>
      <c r="U1682" s="16" t="s" ph="1">
        <v>2990</v>
      </c>
      <c r="V1682" s="17" ph="1">
        <f>690*1.05</f>
        <v>724.5</v>
      </c>
      <c r="W1682" s="17" ph="1">
        <v>0</v>
      </c>
      <c r="Y1682" s="13" t="s" ph="1">
        <v>7529</v>
      </c>
    </row>
    <row r="1683" spans="1:25" ht="22.5" customHeight="1" ph="1" x14ac:dyDescent="0.35">
      <c r="C1683" s="13" t="s" ph="1">
        <v>5828</v>
      </c>
      <c r="G1683" s="13" t="s" ph="1">
        <v>4563</v>
      </c>
      <c r="H1683" s="13" t="s" ph="1">
        <v>1269</v>
      </c>
      <c r="I1683" s="13" t="s" ph="1">
        <v>7530</v>
      </c>
      <c r="M1683" s="14" t="str" ph="1">
        <f>IFERROR(INDEX([1]!_born[生没年],
MATCH(I1683,[1]!_born[作],0)),"")</f>
        <v/>
      </c>
      <c r="N1683" s="14" t="str" ph="1">
        <f>IFERROR(INDEX([1]!_born[生没年],
MATCH(K1683,[1]!_born[作],0)),"")</f>
        <v/>
      </c>
      <c r="O1683" s="13" t="s" ph="1">
        <v>7531</v>
      </c>
      <c r="S1683" s="13" t="s" ph="1">
        <v>1408</v>
      </c>
      <c r="T1683" s="13" t="s" ph="1">
        <v>7532</v>
      </c>
      <c r="V1683" s="17" ph="1">
        <v>980</v>
      </c>
      <c r="W1683" s="17" ph="1">
        <v>0</v>
      </c>
    </row>
    <row r="1684" spans="1:25" ht="22.5" customHeight="1" ph="1" x14ac:dyDescent="0.35">
      <c r="A1684" s="106" t="s" ph="1">
        <v>1409</v>
      </c>
      <c r="B1684" s="5" t="s" ph="1">
        <v>1410</v>
      </c>
      <c r="C1684" s="13" t="s" ph="1">
        <v>5828</v>
      </c>
      <c r="G1684" s="13" t="s" ph="1">
        <v>4758</v>
      </c>
      <c r="H1684" s="13" t="s" ph="1">
        <v>1219</v>
      </c>
      <c r="I1684" s="13" t="s" ph="1">
        <v>7533</v>
      </c>
      <c r="M1684" s="14" t="str" ph="1">
        <f>IFERROR(INDEX([1]!_born[生没年],
MATCH(I1684,[1]!_born[作],0)),"")</f>
        <v/>
      </c>
      <c r="N1684" s="14" t="str" ph="1">
        <f>IFERROR(INDEX([1]!_born[生没年],
MATCH(K1684,[1]!_born[作],0)),"")</f>
        <v/>
      </c>
      <c r="O1684" s="13" t="s" ph="1">
        <v>7534</v>
      </c>
      <c r="R1684" s="16" t="s" ph="1">
        <v>1411</v>
      </c>
      <c r="T1684" s="13" t="s" ph="1">
        <v>7535</v>
      </c>
      <c r="U1684" s="16" t="s" ph="1">
        <v>1412</v>
      </c>
      <c r="V1684" s="17" ph="1">
        <v>800</v>
      </c>
      <c r="W1684" s="17" ph="1">
        <v>310</v>
      </c>
      <c r="X1684" s="13" t="s" ph="1">
        <v>3792</v>
      </c>
    </row>
    <row r="1685" spans="1:25" ht="22.5" customHeight="1" ph="1" x14ac:dyDescent="0.35">
      <c r="A1685" s="106" t="s" ph="1">
        <v>1413</v>
      </c>
      <c r="B1685" s="5" t="s" ph="1">
        <v>1414</v>
      </c>
      <c r="C1685" s="13" t="s" ph="1">
        <v>5828</v>
      </c>
      <c r="G1685" s="13" t="s" ph="1">
        <v>4758</v>
      </c>
      <c r="H1685" s="13" t="s" ph="1">
        <v>1219</v>
      </c>
      <c r="I1685" s="13" t="s" ph="1">
        <v>7536</v>
      </c>
      <c r="J1685" s="13" t="s" ph="1">
        <v>7537</v>
      </c>
      <c r="M1685" s="14" t="str" ph="1">
        <f>IFERROR(INDEX([1]!_born[生没年],
MATCH(I1685,[1]!_born[作],0)),"")</f>
        <v/>
      </c>
      <c r="N1685" s="14" t="str" ph="1">
        <f>IFERROR(INDEX([1]!_born[生没年],
MATCH(K1685,[1]!_born[作],0)),"")</f>
        <v/>
      </c>
      <c r="O1685" s="13" t="s" ph="1">
        <v>7538</v>
      </c>
      <c r="R1685" s="16" t="s" ph="1">
        <v>1415</v>
      </c>
      <c r="T1685" s="13" t="s" ph="1">
        <v>5041</v>
      </c>
      <c r="U1685" s="16" t="s" ph="1">
        <v>1412</v>
      </c>
      <c r="V1685" s="17" ph="1">
        <f>950</f>
        <v>950</v>
      </c>
      <c r="W1685" s="17" ph="1">
        <f>700/2</f>
        <v>350</v>
      </c>
      <c r="X1685" s="13" t="s" ph="1">
        <v>3792</v>
      </c>
    </row>
    <row r="1686" spans="1:25" ht="22.5" customHeight="1" ph="1" x14ac:dyDescent="0.35">
      <c r="A1686" s="106" t="s" ph="1">
        <v>1416</v>
      </c>
      <c r="B1686" s="5" t="s" ph="1">
        <v>1414</v>
      </c>
      <c r="C1686" s="13" t="s" ph="1">
        <v>5828</v>
      </c>
      <c r="G1686" s="13" t="s" ph="1">
        <v>4758</v>
      </c>
      <c r="H1686" s="13" t="s" ph="1">
        <v>1219</v>
      </c>
      <c r="I1686" s="13" t="s" ph="1">
        <v>7536</v>
      </c>
      <c r="M1686" s="14" t="str" ph="1">
        <f>IFERROR(INDEX([1]!_born[生没年],
MATCH(I1686,[1]!_born[作],0)),"")</f>
        <v/>
      </c>
      <c r="N1686" s="14" t="str" ph="1">
        <f>IFERROR(INDEX([1]!_born[生没年],
MATCH(K1686,[1]!_born[作],0)),"")</f>
        <v/>
      </c>
      <c r="O1686" s="13" t="s" ph="1">
        <v>7539</v>
      </c>
      <c r="R1686" s="16" t="s" ph="1">
        <v>1417</v>
      </c>
      <c r="T1686" s="13" t="s" ph="1">
        <v>5041</v>
      </c>
      <c r="U1686" s="16" t="s" ph="1">
        <v>1412</v>
      </c>
      <c r="V1686" s="17" ph="1">
        <f>1262*1.03</f>
        <v>1299.8600000000001</v>
      </c>
      <c r="W1686" s="17" ph="1">
        <f>700/2</f>
        <v>350</v>
      </c>
      <c r="X1686" s="13" t="s" ph="1">
        <v>3792</v>
      </c>
    </row>
    <row r="1687" spans="1:25" s="7" customFormat="1" ht="22.5" customHeight="1" ph="1" x14ac:dyDescent="0.35">
      <c r="A1687" s="106" ph="1"/>
      <c r="B1687" s="5" ph="1"/>
      <c r="C1687" s="9" t="s" ph="1">
        <v>5828</v>
      </c>
      <c r="D1687" s="122" ph="1"/>
      <c r="E1687" s="122" ph="1"/>
      <c r="G1687" s="8" t="s" ph="1">
        <v>3599</v>
      </c>
      <c r="H1687" s="9" t="s" ph="1">
        <v>1269</v>
      </c>
      <c r="M1687" s="7" t="str" ph="1">
        <f>IFERROR(INDEX([1]!_born[生没年],
MATCH(I1687,[1]!_born[作],0)),"")</f>
        <v/>
      </c>
      <c r="N1687" s="7" t="str" ph="1">
        <f>IFERROR(INDEX([1]!_born[生没年],
MATCH(K1687,[1]!_born[作],0)),"")</f>
        <v/>
      </c>
      <c r="R1687" s="10" ph="1"/>
      <c r="U1687" s="10" ph="1"/>
      <c r="V1687" s="11" ph="1"/>
      <c r="W1687" s="11" ph="1"/>
    </row>
    <row r="1688" spans="1:25" ht="22.5" customHeight="1" ph="1" x14ac:dyDescent="0.35">
      <c r="C1688" s="13" t="s" ph="1">
        <v>5828</v>
      </c>
      <c r="G1688" s="13" t="s" ph="1">
        <v>3599</v>
      </c>
      <c r="H1688" s="13" t="s" ph="1">
        <v>43</v>
      </c>
      <c r="I1688" s="13" t="s" ph="1">
        <v>7540</v>
      </c>
      <c r="K1688" s="13" t="s" ph="1">
        <v>7541</v>
      </c>
      <c r="L1688" s="13" t="s" ph="1">
        <v>3628</v>
      </c>
      <c r="M1688" s="14" t="str" ph="1">
        <f>IFERROR(INDEX([1]!_born[生没年],
MATCH(I1688,[1]!_born[作],0)),"")</f>
        <v/>
      </c>
      <c r="N1688" s="14" t="str" ph="1">
        <f>IFERROR(INDEX([1]!_born[生没年],
MATCH(K1688,[1]!_born[作],0)),"")</f>
        <v/>
      </c>
      <c r="O1688" s="13" t="s" ph="1">
        <v>7542</v>
      </c>
      <c r="S1688" s="13" t="s" ph="1">
        <v>2488</v>
      </c>
      <c r="T1688" s="13" t="s" ph="1">
        <v>7543</v>
      </c>
      <c r="U1688" s="16" ph="1">
        <v>40229</v>
      </c>
      <c r="V1688" s="17" ph="1">
        <v>180</v>
      </c>
      <c r="W1688" s="17" ph="1">
        <v>380</v>
      </c>
      <c r="X1688" s="13" t="s" ph="1">
        <v>3792</v>
      </c>
    </row>
    <row r="1689" spans="1:25" ht="22.5" customHeight="1" ph="1" x14ac:dyDescent="0.35">
      <c r="C1689" s="13" t="s" ph="1">
        <v>5828</v>
      </c>
      <c r="G1689" s="13" t="s" ph="1">
        <v>3599</v>
      </c>
      <c r="H1689" s="13" t="s" ph="1">
        <v>1269</v>
      </c>
      <c r="I1689" s="13" t="s" ph="1">
        <v>291</v>
      </c>
      <c r="K1689" s="13" t="s" ph="1">
        <v>7544</v>
      </c>
      <c r="L1689" s="13" t="s" ph="1">
        <v>3628</v>
      </c>
      <c r="M1689" s="14" t="str" ph="1">
        <f>IFERROR(INDEX([1]!_born[生没年],
MATCH(I1689,[1]!_born[作],0)),"")</f>
        <v/>
      </c>
      <c r="N1689" s="14" t="str" ph="1">
        <f>IFERROR(INDEX([1]!_born[生没年],
MATCH(K1689,[1]!_born[作],0)),"")</f>
        <v/>
      </c>
      <c r="O1689" s="13" t="s" ph="1">
        <v>7545</v>
      </c>
      <c r="S1689" s="13" t="s" ph="1">
        <v>7546</v>
      </c>
      <c r="T1689" s="13" t="s" ph="1">
        <v>3643</v>
      </c>
      <c r="V1689" s="17" ph="1">
        <v>980</v>
      </c>
    </row>
    <row r="1690" spans="1:25" s="7" customFormat="1" ht="22.5" customHeight="1" ph="1" x14ac:dyDescent="0.35">
      <c r="A1690" s="106" ph="1"/>
      <c r="B1690" s="5" ph="1"/>
      <c r="C1690" s="9" t="s" ph="1">
        <v>5828</v>
      </c>
      <c r="D1690" s="122" ph="1"/>
      <c r="E1690" s="122" ph="1"/>
      <c r="G1690" s="8" t="s" ph="1">
        <v>4758</v>
      </c>
      <c r="H1690" s="9" t="s" ph="1">
        <v>1219</v>
      </c>
      <c r="M1690" s="7" t="str" ph="1">
        <f>IFERROR(INDEX([1]!_born[生没年],
MATCH(I1690,[1]!_born[作],0)),"")</f>
        <v/>
      </c>
      <c r="N1690" s="7" t="str" ph="1">
        <f>IFERROR(INDEX([1]!_born[生没年],
MATCH(K1690,[1]!_born[作],0)),"")</f>
        <v/>
      </c>
      <c r="R1690" s="10" ph="1"/>
      <c r="U1690" s="10" ph="1"/>
      <c r="V1690" s="11" ph="1"/>
      <c r="W1690" s="11" ph="1"/>
    </row>
    <row r="1691" spans="1:25" ht="22.5" customHeight="1" ph="1" x14ac:dyDescent="0.35">
      <c r="A1691" s="106" t="s" ph="1">
        <v>3105</v>
      </c>
      <c r="B1691" s="5" t="s" ph="1">
        <v>2372</v>
      </c>
      <c r="C1691" s="13" t="s" ph="1">
        <v>5828</v>
      </c>
      <c r="G1691" s="13" t="s" ph="1">
        <v>4758</v>
      </c>
      <c r="H1691" s="13" t="s" ph="1">
        <v>3108</v>
      </c>
      <c r="I1691" s="13" t="s" ph="1">
        <v>7547</v>
      </c>
      <c r="K1691" s="13" t="s" ph="1">
        <v>3106</v>
      </c>
      <c r="L1691" s="13" t="s" ph="1">
        <v>3107</v>
      </c>
      <c r="M1691" s="14" t="str" ph="1">
        <f>IFERROR(INDEX([1]!_born[生没年],
MATCH(I1691,[1]!_born[作],0)),"")</f>
        <v/>
      </c>
      <c r="N1691" s="14" t="str" ph="1">
        <f>IFERROR(INDEX([1]!_born[生没年],
MATCH(K1691,[1]!_born[作],0)),"")</f>
        <v/>
      </c>
      <c r="O1691" s="13" t="s" ph="1">
        <v>7548</v>
      </c>
      <c r="R1691" s="16" ph="1">
        <v>38831</v>
      </c>
      <c r="S1691" s="13" t="s" ph="1">
        <v>3109</v>
      </c>
      <c r="T1691" s="13" t="s" ph="1">
        <v>7549</v>
      </c>
      <c r="U1691" s="16" t="s" ph="1">
        <v>2937</v>
      </c>
      <c r="V1691" s="17" ph="1">
        <f>660*1.05</f>
        <v>693</v>
      </c>
      <c r="W1691" s="17" ph="1">
        <f>660*1.05</f>
        <v>693</v>
      </c>
      <c r="X1691" s="13" t="s" ph="1">
        <v>4265</v>
      </c>
    </row>
    <row r="1692" spans="1:25" ht="22.5" customHeight="1" ph="1" x14ac:dyDescent="0.35">
      <c r="C1692" s="13" t="s" ph="1">
        <v>5828</v>
      </c>
      <c r="G1692" s="13" t="s" ph="1">
        <v>4758</v>
      </c>
      <c r="H1692" s="13" t="s" ph="1">
        <v>1219</v>
      </c>
      <c r="I1692" s="13" t="s" ph="1">
        <v>7550</v>
      </c>
      <c r="M1692" s="14" t="str" ph="1">
        <f>IFERROR(INDEX([1]!_born[生没年],
MATCH(I1692,[1]!_born[作],0)),"")</f>
        <v/>
      </c>
      <c r="N1692" s="14" t="str" ph="1">
        <f>IFERROR(INDEX([1]!_born[生没年],
MATCH(K1692,[1]!_born[作],0)),"")</f>
        <v/>
      </c>
      <c r="O1692" s="13" t="s" ph="1">
        <v>7551</v>
      </c>
      <c r="T1692" s="13" t="s" ph="1">
        <v>4626</v>
      </c>
      <c r="U1692" s="16" ph="1">
        <v>36778</v>
      </c>
      <c r="V1692" s="17" ph="1">
        <v>900</v>
      </c>
      <c r="W1692" s="17" ph="1">
        <v>900</v>
      </c>
      <c r="X1692" s="13" t="s" ph="1">
        <v>474</v>
      </c>
    </row>
    <row r="1693" spans="1:25" ht="22.5" customHeight="1" ph="1" x14ac:dyDescent="0.35">
      <c r="C1693" s="13" t="s" ph="1">
        <v>5828</v>
      </c>
      <c r="G1693" s="13" t="s" ph="1">
        <v>3599</v>
      </c>
      <c r="H1693" s="13" t="s" ph="1">
        <v>1219</v>
      </c>
      <c r="I1693" s="13" t="s" ph="1">
        <v>4947</v>
      </c>
      <c r="M1693" s="14" t="str" ph="1">
        <f>IFERROR(INDEX([1]!_born[生没年],
MATCH(I1693,[1]!_born[作],0)),"")</f>
        <v/>
      </c>
      <c r="N1693" s="14" t="str" ph="1">
        <f>IFERROR(INDEX([1]!_born[生没年],
MATCH(K1693,[1]!_born[作],0)),"")</f>
        <v/>
      </c>
      <c r="O1693" s="13" t="s" ph="1">
        <v>7552</v>
      </c>
      <c r="T1693" s="13" t="s" ph="1">
        <v>7553</v>
      </c>
      <c r="U1693" s="16" ph="1">
        <v>36771</v>
      </c>
      <c r="V1693" s="17" ph="1">
        <f>680*1.05</f>
        <v>714</v>
      </c>
      <c r="W1693" s="17" ph="1">
        <f>680*1.05</f>
        <v>714</v>
      </c>
    </row>
    <row r="1694" spans="1:25" s="19" customFormat="1" ht="22.5" customHeight="1" ph="1" x14ac:dyDescent="0.35">
      <c r="A1694" s="107" ph="1"/>
      <c r="B1694" s="18" ph="1"/>
      <c r="C1694" s="19" t="s" ph="1">
        <v>7451</v>
      </c>
      <c r="D1694" s="124" ph="1"/>
      <c r="E1694" s="124" ph="1"/>
      <c r="G1694" s="19" t="s" ph="1">
        <v>7554</v>
      </c>
      <c r="H1694" s="19" t="s" ph="1">
        <v>1219</v>
      </c>
      <c r="I1694" s="19" t="s" ph="1">
        <v>7555</v>
      </c>
      <c r="M1694" s="27" t="str" ph="1">
        <f>IFERROR(INDEX([1]!_born[生没年],
MATCH(I1694,[1]!_born[作],0)),"")</f>
        <v/>
      </c>
      <c r="N1694" s="27" t="str" ph="1">
        <f>IFERROR(INDEX([1]!_born[生没年],
MATCH(K1694,[1]!_born[作],0)),"")</f>
        <v/>
      </c>
      <c r="O1694" s="19" t="s" ph="1">
        <v>7556</v>
      </c>
      <c r="R1694" s="20" ph="1"/>
      <c r="T1694" s="19" t="s" ph="1">
        <v>7557</v>
      </c>
      <c r="U1694" s="20" ph="1">
        <v>36923</v>
      </c>
      <c r="V1694" s="21" ph="1">
        <f>760*1.05</f>
        <v>798</v>
      </c>
      <c r="W1694" s="21" ph="1">
        <f>760*1.05</f>
        <v>798</v>
      </c>
    </row>
    <row r="1695" spans="1:25" s="7" customFormat="1" ht="22.5" customHeight="1" ph="1" x14ac:dyDescent="0.35">
      <c r="A1695" s="106" ph="1"/>
      <c r="B1695" s="5" ph="1"/>
      <c r="C1695" s="9" t="s" ph="1">
        <v>5828</v>
      </c>
      <c r="D1695" s="122" ph="1"/>
      <c r="E1695" s="122" ph="1"/>
      <c r="G1695" s="8" t="s" ph="1">
        <v>4758</v>
      </c>
      <c r="H1695" s="9" t="s" ph="1">
        <v>1269</v>
      </c>
      <c r="M1695" s="7" t="str" ph="1">
        <f>IFERROR(INDEX([1]!_born[生没年],
MATCH(I1695,[1]!_born[作],0)),"")</f>
        <v/>
      </c>
      <c r="N1695" s="7" t="str" ph="1">
        <f>IFERROR(INDEX([1]!_born[生没年],
MATCH(K1695,[1]!_born[作],0)),"")</f>
        <v/>
      </c>
      <c r="R1695" s="10" ph="1"/>
      <c r="U1695" s="10" ph="1"/>
      <c r="V1695" s="11" ph="1"/>
      <c r="W1695" s="11" ph="1"/>
    </row>
    <row r="1696" spans="1:25" ht="22.5" customHeight="1" ph="1" x14ac:dyDescent="0.35">
      <c r="C1696" s="13" t="s" ph="1">
        <v>5828</v>
      </c>
      <c r="G1696" s="13" t="s" ph="1">
        <v>4758</v>
      </c>
      <c r="H1696" s="13" t="s" ph="1">
        <v>1257</v>
      </c>
      <c r="I1696" s="15" t="s" ph="1">
        <v>7558</v>
      </c>
      <c r="L1696" s="13" t="s" ph="1">
        <v>3628</v>
      </c>
      <c r="M1696" s="14" t="str" ph="1">
        <f>IFERROR(INDEX([1]!_born[生没年],
MATCH(I1696,[1]!_born[作],0)),"")</f>
        <v/>
      </c>
      <c r="N1696" s="14" t="str" ph="1">
        <f>IFERROR(INDEX([1]!_born[生没年],
MATCH(K1696,[1]!_born[作],0)),"")</f>
        <v/>
      </c>
      <c r="O1696" s="15" t="s" ph="1">
        <v>7559</v>
      </c>
      <c r="S1696" s="13" t="s" ph="1">
        <v>7560</v>
      </c>
      <c r="T1696" s="13" t="s" ph="1">
        <v>3643</v>
      </c>
      <c r="U1696" s="16" t="s" ph="1">
        <v>1217</v>
      </c>
      <c r="V1696" s="17" ph="1">
        <v>960</v>
      </c>
    </row>
    <row r="1697" spans="1:25" ht="22.5" customHeight="1" ph="1" x14ac:dyDescent="0.35">
      <c r="C1697" s="13" t="s" ph="1">
        <v>5828</v>
      </c>
      <c r="G1697" s="13" t="s" ph="1">
        <v>4758</v>
      </c>
      <c r="H1697" s="13" t="s" ph="1">
        <v>1257</v>
      </c>
      <c r="I1697" s="15" t="s" ph="1">
        <v>292</v>
      </c>
      <c r="K1697" s="15" t="s" ph="1">
        <v>7561</v>
      </c>
      <c r="L1697" s="13" t="s" ph="1">
        <v>3628</v>
      </c>
      <c r="M1697" s="14" t="str" ph="1">
        <f>IFERROR(INDEX([1]!_born[生没年],
MATCH(I1697,[1]!_born[作],0)),"")</f>
        <v/>
      </c>
      <c r="N1697" s="14" t="str" ph="1">
        <f>IFERROR(INDEX([1]!_born[生没年],
MATCH(K1697,[1]!_born[作],0)),"")</f>
        <v/>
      </c>
      <c r="O1697" s="15" t="s" ph="1">
        <v>7562</v>
      </c>
      <c r="S1697" s="13" t="s" ph="1">
        <v>7560</v>
      </c>
      <c r="T1697" s="13" t="s" ph="1">
        <v>3643</v>
      </c>
      <c r="V1697" s="17" ph="1">
        <v>680</v>
      </c>
    </row>
    <row r="1698" spans="1:25" ht="22.5" customHeight="1" ph="1" x14ac:dyDescent="0.35">
      <c r="C1698" s="13" t="s" ph="1">
        <v>5828</v>
      </c>
      <c r="G1698" s="13" t="s" ph="1">
        <v>4758</v>
      </c>
      <c r="H1698" s="13" t="s" ph="1">
        <v>1257</v>
      </c>
      <c r="I1698" s="13" t="s" ph="1">
        <v>292</v>
      </c>
      <c r="K1698" s="13" t="s" ph="1">
        <v>5071</v>
      </c>
      <c r="L1698" s="13" t="s" ph="1">
        <v>3628</v>
      </c>
      <c r="M1698" s="14" t="str" ph="1">
        <f>IFERROR(INDEX([1]!_born[生没年],
MATCH(I1698,[1]!_born[作],0)),"")</f>
        <v/>
      </c>
      <c r="N1698" s="14" t="str" ph="1">
        <f>IFERROR(INDEX([1]!_born[生没年],
MATCH(K1698,[1]!_born[作],0)),"")</f>
        <v/>
      </c>
      <c r="O1698" s="13" t="s" ph="1">
        <v>7563</v>
      </c>
      <c r="R1698" s="16" t="s" ph="1">
        <v>1418</v>
      </c>
      <c r="S1698" s="13" t="s" ph="1">
        <v>7560</v>
      </c>
      <c r="T1698" s="13" t="s" ph="1">
        <v>3643</v>
      </c>
      <c r="V1698" s="17" ph="1">
        <v>880</v>
      </c>
    </row>
    <row r="1699" spans="1:25" ht="22.5" customHeight="1" ph="1" x14ac:dyDescent="0.35">
      <c r="C1699" s="13" t="s" ph="1">
        <v>5828</v>
      </c>
      <c r="G1699" s="13" t="s" ph="1">
        <v>4758</v>
      </c>
      <c r="H1699" s="13" t="s" ph="1">
        <v>1257</v>
      </c>
      <c r="I1699" s="13" t="s" ph="1">
        <v>292</v>
      </c>
      <c r="K1699" s="13" t="s" ph="1">
        <v>5071</v>
      </c>
      <c r="L1699" s="13" t="s" ph="1">
        <v>3628</v>
      </c>
      <c r="M1699" s="14" t="str" ph="1">
        <f>IFERROR(INDEX([1]!_born[生没年],
MATCH(I1699,[1]!_born[作],0)),"")</f>
        <v/>
      </c>
      <c r="N1699" s="14" t="str" ph="1">
        <f>IFERROR(INDEX([1]!_born[生没年],
MATCH(K1699,[1]!_born[作],0)),"")</f>
        <v/>
      </c>
      <c r="O1699" s="13" t="s" ph="1">
        <v>7564</v>
      </c>
      <c r="R1699" s="16" t="s" ph="1">
        <v>1419</v>
      </c>
      <c r="S1699" s="13" t="s" ph="1">
        <v>7560</v>
      </c>
      <c r="T1699" s="13" t="s" ph="1">
        <v>3643</v>
      </c>
      <c r="V1699" s="17" ph="1">
        <v>880</v>
      </c>
    </row>
    <row r="1700" spans="1:25" ht="22.5" customHeight="1" ph="1" x14ac:dyDescent="0.35">
      <c r="C1700" s="13" t="s" ph="1">
        <v>5828</v>
      </c>
      <c r="G1700" s="13" t="s" ph="1">
        <v>4758</v>
      </c>
      <c r="H1700" s="13" t="s" ph="1">
        <v>1257</v>
      </c>
      <c r="I1700" s="13" t="s" ph="1">
        <v>292</v>
      </c>
      <c r="K1700" s="13" t="s" ph="1">
        <v>5071</v>
      </c>
      <c r="L1700" s="13" t="s" ph="1">
        <v>3628</v>
      </c>
      <c r="M1700" s="14" t="str" ph="1">
        <f>IFERROR(INDEX([1]!_born[生没年],
MATCH(I1700,[1]!_born[作],0)),"")</f>
        <v/>
      </c>
      <c r="N1700" s="14" t="str" ph="1">
        <f>IFERROR(INDEX([1]!_born[生没年],
MATCH(K1700,[1]!_born[作],0)),"")</f>
        <v/>
      </c>
      <c r="O1700" s="13" t="s" ph="1">
        <v>7565</v>
      </c>
      <c r="R1700" s="16" t="s" ph="1">
        <v>1420</v>
      </c>
      <c r="S1700" s="13" t="s" ph="1">
        <v>7560</v>
      </c>
      <c r="T1700" s="13" t="s" ph="1">
        <v>3643</v>
      </c>
      <c r="V1700" s="17" ph="1">
        <v>730</v>
      </c>
    </row>
    <row r="1701" spans="1:25" ht="22.5" customHeight="1" ph="1" x14ac:dyDescent="0.35">
      <c r="C1701" s="13" t="s" ph="1">
        <v>5828</v>
      </c>
      <c r="G1701" s="13" t="s" ph="1">
        <v>4758</v>
      </c>
      <c r="H1701" s="13" t="s" ph="1">
        <v>1269</v>
      </c>
      <c r="I1701" s="13" t="s" ph="1">
        <v>208</v>
      </c>
      <c r="K1701" s="13" t="s" ph="1">
        <v>7566</v>
      </c>
      <c r="L1701" s="13" t="s" ph="1">
        <v>3628</v>
      </c>
      <c r="M1701" s="14" t="str" ph="1">
        <f>IFERROR(INDEX([1]!_born[生没年],
MATCH(I1701,[1]!_born[作],0)),"")</f>
        <v/>
      </c>
      <c r="N1701" s="14" t="str" ph="1">
        <f>IFERROR(INDEX([1]!_born[生没年],
MATCH(K1701,[1]!_born[作],0)),"")</f>
        <v/>
      </c>
      <c r="O1701" s="13" t="s" ph="1">
        <v>432</v>
      </c>
      <c r="R1701" s="16" t="s" ph="1">
        <v>1301</v>
      </c>
      <c r="S1701" s="13" t="s" ph="1">
        <v>7560</v>
      </c>
      <c r="T1701" s="13" t="s" ph="1">
        <v>3643</v>
      </c>
      <c r="U1701" s="16" ph="1">
        <v>37427</v>
      </c>
      <c r="V1701" s="17" ph="1">
        <f>950*1.05</f>
        <v>997.5</v>
      </c>
      <c r="X1701" s="13" t="s" ph="1">
        <v>3802</v>
      </c>
    </row>
    <row r="1702" spans="1:25" ht="22.5" customHeight="1" ph="1" x14ac:dyDescent="0.35">
      <c r="A1702" s="106" t="s" ph="1">
        <v>1421</v>
      </c>
      <c r="B1702" s="5" t="s" ph="1">
        <v>1422</v>
      </c>
      <c r="C1702" s="13" t="s" ph="1">
        <v>5828</v>
      </c>
      <c r="G1702" s="13" t="s" ph="1">
        <v>4758</v>
      </c>
      <c r="H1702" s="13" t="s" ph="1">
        <v>1269</v>
      </c>
      <c r="I1702" s="13" t="s" ph="1">
        <v>89</v>
      </c>
      <c r="K1702" s="13" t="s" ph="1">
        <v>7567</v>
      </c>
      <c r="L1702" s="13" t="s" ph="1">
        <v>3628</v>
      </c>
      <c r="M1702" s="14" t="str" ph="1">
        <f>IFERROR(INDEX([1]!_born[生没年],
MATCH(I1702,[1]!_born[作],0)),"")</f>
        <v/>
      </c>
      <c r="N1702" s="14" t="str" ph="1">
        <f>IFERROR(INDEX([1]!_born[生没年],
MATCH(K1702,[1]!_born[作],0)),"")</f>
        <v/>
      </c>
      <c r="O1702" s="13" t="s" ph="1">
        <v>7568</v>
      </c>
      <c r="R1702" s="16" t="s" ph="1">
        <v>1423</v>
      </c>
      <c r="S1702" s="13" t="s" ph="1">
        <v>7560</v>
      </c>
      <c r="T1702" s="13" t="s" ph="1">
        <v>3643</v>
      </c>
      <c r="U1702" s="16" ph="1">
        <v>38319</v>
      </c>
      <c r="V1702" s="17" ph="1">
        <f>786*1.03</f>
        <v>809.58</v>
      </c>
      <c r="W1702" s="17" ph="1">
        <v>350</v>
      </c>
      <c r="X1702" s="13" t="s" ph="1">
        <v>3792</v>
      </c>
    </row>
    <row r="1703" spans="1:25" ht="22.5" customHeight="1" ph="1" x14ac:dyDescent="0.35">
      <c r="A1703" s="106" t="s" ph="1">
        <v>2529</v>
      </c>
      <c r="B1703" s="5" t="s" ph="1">
        <v>2530</v>
      </c>
      <c r="C1703" s="13" t="s" ph="1">
        <v>5828</v>
      </c>
      <c r="G1703" s="13" t="s" ph="1">
        <v>4758</v>
      </c>
      <c r="H1703" s="13" t="s" ph="1">
        <v>43</v>
      </c>
      <c r="I1703" s="13" t="s" ph="1">
        <v>2531</v>
      </c>
      <c r="K1703" s="13" t="s" ph="1">
        <v>7569</v>
      </c>
      <c r="L1703" s="13" t="s" ph="1">
        <v>4794</v>
      </c>
      <c r="M1703" s="14" t="str" ph="1">
        <f>IFERROR(INDEX([1]!_born[生没年],
MATCH(I1703,[1]!_born[作],0)),"")</f>
        <v/>
      </c>
      <c r="N1703" s="14" t="str" ph="1">
        <f>IFERROR(INDEX([1]!_born[生没年],
MATCH(K1703,[1]!_born[作],0)),"")</f>
        <v/>
      </c>
      <c r="O1703" s="13" t="s" ph="1">
        <v>7570</v>
      </c>
      <c r="R1703" s="16" t="s" ph="1">
        <v>2532</v>
      </c>
      <c r="S1703" s="13" t="s" ph="1">
        <v>7571</v>
      </c>
      <c r="T1703" s="13" t="s" ph="1">
        <v>7572</v>
      </c>
      <c r="U1703" s="16" ph="1">
        <v>40524</v>
      </c>
      <c r="V1703" s="17" ph="1">
        <f>600*1.03</f>
        <v>618</v>
      </c>
      <c r="W1703" s="17" ph="1">
        <v>300</v>
      </c>
    </row>
    <row r="1704" spans="1:25" ht="22.5" customHeight="1" ph="1" x14ac:dyDescent="0.35">
      <c r="C1704" s="13" t="s" ph="1">
        <v>5828</v>
      </c>
      <c r="G1704" s="13" t="s" ph="1">
        <v>4758</v>
      </c>
      <c r="H1704" s="13" t="s" ph="1">
        <v>1257</v>
      </c>
      <c r="I1704" s="13" t="s" ph="1">
        <v>568</v>
      </c>
      <c r="K1704" s="13" t="s" ph="1">
        <v>7573</v>
      </c>
      <c r="L1704" s="13" t="s" ph="1">
        <v>3628</v>
      </c>
      <c r="M1704" s="14" t="str" ph="1">
        <f>IFERROR(INDEX([1]!_born[生没年],
MATCH(I1704,[1]!_born[作],0)),"")</f>
        <v/>
      </c>
      <c r="N1704" s="14" t="str" ph="1">
        <f>IFERROR(INDEX([1]!_born[生没年],
MATCH(K1704,[1]!_born[作],0)),"")</f>
        <v/>
      </c>
      <c r="O1704" s="13" t="s" ph="1">
        <v>7574</v>
      </c>
      <c r="R1704" s="16" t="s" ph="1">
        <v>1418</v>
      </c>
      <c r="T1704" s="13" t="s" ph="1">
        <v>7575</v>
      </c>
      <c r="V1704" s="17" ph="1">
        <v>400</v>
      </c>
    </row>
    <row r="1705" spans="1:25" ht="22.5" customHeight="1" ph="1" x14ac:dyDescent="0.35">
      <c r="C1705" s="13" t="s" ph="1">
        <v>5828</v>
      </c>
      <c r="G1705" s="13" t="s" ph="1">
        <v>4758</v>
      </c>
      <c r="H1705" s="13" t="s" ph="1">
        <v>1269</v>
      </c>
      <c r="I1705" s="13" t="s" ph="1">
        <v>565</v>
      </c>
      <c r="K1705" s="13" t="s" ph="1">
        <v>7576</v>
      </c>
      <c r="L1705" s="13" t="s" ph="1">
        <v>7577</v>
      </c>
      <c r="M1705" s="14" t="str" ph="1">
        <f>IFERROR(INDEX([1]!_born[生没年],
MATCH(I1705,[1]!_born[作],0)),"")</f>
        <v/>
      </c>
      <c r="N1705" s="14" t="str" ph="1">
        <f>IFERROR(INDEX([1]!_born[生没年],
MATCH(K1705,[1]!_born[作],0)),"")</f>
        <v/>
      </c>
      <c r="O1705" s="13" t="s" ph="1">
        <v>7578</v>
      </c>
      <c r="S1705" s="13" t="s" ph="1">
        <v>7579</v>
      </c>
      <c r="T1705" s="13" t="s" ph="1">
        <v>7580</v>
      </c>
      <c r="V1705" s="17" ph="1">
        <v>480</v>
      </c>
      <c r="W1705" s="17" ph="1">
        <v>100</v>
      </c>
      <c r="X1705" s="13" t="s" ph="1">
        <v>5289</v>
      </c>
      <c r="Y1705" s="13" t="s" ph="1">
        <v>7581</v>
      </c>
    </row>
    <row r="1706" spans="1:25" ht="22.5" customHeight="1" ph="1" x14ac:dyDescent="0.35">
      <c r="C1706" s="13" t="s" ph="1">
        <v>5828</v>
      </c>
      <c r="G1706" s="13" t="s" ph="1">
        <v>4758</v>
      </c>
      <c r="H1706" s="13" t="s" ph="1">
        <v>1269</v>
      </c>
      <c r="I1706" s="13" t="s" ph="1">
        <v>546</v>
      </c>
      <c r="M1706" s="14" t="str" ph="1">
        <f>IFERROR(INDEX([1]!_born[生没年],
MATCH(I1706,[1]!_born[作],0)),"")</f>
        <v/>
      </c>
      <c r="N1706" s="14" t="str" ph="1">
        <f>IFERROR(INDEX([1]!_born[生没年],
MATCH(K1706,[1]!_born[作],0)),"")</f>
        <v/>
      </c>
      <c r="O1706" s="13" t="s" ph="1">
        <v>654</v>
      </c>
      <c r="R1706" s="16" t="s">
        <v>1369</v>
      </c>
      <c r="S1706" s="13" t="s" ph="1">
        <v>7582</v>
      </c>
      <c r="T1706" s="13" t="s" ph="1">
        <v>7580</v>
      </c>
      <c r="U1706" s="13" ph="1"/>
      <c r="V1706" s="17" ph="1">
        <v>90</v>
      </c>
      <c r="Y1706" s="13" t="s">
        <v>4762</v>
      </c>
    </row>
    <row r="1707" spans="1:25" ht="22.5" customHeight="1" ph="1" x14ac:dyDescent="0.35">
      <c r="C1707" s="13" t="s" ph="1">
        <v>5828</v>
      </c>
      <c r="G1707" s="13" t="s" ph="1">
        <v>5417</v>
      </c>
      <c r="H1707" s="13" t="s" ph="1">
        <v>1269</v>
      </c>
      <c r="I1707" s="13" t="s" ph="1">
        <v>7583</v>
      </c>
      <c r="K1707" s="13" t="s" ph="1">
        <v>7584</v>
      </c>
      <c r="L1707" s="13" t="s" ph="1">
        <v>3628</v>
      </c>
      <c r="M1707" s="14" t="str" ph="1">
        <f>IFERROR(INDEX([1]!_born[生没年],
MATCH(I1707,[1]!_born[作],0)),"")</f>
        <v/>
      </c>
      <c r="N1707" s="14" t="str" ph="1">
        <f>IFERROR(INDEX([1]!_born[生没年],
MATCH(K1707,[1]!_born[作],0)),"")</f>
        <v/>
      </c>
      <c r="O1707" s="13" t="s" ph="1">
        <v>1424</v>
      </c>
      <c r="R1707" s="16" t="s" ph="1">
        <v>1425</v>
      </c>
      <c r="S1707" s="13" t="s" ph="1">
        <v>7585</v>
      </c>
      <c r="T1707" s="13" t="s" ph="1">
        <v>6819</v>
      </c>
      <c r="U1707" s="13" ph="1"/>
      <c r="V1707" s="17" ph="1">
        <v>120</v>
      </c>
      <c r="X1707" s="13" t="s" ph="1">
        <v>7586</v>
      </c>
      <c r="Y1707" s="13" t="s">
        <v>4762</v>
      </c>
    </row>
    <row r="1708" spans="1:25" ht="22.5" customHeight="1" ph="1" x14ac:dyDescent="0.35">
      <c r="C1708" s="13" t="s" ph="1">
        <v>5828</v>
      </c>
      <c r="G1708" s="13" t="s" ph="1">
        <v>7587</v>
      </c>
      <c r="H1708" s="13" t="s" ph="1">
        <v>32</v>
      </c>
      <c r="I1708" s="13" t="s" ph="1">
        <v>567</v>
      </c>
      <c r="K1708" s="13" t="s" ph="1">
        <v>7588</v>
      </c>
      <c r="L1708" s="13" t="s" ph="1">
        <v>3628</v>
      </c>
      <c r="M1708" s="14" t="str" ph="1">
        <f>IFERROR(INDEX([1]!_born[生没年],
MATCH(I1708,[1]!_born[作],0)),"")</f>
        <v/>
      </c>
      <c r="N1708" s="14" t="str" ph="1">
        <f>IFERROR(INDEX([1]!_born[生没年],
MATCH(K1708,[1]!_born[作],0)),"")</f>
        <v/>
      </c>
      <c r="O1708" s="13" t="s" ph="1">
        <v>7589</v>
      </c>
      <c r="S1708" s="13" t="s" ph="1">
        <v>1426</v>
      </c>
      <c r="T1708" s="13" t="s" ph="1">
        <v>7590</v>
      </c>
      <c r="V1708" s="17" ph="1">
        <v>2472</v>
      </c>
    </row>
    <row r="1709" spans="1:25" s="7" customFormat="1" ht="22.5" customHeight="1" ph="1" x14ac:dyDescent="0.35">
      <c r="A1709" s="106" ph="1"/>
      <c r="B1709" s="5" ph="1"/>
      <c r="C1709" s="9" t="s" ph="1">
        <v>7591</v>
      </c>
      <c r="D1709" s="122" ph="1"/>
      <c r="E1709" s="122" ph="1"/>
      <c r="G1709" s="8" t="s" ph="1">
        <v>5417</v>
      </c>
      <c r="H1709" s="9" t="s" ph="1">
        <v>1219</v>
      </c>
      <c r="M1709" s="7" t="str" ph="1">
        <f>IFERROR(INDEX([1]!_born[生没年],
MATCH(I1709,[1]!_born[作],0)),"")</f>
        <v/>
      </c>
      <c r="N1709" s="7" t="str" ph="1">
        <f>IFERROR(INDEX([1]!_born[生没年],
MATCH(K1709,[1]!_born[作],0)),"")</f>
        <v/>
      </c>
      <c r="R1709" s="10" ph="1"/>
      <c r="U1709" s="10" ph="1"/>
      <c r="V1709" s="11" ph="1"/>
      <c r="W1709" s="11" ph="1"/>
    </row>
    <row r="1710" spans="1:25" ht="22.5" customHeight="1" ph="1" x14ac:dyDescent="0.35">
      <c r="C1710" s="13" t="s" ph="1">
        <v>7591</v>
      </c>
      <c r="G1710" s="13" t="s" ph="1">
        <v>5417</v>
      </c>
      <c r="H1710" s="13" t="s" ph="1">
        <v>1219</v>
      </c>
      <c r="I1710" s="13" t="s" ph="1">
        <v>7592</v>
      </c>
      <c r="M1710" s="14" t="str" ph="1">
        <f>IFERROR(INDEX([1]!_born[生没年],
MATCH(I1710,[1]!_born[作],0)),"")</f>
        <v/>
      </c>
      <c r="N1710" s="14" t="str" ph="1">
        <f>IFERROR(INDEX([1]!_born[生没年],
MATCH(K1710,[1]!_born[作],0)),"")</f>
        <v/>
      </c>
      <c r="O1710" s="13" t="s" ph="1">
        <v>7593</v>
      </c>
      <c r="S1710" s="13" t="s" ph="1">
        <v>236</v>
      </c>
      <c r="T1710" s="13" t="s" ph="1">
        <v>7594</v>
      </c>
      <c r="V1710" s="17" ph="1">
        <v>700</v>
      </c>
    </row>
    <row r="1711" spans="1:25" ht="22.5" customHeight="1" ph="1" x14ac:dyDescent="0.35">
      <c r="C1711" s="13" t="s" ph="1">
        <v>7591</v>
      </c>
      <c r="G1711" s="13" t="s" ph="1">
        <v>5417</v>
      </c>
      <c r="H1711" s="13" t="s" ph="1">
        <v>1219</v>
      </c>
      <c r="I1711" s="13" t="s" ph="1">
        <v>7592</v>
      </c>
      <c r="M1711" s="14" t="str" ph="1">
        <f>IFERROR(INDEX([1]!_born[生没年],
MATCH(I1711,[1]!_born[作],0)),"")</f>
        <v/>
      </c>
      <c r="N1711" s="14" t="str" ph="1">
        <f>IFERROR(INDEX([1]!_born[生没年],
MATCH(K1711,[1]!_born[作],0)),"")</f>
        <v/>
      </c>
      <c r="O1711" s="13" t="s" ph="1">
        <v>7595</v>
      </c>
      <c r="S1711" s="13" t="s" ph="1">
        <v>237</v>
      </c>
      <c r="T1711" s="13" t="s" ph="1">
        <v>7594</v>
      </c>
      <c r="V1711" s="17" ph="1">
        <v>700</v>
      </c>
    </row>
    <row r="1712" spans="1:25" ht="22.5" customHeight="1" ph="1" x14ac:dyDescent="0.35">
      <c r="C1712" s="13" t="s" ph="1">
        <v>7591</v>
      </c>
      <c r="G1712" s="13" t="s" ph="1">
        <v>5417</v>
      </c>
      <c r="H1712" s="13" t="s" ph="1">
        <v>1219</v>
      </c>
      <c r="K1712" s="13" t="s" ph="1">
        <v>7596</v>
      </c>
      <c r="L1712" s="13" t="s" ph="1">
        <v>7597</v>
      </c>
      <c r="M1712" s="14" t="str" ph="1">
        <f>IFERROR(INDEX([1]!_born[生没年],
MATCH(I1712,[1]!_born[作],0)),"")</f>
        <v/>
      </c>
      <c r="N1712" s="14" t="str" ph="1">
        <f>IFERROR(INDEX([1]!_born[生没年],
MATCH(K1712,[1]!_born[作],0)),"")</f>
        <v/>
      </c>
      <c r="O1712" s="13" t="s" ph="1">
        <v>7598</v>
      </c>
      <c r="T1712" s="13" t="s" ph="1">
        <v>7599</v>
      </c>
      <c r="V1712" s="17" ph="1">
        <v>520</v>
      </c>
    </row>
    <row r="1713" spans="1:25" ht="22.5" customHeight="1" ph="1" x14ac:dyDescent="0.35">
      <c r="C1713" s="13" t="s" ph="1">
        <v>7591</v>
      </c>
      <c r="G1713" s="13" t="s" ph="1">
        <v>5417</v>
      </c>
      <c r="H1713" s="13" t="s" ph="1">
        <v>1219</v>
      </c>
      <c r="I1713" s="13" t="s" ph="1">
        <v>7600</v>
      </c>
      <c r="M1713" s="14" t="str" ph="1">
        <f>IFERROR(INDEX([1]!_born[生没年],
MATCH(I1713,[1]!_born[作],0)),"")</f>
        <v/>
      </c>
      <c r="N1713" s="14" t="str" ph="1">
        <f>IFERROR(INDEX([1]!_born[生没年],
MATCH(K1713,[1]!_born[作],0)),"")</f>
        <v/>
      </c>
      <c r="O1713" s="13" t="s" ph="1">
        <v>7601</v>
      </c>
      <c r="S1713" s="13" t="s" ph="1">
        <v>7602</v>
      </c>
      <c r="T1713" s="13" t="s" ph="1">
        <v>4376</v>
      </c>
      <c r="V1713" s="17" ph="1">
        <v>390</v>
      </c>
      <c r="W1713" s="17"/>
      <c r="X1713" s="5" t="s" ph="1">
        <v>7603</v>
      </c>
      <c r="Y1713" s="5" ph="1"/>
    </row>
    <row r="1714" spans="1:25" ht="22.5" customHeight="1" ph="1" x14ac:dyDescent="0.35">
      <c r="C1714" s="13" t="s" ph="1">
        <v>7591</v>
      </c>
      <c r="G1714" s="13" t="s" ph="1">
        <v>5417</v>
      </c>
      <c r="H1714" s="13" t="s" ph="1">
        <v>1219</v>
      </c>
      <c r="I1714" s="13" t="s" ph="1">
        <v>7604</v>
      </c>
      <c r="M1714" s="14" t="str" ph="1">
        <f>IFERROR(INDEX([1]!_born[生没年],
MATCH(I1714,[1]!_born[作],0)),"")</f>
        <v/>
      </c>
      <c r="N1714" s="14" t="str" ph="1">
        <f>IFERROR(INDEX([1]!_born[生没年],
MATCH(K1714,[1]!_born[作],0)),"")</f>
        <v/>
      </c>
      <c r="O1714" s="13" t="s" ph="1">
        <v>7605</v>
      </c>
      <c r="T1714" s="13" t="s" ph="1">
        <v>5147</v>
      </c>
      <c r="V1714" s="17" ph="1">
        <v>220</v>
      </c>
    </row>
    <row r="1715" spans="1:25" ht="22.5" customHeight="1" ph="1" x14ac:dyDescent="0.35">
      <c r="C1715" s="13" t="s" ph="1">
        <v>7591</v>
      </c>
      <c r="G1715" s="13" t="s" ph="1">
        <v>5417</v>
      </c>
      <c r="H1715" s="13" t="s" ph="1">
        <v>1219</v>
      </c>
      <c r="I1715" s="13" t="s" ph="1">
        <v>7606</v>
      </c>
      <c r="K1715" s="13" t="s" ph="1">
        <v>7607</v>
      </c>
      <c r="L1715" s="13" t="s" ph="1">
        <v>3616</v>
      </c>
      <c r="M1715" s="14" t="str" ph="1">
        <f>IFERROR(INDEX([1]!_born[生没年],
MATCH(I1715,[1]!_born[作],0)),"")</f>
        <v/>
      </c>
      <c r="N1715" s="14" t="str" ph="1">
        <f>IFERROR(INDEX([1]!_born[生没年],
MATCH(K1715,[1]!_born[作],0)),"")</f>
        <v/>
      </c>
      <c r="O1715" s="13" t="s" ph="1">
        <v>7608</v>
      </c>
      <c r="T1715" s="13" t="s" ph="1">
        <v>7599</v>
      </c>
      <c r="V1715" s="17" ph="1">
        <v>570</v>
      </c>
    </row>
    <row r="1716" spans="1:25" ht="22.5" customHeight="1" ph="1" x14ac:dyDescent="0.35">
      <c r="C1716" s="13" t="s" ph="1">
        <v>7591</v>
      </c>
      <c r="G1716" s="13" t="s" ph="1">
        <v>5417</v>
      </c>
      <c r="H1716" s="13" t="s" ph="1">
        <v>1219</v>
      </c>
      <c r="I1716" s="13" t="s" ph="1">
        <v>7606</v>
      </c>
      <c r="M1716" s="14" t="str" ph="1">
        <f>IFERROR(INDEX([1]!_born[生没年],
MATCH(I1716,[1]!_born[作],0)),"")</f>
        <v/>
      </c>
      <c r="N1716" s="14" t="str" ph="1">
        <f>IFERROR(INDEX([1]!_born[生没年],
MATCH(K1716,[1]!_born[作],0)),"")</f>
        <v/>
      </c>
      <c r="O1716" s="13" t="s" ph="1">
        <v>7609</v>
      </c>
      <c r="T1716" s="13" t="s" ph="1">
        <v>7599</v>
      </c>
      <c r="V1716" s="17" ph="1">
        <f>460*1.05</f>
        <v>483</v>
      </c>
    </row>
    <row r="1717" spans="1:25" ht="22.5" customHeight="1" ph="1" x14ac:dyDescent="0.35">
      <c r="C1717" s="13" t="s" ph="1">
        <v>7591</v>
      </c>
      <c r="G1717" s="13" t="s" ph="1">
        <v>5417</v>
      </c>
      <c r="H1717" s="13" t="s" ph="1">
        <v>1219</v>
      </c>
      <c r="I1717" s="13" t="s" ph="1">
        <v>7606</v>
      </c>
      <c r="M1717" s="14" t="str" ph="1">
        <f>IFERROR(INDEX([1]!_born[生没年],
MATCH(I1717,[1]!_born[作],0)),"")</f>
        <v/>
      </c>
      <c r="N1717" s="14" t="str" ph="1">
        <f>IFERROR(INDEX([1]!_born[生没年],
MATCH(K1717,[1]!_born[作],0)),"")</f>
        <v/>
      </c>
      <c r="O1717" s="13" t="s" ph="1">
        <v>7610</v>
      </c>
      <c r="T1717" s="13" t="s" ph="1">
        <v>7611</v>
      </c>
      <c r="V1717" s="17" ph="1">
        <v>220</v>
      </c>
    </row>
    <row r="1718" spans="1:25" ht="22.5" customHeight="1" ph="1" x14ac:dyDescent="0.35">
      <c r="C1718" s="13" t="s" ph="1">
        <v>7591</v>
      </c>
      <c r="G1718" s="13" t="s" ph="1">
        <v>5417</v>
      </c>
      <c r="H1718" s="13" t="s" ph="1">
        <v>1219</v>
      </c>
      <c r="I1718" s="13" t="s" ph="1">
        <v>7612</v>
      </c>
      <c r="M1718" s="14" t="str" ph="1">
        <f>IFERROR(INDEX([1]!_born[生没年],
MATCH(I1718,[1]!_born[作],0)),"")</f>
        <v/>
      </c>
      <c r="N1718" s="14" t="str" ph="1">
        <f>IFERROR(INDEX([1]!_born[生没年],
MATCH(K1718,[1]!_born[作],0)),"")</f>
        <v/>
      </c>
      <c r="O1718" s="13" t="s" ph="1">
        <v>7613</v>
      </c>
      <c r="T1718" s="13" t="s" ph="1">
        <v>7614</v>
      </c>
      <c r="V1718" s="17" ph="1">
        <v>280</v>
      </c>
    </row>
    <row r="1719" spans="1:25" ht="22.5" customHeight="1" ph="1" x14ac:dyDescent="0.35">
      <c r="C1719" s="13" t="s" ph="1">
        <v>7591</v>
      </c>
      <c r="G1719" s="13" t="s" ph="1">
        <v>5417</v>
      </c>
      <c r="H1719" s="13" t="s" ph="1">
        <v>1219</v>
      </c>
      <c r="I1719" s="13" t="s" ph="1">
        <v>7615</v>
      </c>
      <c r="M1719" s="14" t="str" ph="1">
        <f>IFERROR(INDEX([1]!_born[生没年],
MATCH(I1719,[1]!_born[作],0)),"")</f>
        <v/>
      </c>
      <c r="N1719" s="14" t="str" ph="1">
        <f>IFERROR(INDEX([1]!_born[生没年],
MATCH(K1719,[1]!_born[作],0)),"")</f>
        <v/>
      </c>
      <c r="O1719" s="13" t="s" ph="1">
        <v>7616</v>
      </c>
      <c r="T1719" s="13" t="s" ph="1">
        <v>5147</v>
      </c>
      <c r="V1719" s="17" ph="1">
        <v>400</v>
      </c>
    </row>
    <row r="1720" spans="1:25" ht="22.5" customHeight="1" ph="1" x14ac:dyDescent="0.35">
      <c r="C1720" s="13" t="s" ph="1">
        <v>7591</v>
      </c>
      <c r="G1720" s="13" t="s" ph="1">
        <v>5417</v>
      </c>
      <c r="H1720" s="13" t="s" ph="1">
        <v>1219</v>
      </c>
      <c r="I1720" s="13" t="s" ph="1">
        <v>7617</v>
      </c>
      <c r="M1720" s="14" t="str" ph="1">
        <f>IFERROR(INDEX([1]!_born[生没年],
MATCH(I1720,[1]!_born[作],0)),"")</f>
        <v/>
      </c>
      <c r="N1720" s="14" t="str" ph="1">
        <f>IFERROR(INDEX([1]!_born[生没年],
MATCH(K1720,[1]!_born[作],0)),"")</f>
        <v/>
      </c>
      <c r="O1720" s="13" t="s" ph="1">
        <v>7618</v>
      </c>
      <c r="T1720" s="13" t="s" ph="1">
        <v>5147</v>
      </c>
      <c r="V1720" s="17" ph="1">
        <v>220</v>
      </c>
    </row>
    <row r="1721" spans="1:25" ht="22.5" customHeight="1" ph="1" x14ac:dyDescent="0.35">
      <c r="C1721" s="13" t="s" ph="1">
        <v>7591</v>
      </c>
      <c r="G1721" s="13" t="s" ph="1">
        <v>5417</v>
      </c>
      <c r="H1721" s="13" t="s" ph="1">
        <v>61</v>
      </c>
      <c r="I1721" s="13" t="s" ph="1">
        <v>7619</v>
      </c>
      <c r="M1721" s="14" t="str" ph="1">
        <f>IFERROR(INDEX([1]!_born[生没年],
MATCH(I1721,[1]!_born[作],0)),"")</f>
        <v/>
      </c>
      <c r="N1721" s="14" t="str" ph="1">
        <f>IFERROR(INDEX([1]!_born[生没年],
MATCH(K1721,[1]!_born[作],0)),"")</f>
        <v/>
      </c>
      <c r="O1721" s="13" t="s" ph="1">
        <v>7620</v>
      </c>
      <c r="S1721" s="13" t="s" ph="1">
        <v>7621</v>
      </c>
      <c r="T1721" s="13" t="s" ph="1">
        <v>7622</v>
      </c>
      <c r="U1721" s="16" t="s" ph="1">
        <v>2742</v>
      </c>
      <c r="V1721" s="17" ph="1">
        <v>600</v>
      </c>
      <c r="W1721" s="17" ph="1">
        <v>0</v>
      </c>
      <c r="X1721" s="13" t="s" ph="1">
        <v>7623</v>
      </c>
      <c r="Y1721" s="13" t="s" ph="1">
        <v>7624</v>
      </c>
    </row>
    <row r="1722" spans="1:25" ht="22.5" customHeight="1" ph="1" x14ac:dyDescent="0.35">
      <c r="C1722" s="13" t="s" ph="1">
        <v>7591</v>
      </c>
      <c r="G1722" s="13" t="s" ph="1">
        <v>5417</v>
      </c>
      <c r="H1722" s="13" t="s" ph="1">
        <v>1219</v>
      </c>
      <c r="I1722" s="13" t="s" ph="1">
        <v>7625</v>
      </c>
      <c r="J1722" s="13" t="s" ph="1">
        <v>3616</v>
      </c>
      <c r="M1722" s="14" t="str" ph="1">
        <f>IFERROR(INDEX([1]!_born[生没年],
MATCH(I1722,[1]!_born[作],0)),"")</f>
        <v/>
      </c>
      <c r="N1722" s="14" t="str" ph="1">
        <f>IFERROR(INDEX([1]!_born[生没年],
MATCH(K1722,[1]!_born[作],0)),"")</f>
        <v/>
      </c>
      <c r="O1722" s="13" t="s" ph="1">
        <v>7626</v>
      </c>
      <c r="T1722" s="13" t="s" ph="1">
        <v>7625</v>
      </c>
      <c r="V1722" s="17" ph="1">
        <v>600</v>
      </c>
      <c r="W1722" s="17" ph="1">
        <v>0</v>
      </c>
      <c r="Y1722" s="13" t="s" ph="1">
        <v>7627</v>
      </c>
    </row>
    <row r="1723" spans="1:25" ht="22.5" customHeight="1" ph="1" x14ac:dyDescent="0.35">
      <c r="C1723" s="13" t="s" ph="1">
        <v>7591</v>
      </c>
      <c r="G1723" s="13" t="s" ph="1">
        <v>5417</v>
      </c>
      <c r="H1723" s="13" t="s" ph="1">
        <v>1219</v>
      </c>
      <c r="M1723" s="14" t="str" ph="1">
        <f>IFERROR(INDEX([1]!_born[生没年],
MATCH(I1723,[1]!_born[作],0)),"")</f>
        <v/>
      </c>
      <c r="N1723" s="14" t="str" ph="1">
        <f>IFERROR(INDEX([1]!_born[生没年],
MATCH(K1723,[1]!_born[作],0)),"")</f>
        <v/>
      </c>
      <c r="O1723" s="13" t="s" ph="1">
        <v>7628</v>
      </c>
      <c r="V1723" s="17" ph="1">
        <v>500</v>
      </c>
      <c r="W1723" s="17" ph="1">
        <v>0</v>
      </c>
      <c r="Y1723" s="13" t="s" ph="1">
        <v>7624</v>
      </c>
    </row>
    <row r="1724" spans="1:25" ht="22.5" customHeight="1" ph="1" x14ac:dyDescent="0.35">
      <c r="C1724" s="13" t="s" ph="1">
        <v>7591</v>
      </c>
      <c r="G1724" s="13" t="s" ph="1">
        <v>5417</v>
      </c>
      <c r="H1724" s="13" t="s" ph="1">
        <v>1219</v>
      </c>
      <c r="M1724" s="14" t="str" ph="1">
        <f>IFERROR(INDEX([1]!_born[生没年],
MATCH(I1724,[1]!_born[作],0)),"")</f>
        <v/>
      </c>
      <c r="N1724" s="14" t="str" ph="1">
        <f>IFERROR(INDEX([1]!_born[生没年],
MATCH(K1724,[1]!_born[作],0)),"")</f>
        <v/>
      </c>
      <c r="O1724" s="13" t="s" ph="1">
        <v>7629</v>
      </c>
      <c r="S1724" s="13" t="s" ph="1">
        <v>7630</v>
      </c>
      <c r="T1724" s="13" t="s" ph="1">
        <v>7631</v>
      </c>
      <c r="V1724" s="17" ph="1">
        <v>600</v>
      </c>
      <c r="W1724" s="17" ph="1">
        <f>300*1.05</f>
        <v>315</v>
      </c>
      <c r="X1724" s="13" t="s" ph="1">
        <v>3718</v>
      </c>
      <c r="Y1724" s="13" t="s" ph="1">
        <v>7624</v>
      </c>
    </row>
    <row r="1725" spans="1:25" ht="22.5" customHeight="1" ph="1" x14ac:dyDescent="0.35">
      <c r="C1725" s="13" t="s" ph="1">
        <v>7591</v>
      </c>
      <c r="G1725" s="13" t="s" ph="1">
        <v>5417</v>
      </c>
      <c r="H1725" s="13" t="s" ph="1">
        <v>1219</v>
      </c>
      <c r="M1725" s="14" t="str" ph="1">
        <f>IFERROR(INDEX([1]!_born[生没年],
MATCH(I1725,[1]!_born[作],0)),"")</f>
        <v/>
      </c>
      <c r="N1725" s="14" t="str" ph="1">
        <f>IFERROR(INDEX([1]!_born[生没年],
MATCH(K1725,[1]!_born[作],0)),"")</f>
        <v/>
      </c>
      <c r="O1725" s="13" t="s" ph="1">
        <v>7632</v>
      </c>
      <c r="S1725" s="13" t="s" ph="1">
        <v>7630</v>
      </c>
      <c r="T1725" s="13" t="s" ph="1">
        <v>7631</v>
      </c>
      <c r="V1725" s="17" ph="1">
        <v>600</v>
      </c>
      <c r="W1725" s="17" ph="1">
        <f>300*1.05</f>
        <v>315</v>
      </c>
      <c r="X1725" s="13" t="s" ph="1">
        <v>3718</v>
      </c>
      <c r="Y1725" s="13" t="s" ph="1">
        <v>7624</v>
      </c>
    </row>
    <row r="1726" spans="1:25" s="7" customFormat="1" ht="22.5" customHeight="1" ph="1" x14ac:dyDescent="0.35">
      <c r="A1726" s="106" ph="1"/>
      <c r="B1726" s="5" ph="1"/>
      <c r="C1726" s="9" t="s" ph="1">
        <v>7591</v>
      </c>
      <c r="D1726" s="122" ph="1"/>
      <c r="E1726" s="122" ph="1"/>
      <c r="G1726" s="8" t="s" ph="1">
        <v>5417</v>
      </c>
      <c r="H1726" s="9" t="s" ph="1">
        <v>1269</v>
      </c>
      <c r="M1726" s="7" t="str" ph="1">
        <f>IFERROR(INDEX([1]!_born[生没年],
MATCH(I1726,[1]!_born[作],0)),"")</f>
        <v/>
      </c>
      <c r="N1726" s="7" t="str" ph="1">
        <f>IFERROR(INDEX([1]!_born[生没年],
MATCH(K1726,[1]!_born[作],0)),"")</f>
        <v/>
      </c>
      <c r="R1726" s="10" ph="1"/>
      <c r="U1726" s="10" ph="1"/>
      <c r="V1726" s="11" ph="1"/>
      <c r="W1726" s="11" ph="1"/>
    </row>
    <row r="1727" spans="1:25" ht="22.5" customHeight="1" ph="1" x14ac:dyDescent="0.35">
      <c r="C1727" s="13" t="s" ph="1">
        <v>7591</v>
      </c>
      <c r="G1727" s="13" t="s" ph="1">
        <v>5700</v>
      </c>
      <c r="H1727" s="13" t="s" ph="1">
        <v>1269</v>
      </c>
      <c r="K1727" s="13" t="s" ph="1">
        <v>7633</v>
      </c>
      <c r="L1727" s="13" t="s" ph="1">
        <v>3628</v>
      </c>
      <c r="M1727" s="14" t="str" ph="1">
        <f>IFERROR(INDEX([1]!_born[生没年],
MATCH(I1727,[1]!_born[作],0)),"")</f>
        <v/>
      </c>
      <c r="N1727" s="14" t="str" ph="1">
        <f>IFERROR(INDEX([1]!_born[生没年],
MATCH(K1727,[1]!_born[作],0)),"")</f>
        <v/>
      </c>
      <c r="O1727" s="13" t="s" ph="1">
        <v>7634</v>
      </c>
      <c r="T1727" s="13" t="s" ph="1">
        <v>7635</v>
      </c>
      <c r="V1727" s="17" ph="1">
        <f>900*1.05</f>
        <v>945</v>
      </c>
    </row>
    <row r="1728" spans="1:25" ht="22.5" customHeight="1" ph="1" x14ac:dyDescent="0.35">
      <c r="C1728" s="13" t="s" ph="1">
        <v>7591</v>
      </c>
      <c r="D1728" s="123" ph="1">
        <v>1</v>
      </c>
      <c r="E1728" s="123" ph="1">
        <v>2</v>
      </c>
      <c r="G1728" s="13" t="s" ph="1">
        <v>5417</v>
      </c>
      <c r="H1728" s="13" t="s" ph="1">
        <v>1269</v>
      </c>
      <c r="I1728" s="13" t="s" ph="1">
        <v>7636</v>
      </c>
      <c r="M1728" s="14" t="str" ph="1">
        <f>IFERROR(INDEX([1]!_born[生没年],
MATCH(I1728,[1]!_born[作],0)),"")</f>
        <v/>
      </c>
      <c r="N1728" s="14" t="str" ph="1">
        <f>IFERROR(INDEX([1]!_born[生没年],
MATCH(K1728,[1]!_born[作],0)),"")</f>
        <v/>
      </c>
      <c r="O1728" s="13" t="s" ph="1">
        <v>7637</v>
      </c>
      <c r="S1728" s="13" t="s" ph="1">
        <v>4103</v>
      </c>
      <c r="T1728" s="13" t="s" ph="1">
        <v>5147</v>
      </c>
      <c r="V1728" s="17" ph="1">
        <v>360</v>
      </c>
    </row>
    <row r="1729" spans="1:25" ht="22.5" customHeight="1" ph="1" x14ac:dyDescent="0.35">
      <c r="C1729" s="13" t="s" ph="1">
        <v>7591</v>
      </c>
      <c r="D1729" s="123" ph="1">
        <v>2</v>
      </c>
      <c r="E1729" s="123" ph="1">
        <v>2</v>
      </c>
      <c r="G1729" s="13" t="s" ph="1">
        <v>5417</v>
      </c>
      <c r="H1729" s="13" t="s" ph="1">
        <v>1269</v>
      </c>
      <c r="I1729" s="13" t="s" ph="1">
        <v>7636</v>
      </c>
      <c r="M1729" s="14" t="str" ph="1">
        <f>IFERROR(INDEX([1]!_born[生没年],
MATCH(I1729,[1]!_born[作],0)),"")</f>
        <v/>
      </c>
      <c r="N1729" s="14" t="str" ph="1">
        <f>IFERROR(INDEX([1]!_born[生没年],
MATCH(K1729,[1]!_born[作],0)),"")</f>
        <v/>
      </c>
      <c r="O1729" s="13" t="s" ph="1">
        <v>7637</v>
      </c>
      <c r="S1729" s="13" t="s" ph="1">
        <v>4103</v>
      </c>
      <c r="T1729" s="13" t="s" ph="1">
        <v>5147</v>
      </c>
      <c r="V1729" s="17" ph="1">
        <v>360</v>
      </c>
    </row>
    <row r="1730" spans="1:25" ht="22.5" customHeight="1" ph="1" x14ac:dyDescent="0.35">
      <c r="C1730" s="13" t="s" ph="1">
        <v>7591</v>
      </c>
      <c r="G1730" s="13" t="s" ph="1">
        <v>5417</v>
      </c>
      <c r="H1730" s="13" t="s" ph="1">
        <v>1269</v>
      </c>
      <c r="I1730" s="13" t="s" ph="1">
        <v>569</v>
      </c>
      <c r="K1730" s="13" t="s" ph="1">
        <v>7638</v>
      </c>
      <c r="L1730" s="13" t="s" ph="1">
        <v>3628</v>
      </c>
      <c r="M1730" s="14" t="str" ph="1">
        <f>IFERROR(INDEX([1]!_born[生没年],
MATCH(I1730,[1]!_born[作],0)),"")</f>
        <v/>
      </c>
      <c r="N1730" s="14" t="str" ph="1">
        <f>IFERROR(INDEX([1]!_born[生没年],
MATCH(K1730,[1]!_born[作],0)),"")</f>
        <v/>
      </c>
      <c r="O1730" s="13" t="s" ph="1">
        <v>7639</v>
      </c>
      <c r="T1730" s="13" t="s" ph="1">
        <v>7375</v>
      </c>
      <c r="V1730" s="17" ph="1">
        <v>440</v>
      </c>
    </row>
    <row r="1731" spans="1:25" ht="22.5" customHeight="1" ph="1" x14ac:dyDescent="0.35">
      <c r="C1731" s="13" t="s" ph="1">
        <v>7591</v>
      </c>
      <c r="G1731" s="13" t="s" ph="1">
        <v>5417</v>
      </c>
      <c r="H1731" s="13" t="s" ph="1">
        <v>1269</v>
      </c>
      <c r="I1731" s="13" t="s" ph="1">
        <v>7583</v>
      </c>
      <c r="K1731" s="13" t="s" ph="1">
        <v>7640</v>
      </c>
      <c r="L1731" s="13" t="s" ph="1">
        <v>3628</v>
      </c>
      <c r="M1731" s="14" t="str" ph="1">
        <f>IFERROR(INDEX([1]!_born[生没年],
MATCH(I1731,[1]!_born[作],0)),"")</f>
        <v/>
      </c>
      <c r="N1731" s="14" t="str" ph="1">
        <f>IFERROR(INDEX([1]!_born[生没年],
MATCH(K1731,[1]!_born[作],0)),"")</f>
        <v/>
      </c>
      <c r="O1731" s="13" t="s" ph="1">
        <v>7641</v>
      </c>
      <c r="S1731" s="13" t="s" ph="1">
        <v>7642</v>
      </c>
      <c r="T1731" s="13" t="s" ph="1">
        <v>5147</v>
      </c>
      <c r="V1731" s="17" ph="1">
        <v>220</v>
      </c>
    </row>
    <row r="1732" spans="1:25" ht="22.5" customHeight="1" ph="1" x14ac:dyDescent="0.35">
      <c r="C1732" s="13" t="s" ph="1">
        <v>7591</v>
      </c>
      <c r="G1732" s="13" t="s" ph="1">
        <v>5417</v>
      </c>
      <c r="H1732" s="13" t="s" ph="1">
        <v>1269</v>
      </c>
      <c r="I1732" s="13" t="s" ph="1">
        <v>7583</v>
      </c>
      <c r="K1732" s="13" t="s" ph="1">
        <v>7640</v>
      </c>
      <c r="L1732" s="13" t="s" ph="1">
        <v>3628</v>
      </c>
      <c r="M1732" s="14" t="str" ph="1">
        <f>IFERROR(INDEX([1]!_born[生没年],
MATCH(I1732,[1]!_born[作],0)),"")</f>
        <v/>
      </c>
      <c r="N1732" s="14" t="str" ph="1">
        <f>IFERROR(INDEX([1]!_born[生没年],
MATCH(K1732,[1]!_born[作],0)),"")</f>
        <v/>
      </c>
      <c r="O1732" s="13" t="s" ph="1">
        <v>7643</v>
      </c>
      <c r="S1732" s="13" t="s" ph="1">
        <v>7644</v>
      </c>
      <c r="T1732" s="13" t="s" ph="1">
        <v>5147</v>
      </c>
      <c r="V1732" s="17" ph="1">
        <v>220</v>
      </c>
    </row>
    <row r="1733" spans="1:25" ht="22.5" customHeight="1" ph="1" x14ac:dyDescent="0.35">
      <c r="C1733" s="13" t="s" ph="1">
        <v>7591</v>
      </c>
      <c r="G1733" s="13" t="s" ph="1">
        <v>5417</v>
      </c>
      <c r="H1733" s="13" t="s" ph="1">
        <v>1269</v>
      </c>
      <c r="I1733" s="13" t="s" ph="1">
        <v>7583</v>
      </c>
      <c r="K1733" s="13" t="s" ph="1">
        <v>7640</v>
      </c>
      <c r="L1733" s="13" t="s" ph="1">
        <v>3628</v>
      </c>
      <c r="M1733" s="14" t="str" ph="1">
        <f>IFERROR(INDEX([1]!_born[生没年],
MATCH(I1733,[1]!_born[作],0)),"")</f>
        <v/>
      </c>
      <c r="N1733" s="14" t="str" ph="1">
        <f>IFERROR(INDEX([1]!_born[生没年],
MATCH(K1733,[1]!_born[作],0)),"")</f>
        <v/>
      </c>
      <c r="O1733" s="13" t="s" ph="1">
        <v>7645</v>
      </c>
      <c r="S1733" s="13" t="s" ph="1">
        <v>7646</v>
      </c>
      <c r="T1733" s="13" t="s" ph="1">
        <v>5147</v>
      </c>
      <c r="V1733" s="17" ph="1">
        <v>240</v>
      </c>
    </row>
    <row r="1734" spans="1:25" ht="22.5" customHeight="1" ph="1" x14ac:dyDescent="0.35">
      <c r="A1734" s="106" t="s" ph="1">
        <v>1427</v>
      </c>
      <c r="B1734" s="5" t="s" ph="1">
        <v>1428</v>
      </c>
      <c r="C1734" s="13" t="s" ph="1">
        <v>7591</v>
      </c>
      <c r="G1734" s="13" t="s" ph="1">
        <v>5417</v>
      </c>
      <c r="H1734" s="13" t="s" ph="1">
        <v>1269</v>
      </c>
      <c r="I1734" s="13" t="s" ph="1">
        <v>528</v>
      </c>
      <c r="K1734" s="13" t="s" ph="1">
        <v>7647</v>
      </c>
      <c r="L1734" s="13" t="s" ph="1">
        <v>3628</v>
      </c>
      <c r="M1734" s="14" t="str" ph="1">
        <f>IFERROR(INDEX([1]!_born[生没年],
MATCH(I1734,[1]!_born[作],0)),"")</f>
        <v/>
      </c>
      <c r="N1734" s="14" t="str" ph="1">
        <f>IFERROR(INDEX([1]!_born[生没年],
MATCH(K1734,[1]!_born[作],0)),"")</f>
        <v/>
      </c>
      <c r="O1734" s="13" t="s" ph="1">
        <v>7648</v>
      </c>
      <c r="R1734" s="16" t="s" ph="1">
        <v>1429</v>
      </c>
      <c r="T1734" s="13" t="s" ph="1">
        <v>7649</v>
      </c>
      <c r="U1734" s="16" t="s" ph="1">
        <v>1430</v>
      </c>
      <c r="V1734" s="17" ph="1">
        <f>621*1.03</f>
        <v>639.63</v>
      </c>
      <c r="X1734" s="13" t="s" ph="1">
        <v>3635</v>
      </c>
    </row>
    <row r="1735" spans="1:25" ht="22.5" customHeight="1" ph="1" x14ac:dyDescent="0.35">
      <c r="C1735" s="13" t="s" ph="1">
        <v>7591</v>
      </c>
      <c r="G1735" s="13" t="s" ph="1">
        <v>5417</v>
      </c>
      <c r="H1735" s="13" t="s" ph="1">
        <v>1269</v>
      </c>
      <c r="I1735" s="13" t="s" ph="1">
        <v>570</v>
      </c>
      <c r="K1735" s="13" t="s" ph="1">
        <v>7650</v>
      </c>
      <c r="L1735" s="13" t="s" ph="1">
        <v>3628</v>
      </c>
      <c r="M1735" s="14" t="str" ph="1">
        <f>IFERROR(INDEX([1]!_born[生没年],
MATCH(I1735,[1]!_born[作],0)),"")</f>
        <v/>
      </c>
      <c r="N1735" s="14" t="str" ph="1">
        <f>IFERROR(INDEX([1]!_born[生没年],
MATCH(K1735,[1]!_born[作],0)),"")</f>
        <v/>
      </c>
      <c r="O1735" s="13" t="s" ph="1">
        <v>7651</v>
      </c>
      <c r="S1735" s="13" t="s" ph="1">
        <v>267</v>
      </c>
      <c r="T1735" s="13" t="s" ph="1">
        <v>7652</v>
      </c>
      <c r="V1735" s="17" ph="1">
        <v>420</v>
      </c>
    </row>
    <row r="1736" spans="1:25" ht="22.5" customHeight="1" ph="1" x14ac:dyDescent="0.35">
      <c r="C1736" s="13" t="s" ph="1">
        <v>7591</v>
      </c>
      <c r="D1736" s="123" ph="1">
        <v>1</v>
      </c>
      <c r="E1736" s="123" ph="1">
        <v>2</v>
      </c>
      <c r="G1736" s="13" t="s" ph="1">
        <v>5417</v>
      </c>
      <c r="H1736" s="13" t="s" ph="1">
        <v>1269</v>
      </c>
      <c r="I1736" s="13" t="s" ph="1">
        <v>435</v>
      </c>
      <c r="K1736" s="13" t="s" ph="1">
        <v>7653</v>
      </c>
      <c r="L1736" s="13" t="s" ph="1">
        <v>3628</v>
      </c>
      <c r="M1736" s="14" t="str" ph="1">
        <f>IFERROR(INDEX([1]!_born[生没年],
MATCH(I1736,[1]!_born[作],0)),"")</f>
        <v/>
      </c>
      <c r="N1736" s="14" t="str" ph="1">
        <f>IFERROR(INDEX([1]!_born[生没年],
MATCH(K1736,[1]!_born[作],0)),"")</f>
        <v/>
      </c>
      <c r="O1736" s="13" t="s" ph="1">
        <v>7654</v>
      </c>
      <c r="T1736" s="13" t="s" ph="1">
        <v>7655</v>
      </c>
      <c r="V1736" s="17" ph="1">
        <v>660</v>
      </c>
      <c r="Y1736" s="13" t="s" ph="1">
        <v>7656</v>
      </c>
    </row>
    <row r="1737" spans="1:25" ht="22.5" customHeight="1" ph="1" x14ac:dyDescent="0.35">
      <c r="C1737" s="13" t="s" ph="1">
        <v>7591</v>
      </c>
      <c r="D1737" s="123" ph="1">
        <v>2</v>
      </c>
      <c r="E1737" s="123" ph="1">
        <v>2</v>
      </c>
      <c r="G1737" s="13" t="s" ph="1">
        <v>5417</v>
      </c>
      <c r="H1737" s="13" t="s" ph="1">
        <v>1269</v>
      </c>
      <c r="I1737" s="13" t="s" ph="1">
        <v>435</v>
      </c>
      <c r="K1737" s="13" t="s" ph="1">
        <v>7653</v>
      </c>
      <c r="L1737" s="13" t="s" ph="1">
        <v>3628</v>
      </c>
      <c r="M1737" s="14" t="str" ph="1">
        <f>IFERROR(INDEX([1]!_born[生没年],
MATCH(I1737,[1]!_born[作],0)),"")</f>
        <v/>
      </c>
      <c r="N1737" s="14" t="str" ph="1">
        <f>IFERROR(INDEX([1]!_born[生没年],
MATCH(K1737,[1]!_born[作],0)),"")</f>
        <v/>
      </c>
      <c r="O1737" s="13" t="s" ph="1">
        <v>7654</v>
      </c>
      <c r="T1737" s="13" t="s" ph="1">
        <v>7655</v>
      </c>
      <c r="V1737" s="17" ph="1">
        <v>660</v>
      </c>
      <c r="Y1737" s="13" t="s" ph="1">
        <v>7656</v>
      </c>
    </row>
    <row r="1738" spans="1:25" ht="22.5" customHeight="1" ph="1" x14ac:dyDescent="0.35">
      <c r="C1738" s="13" t="s" ph="1">
        <v>7591</v>
      </c>
      <c r="D1738" s="123" ph="1">
        <v>1</v>
      </c>
      <c r="E1738" s="123" ph="1">
        <v>4</v>
      </c>
      <c r="G1738" s="13" t="s" ph="1">
        <v>5700</v>
      </c>
      <c r="H1738" s="13" t="s" ph="1">
        <v>1269</v>
      </c>
      <c r="I1738" s="13" t="s" ph="1">
        <v>7657</v>
      </c>
      <c r="K1738" s="13" t="s" ph="1">
        <v>7658</v>
      </c>
      <c r="L1738" s="13" t="s" ph="1">
        <v>3628</v>
      </c>
      <c r="M1738" s="14" t="str" ph="1">
        <f>IFERROR(INDEX([1]!_born[生没年],
MATCH(I1738,[1]!_born[作],0)),"")</f>
        <v/>
      </c>
      <c r="N1738" s="14" t="str" ph="1">
        <f>IFERROR(INDEX([1]!_born[生没年],
MATCH(K1738,[1]!_born[作],0)),"")</f>
        <v/>
      </c>
      <c r="O1738" s="13" t="s" ph="1">
        <v>7659</v>
      </c>
      <c r="T1738" s="13" t="s" ph="1">
        <v>7611</v>
      </c>
      <c r="V1738" s="17" ph="1">
        <v>490</v>
      </c>
    </row>
    <row r="1739" spans="1:25" ht="22.5" customHeight="1" ph="1" x14ac:dyDescent="0.35">
      <c r="C1739" s="13" t="s" ph="1">
        <v>7591</v>
      </c>
      <c r="G1739" s="13" t="s" ph="1">
        <v>5417</v>
      </c>
      <c r="H1739" s="13" t="s" ph="1">
        <v>1269</v>
      </c>
      <c r="I1739" s="13" t="s" ph="1">
        <v>436</v>
      </c>
      <c r="K1739" s="13" t="s" ph="1">
        <v>3913</v>
      </c>
      <c r="L1739" s="13" t="s" ph="1">
        <v>3628</v>
      </c>
      <c r="M1739" s="14" t="str" ph="1">
        <f>IFERROR(INDEX([1]!_born[生没年],
MATCH(I1739,[1]!_born[作],0)),"")</f>
        <v/>
      </c>
      <c r="N1739" s="14" t="str" ph="1">
        <f>IFERROR(INDEX([1]!_born[生没年],
MATCH(K1739,[1]!_born[作],0)),"")</f>
        <v/>
      </c>
      <c r="O1739" s="13" t="s" ph="1">
        <v>147</v>
      </c>
      <c r="R1739" s="16" t="s" ph="1">
        <v>1431</v>
      </c>
      <c r="T1739" s="13" t="s" ph="1">
        <v>7655</v>
      </c>
      <c r="V1739" s="17" ph="1">
        <v>680</v>
      </c>
    </row>
    <row r="1740" spans="1:25" ht="22.5" customHeight="1" ph="1" x14ac:dyDescent="0.35">
      <c r="A1740" s="106" t="s" ph="1">
        <v>1432</v>
      </c>
      <c r="B1740" s="5" t="s" ph="1">
        <v>1433</v>
      </c>
      <c r="C1740" s="13" t="s" ph="1">
        <v>5828</v>
      </c>
      <c r="G1740" s="13" t="s" ph="1">
        <v>5417</v>
      </c>
      <c r="H1740" s="13" t="s" ph="1">
        <v>1269</v>
      </c>
      <c r="I1740" s="13" t="s" ph="1">
        <v>396</v>
      </c>
      <c r="K1740" s="13" t="s" ph="1">
        <v>7660</v>
      </c>
      <c r="L1740" s="13" t="s" ph="1">
        <v>3628</v>
      </c>
      <c r="M1740" s="14" t="str" ph="1">
        <f>IFERROR(INDEX([1]!_born[生没年],
MATCH(I1740,[1]!_born[作],0)),"")</f>
        <v/>
      </c>
      <c r="N1740" s="14" t="str" ph="1">
        <f>IFERROR(INDEX([1]!_born[生没年],
MATCH(K1740,[1]!_born[作],0)),"")</f>
        <v/>
      </c>
      <c r="O1740" s="13" t="s" ph="1">
        <v>7661</v>
      </c>
      <c r="S1740" s="13" t="s" ph="1">
        <v>7662</v>
      </c>
      <c r="T1740" s="13" t="s" ph="1">
        <v>5407</v>
      </c>
      <c r="U1740" s="16" ph="1">
        <v>38955</v>
      </c>
      <c r="V1740" s="17" ph="1">
        <f>570*1.05</f>
        <v>598.5</v>
      </c>
    </row>
    <row r="1741" spans="1:25" s="7" customFormat="1" ht="22.5" customHeight="1" ph="1" x14ac:dyDescent="0.35">
      <c r="A1741" s="106" ph="1"/>
      <c r="B1741" s="5" ph="1"/>
      <c r="C1741" s="9" t="s" ph="1">
        <v>7591</v>
      </c>
      <c r="D1741" s="122" ph="1"/>
      <c r="E1741" s="122" ph="1"/>
      <c r="G1741" s="8" t="s" ph="1">
        <v>6483</v>
      </c>
      <c r="H1741" s="9" t="s" ph="1">
        <v>1219</v>
      </c>
      <c r="M1741" s="7" t="str" ph="1">
        <f>IFERROR(INDEX([1]!_born[生没年],
MATCH(I1741,[1]!_born[作],0)),"")</f>
        <v/>
      </c>
      <c r="N1741" s="7" t="str" ph="1">
        <f>IFERROR(INDEX([1]!_born[生没年],
MATCH(K1741,[1]!_born[作],0)),"")</f>
        <v/>
      </c>
      <c r="R1741" s="10" ph="1"/>
      <c r="U1741" s="10" ph="1"/>
      <c r="V1741" s="11" ph="1"/>
      <c r="W1741" s="11" ph="1"/>
    </row>
    <row r="1742" spans="1:25" ht="22.5" customHeight="1" ph="1" x14ac:dyDescent="0.35">
      <c r="C1742" s="13" t="s" ph="1">
        <v>7591</v>
      </c>
      <c r="G1742" s="13" t="s" ph="1">
        <v>6483</v>
      </c>
      <c r="H1742" s="13" t="s" ph="1">
        <v>61</v>
      </c>
      <c r="I1742" s="13" t="s" ph="1">
        <v>7117</v>
      </c>
      <c r="M1742" s="14" t="str" ph="1">
        <f>IFERROR(INDEX([1]!_born[生没年],
MATCH(I1742,[1]!_born[作],0)),"")</f>
        <v/>
      </c>
      <c r="N1742" s="14" t="str" ph="1">
        <f>IFERROR(INDEX([1]!_born[生没年],
MATCH(K1742,[1]!_born[作],0)),"")</f>
        <v/>
      </c>
      <c r="O1742" s="13" t="s" ph="1">
        <v>7663</v>
      </c>
      <c r="T1742" s="13" t="s" ph="1">
        <v>7664</v>
      </c>
      <c r="V1742" s="17" ph="1">
        <v>280</v>
      </c>
    </row>
    <row r="1743" spans="1:25" ht="22.5" customHeight="1" ph="1" x14ac:dyDescent="0.35">
      <c r="C1743" s="13" t="s" ph="1">
        <v>7591</v>
      </c>
      <c r="G1743" s="13" t="s" ph="1">
        <v>6483</v>
      </c>
      <c r="H1743" s="13" t="s" ph="1">
        <v>1219</v>
      </c>
      <c r="I1743" s="13" t="s" ph="1">
        <v>7665</v>
      </c>
      <c r="M1743" s="14" t="str" ph="1">
        <f>IFERROR(INDEX([1]!_born[生没年],
MATCH(I1743,[1]!_born[作],0)),"")</f>
        <v/>
      </c>
      <c r="N1743" s="14" t="str" ph="1">
        <f>IFERROR(INDEX([1]!_born[生没年],
MATCH(K1743,[1]!_born[作],0)),"")</f>
        <v/>
      </c>
      <c r="O1743" s="13" t="s" ph="1">
        <v>7666</v>
      </c>
      <c r="T1743" s="13" t="s" ph="1">
        <v>5147</v>
      </c>
      <c r="V1743" s="17" ph="1">
        <v>280</v>
      </c>
    </row>
    <row r="1744" spans="1:25" ht="22.5" customHeight="1" ph="1" x14ac:dyDescent="0.35">
      <c r="C1744" s="13" t="s" ph="1">
        <v>7591</v>
      </c>
      <c r="G1744" s="13" t="s" ph="1">
        <v>6483</v>
      </c>
      <c r="H1744" s="13" t="s" ph="1">
        <v>1219</v>
      </c>
      <c r="I1744" s="13" t="s" ph="1">
        <v>7667</v>
      </c>
      <c r="M1744" s="14" t="str" ph="1">
        <f>IFERROR(INDEX([1]!_born[生没年],
MATCH(I1744,[1]!_born[作],0)),"")</f>
        <v/>
      </c>
      <c r="N1744" s="14" t="str" ph="1">
        <f>IFERROR(INDEX([1]!_born[生没年],
MATCH(K1744,[1]!_born[作],0)),"")</f>
        <v/>
      </c>
      <c r="O1744" s="13" t="s" ph="1">
        <v>7668</v>
      </c>
      <c r="T1744" s="13" t="s" ph="1">
        <v>7611</v>
      </c>
      <c r="U1744" s="16" ph="1">
        <v>36434</v>
      </c>
      <c r="V1744" s="17" ph="1">
        <v>480</v>
      </c>
      <c r="W1744" s="17" ph="1">
        <v>240</v>
      </c>
      <c r="X1744" s="13" t="s" ph="1">
        <v>5289</v>
      </c>
    </row>
    <row r="1745" spans="1:25" ht="22.5" customHeight="1" ph="1" x14ac:dyDescent="0.35">
      <c r="C1745" s="13" t="s" ph="1">
        <v>7591</v>
      </c>
      <c r="G1745" s="13" t="s" ph="1">
        <v>6483</v>
      </c>
      <c r="H1745" s="13" t="s" ph="1">
        <v>1219</v>
      </c>
      <c r="I1745" s="13" t="s" ph="1">
        <v>7667</v>
      </c>
      <c r="M1745" s="14" t="str" ph="1">
        <f>IFERROR(INDEX([1]!_born[生没年],
MATCH(I1745,[1]!_born[作],0)),"")</f>
        <v/>
      </c>
      <c r="N1745" s="14" t="str" ph="1">
        <f>IFERROR(INDEX([1]!_born[生没年],
MATCH(K1745,[1]!_born[作],0)),"")</f>
        <v/>
      </c>
      <c r="O1745" s="13" t="s" ph="1">
        <v>7669</v>
      </c>
      <c r="T1745" s="13" t="s" ph="1">
        <v>7611</v>
      </c>
      <c r="U1745" s="16" ph="1">
        <v>36434</v>
      </c>
      <c r="V1745" s="17" ph="1">
        <v>500</v>
      </c>
      <c r="W1745" s="17" ph="1">
        <v>190</v>
      </c>
      <c r="X1745" s="13" t="s" ph="1">
        <v>5289</v>
      </c>
    </row>
    <row r="1746" spans="1:25" ht="22.5" customHeight="1" ph="1" x14ac:dyDescent="0.35">
      <c r="C1746" s="13" t="s" ph="1">
        <v>7591</v>
      </c>
      <c r="G1746" s="13" t="s" ph="1">
        <v>6483</v>
      </c>
      <c r="H1746" s="13" t="s" ph="1">
        <v>1219</v>
      </c>
      <c r="I1746" s="13" t="s" ph="1">
        <v>7667</v>
      </c>
      <c r="M1746" s="14" t="str" ph="1">
        <f>IFERROR(INDEX([1]!_born[生没年],
MATCH(I1746,[1]!_born[作],0)),"")</f>
        <v/>
      </c>
      <c r="N1746" s="14" t="str" ph="1">
        <f>IFERROR(INDEX([1]!_born[生没年],
MATCH(K1746,[1]!_born[作],0)),"")</f>
        <v/>
      </c>
      <c r="O1746" s="13" t="s" ph="1">
        <v>7670</v>
      </c>
      <c r="T1746" s="13" t="s" ph="1">
        <v>7611</v>
      </c>
      <c r="U1746" s="16" ph="1">
        <v>36962</v>
      </c>
      <c r="V1746" s="17" ph="1">
        <f>533*1.05</f>
        <v>559.65</v>
      </c>
      <c r="W1746" s="17" ph="1">
        <v>250</v>
      </c>
      <c r="X1746" s="13" t="s" ph="1">
        <v>5289</v>
      </c>
    </row>
    <row r="1747" spans="1:25" ht="22.5" customHeight="1" ph="1" x14ac:dyDescent="0.35">
      <c r="C1747" s="13" t="s" ph="1">
        <v>7591</v>
      </c>
      <c r="G1747" s="13" t="s" ph="1">
        <v>6483</v>
      </c>
      <c r="H1747" s="13" t="s" ph="1">
        <v>1219</v>
      </c>
      <c r="I1747" s="13" t="s" ph="1">
        <v>7671</v>
      </c>
      <c r="K1747" s="13" t="s" ph="1">
        <v>7672</v>
      </c>
      <c r="L1747" s="13" t="s" ph="1">
        <v>3616</v>
      </c>
      <c r="M1747" s="14" t="str" ph="1">
        <f>IFERROR(INDEX([1]!_born[生没年],
MATCH(I1747,[1]!_born[作],0)),"")</f>
        <v/>
      </c>
      <c r="N1747" s="14" t="str" ph="1">
        <f>IFERROR(INDEX([1]!_born[生没年],
MATCH(K1747,[1]!_born[作],0)),"")</f>
        <v/>
      </c>
      <c r="O1747" s="13" t="s" ph="1">
        <v>7673</v>
      </c>
      <c r="T1747" s="13" t="s" ph="1">
        <v>7611</v>
      </c>
      <c r="V1747" s="17" ph="1">
        <v>260</v>
      </c>
    </row>
    <row r="1748" spans="1:25" ht="22.5" customHeight="1" ph="1" x14ac:dyDescent="0.35">
      <c r="C1748" s="13" t="s" ph="1">
        <v>7591</v>
      </c>
      <c r="G1748" s="13" t="s" ph="1">
        <v>6483</v>
      </c>
      <c r="H1748" s="13" t="s" ph="1">
        <v>1219</v>
      </c>
      <c r="I1748" s="13" t="s" ph="1">
        <v>7674</v>
      </c>
      <c r="K1748" s="13" t="s" ph="1">
        <v>7675</v>
      </c>
      <c r="L1748" s="13" t="s" ph="1">
        <v>3616</v>
      </c>
      <c r="M1748" s="14" t="str" ph="1">
        <f>IFERROR(INDEX([1]!_born[生没年],
MATCH(I1748,[1]!_born[作],0)),"")</f>
        <v/>
      </c>
      <c r="N1748" s="14" t="str" ph="1">
        <f>IFERROR(INDEX([1]!_born[生没年],
MATCH(K1748,[1]!_born[作],0)),"")</f>
        <v/>
      </c>
      <c r="O1748" s="13" t="s" ph="1">
        <v>7676</v>
      </c>
      <c r="T1748" s="13" t="s" ph="1">
        <v>5147</v>
      </c>
      <c r="V1748" s="17" ph="1">
        <v>200</v>
      </c>
    </row>
    <row r="1749" spans="1:25" ht="22.5" customHeight="1" ph="1" x14ac:dyDescent="0.35">
      <c r="A1749" s="106" t="s" ph="1">
        <v>1434</v>
      </c>
      <c r="B1749" s="5" t="s" ph="1">
        <v>1435</v>
      </c>
      <c r="C1749" s="13" t="s" ph="1">
        <v>7591</v>
      </c>
      <c r="G1749" s="13" t="s" ph="1">
        <v>6483</v>
      </c>
      <c r="H1749" s="13" t="s" ph="1">
        <v>1219</v>
      </c>
      <c r="I1749" s="13" t="s" ph="1">
        <v>7677</v>
      </c>
      <c r="K1749" s="13" t="s" ph="1">
        <v>7678</v>
      </c>
      <c r="L1749" s="13" t="s" ph="1">
        <v>6075</v>
      </c>
      <c r="M1749" s="14" t="str" ph="1">
        <f>IFERROR(INDEX([1]!_born[生没年],
MATCH(I1749,[1]!_born[作],0)),"")</f>
        <v/>
      </c>
      <c r="N1749" s="14" t="str" ph="1">
        <f>IFERROR(INDEX([1]!_born[生没年],
MATCH(K1749,[1]!_born[作],0)),"")</f>
        <v/>
      </c>
      <c r="O1749" s="13" t="s" ph="1">
        <v>7679</v>
      </c>
      <c r="T1749" s="13" t="s" ph="1">
        <v>7611</v>
      </c>
      <c r="U1749" s="16" ph="1">
        <v>38897</v>
      </c>
      <c r="V1749" s="17" ph="1">
        <f>540*1.03</f>
        <v>556.20000000000005</v>
      </c>
      <c r="W1749" s="17" ph="1">
        <v>310</v>
      </c>
      <c r="X1749" s="13" t="s" ph="1">
        <v>3792</v>
      </c>
      <c r="Y1749" s="13" t="s" ph="1">
        <v>7680</v>
      </c>
    </row>
    <row r="1750" spans="1:25" ht="22.5" customHeight="1" ph="1" x14ac:dyDescent="0.35">
      <c r="C1750" s="13" t="s" ph="1">
        <v>7591</v>
      </c>
      <c r="G1750" s="13" t="s" ph="1">
        <v>6483</v>
      </c>
      <c r="H1750" s="13" t="s" ph="1">
        <v>1219</v>
      </c>
      <c r="I1750" s="13" t="s" ph="1">
        <v>7681</v>
      </c>
      <c r="M1750" s="14" t="str" ph="1">
        <f>IFERROR(INDEX([1]!_born[生没年],
MATCH(I1750,[1]!_born[作],0)),"")</f>
        <v/>
      </c>
      <c r="N1750" s="14" t="str" ph="1">
        <f>IFERROR(INDEX([1]!_born[生没年],
MATCH(K1750,[1]!_born[作],0)),"")</f>
        <v/>
      </c>
      <c r="O1750" s="13" t="s" ph="1">
        <v>7682</v>
      </c>
      <c r="T1750" s="13" t="s" ph="1">
        <v>5147</v>
      </c>
      <c r="V1750" s="17" ph="1">
        <v>520</v>
      </c>
    </row>
    <row r="1751" spans="1:25" ht="22.5" customHeight="1" ph="1" x14ac:dyDescent="0.35">
      <c r="C1751" s="13" t="s" ph="1">
        <v>7591</v>
      </c>
      <c r="D1751" s="123" ph="1">
        <v>1</v>
      </c>
      <c r="E1751" s="123" ph="1">
        <v>2</v>
      </c>
      <c r="G1751" s="13" t="s" ph="1">
        <v>6483</v>
      </c>
      <c r="H1751" s="13" t="s" ph="1">
        <v>1219</v>
      </c>
      <c r="I1751" s="13" t="s" ph="1">
        <v>7683</v>
      </c>
      <c r="K1751" s="13" t="s" ph="1">
        <v>7684</v>
      </c>
      <c r="L1751" s="13" t="s" ph="1">
        <v>3616</v>
      </c>
      <c r="M1751" s="14" t="str" ph="1">
        <f>IFERROR(INDEX([1]!_born[生没年],
MATCH(I1751,[1]!_born[作],0)),"")</f>
        <v/>
      </c>
      <c r="N1751" s="14" t="str" ph="1">
        <f>IFERROR(INDEX([1]!_born[生没年],
MATCH(K1751,[1]!_born[作],0)),"")</f>
        <v/>
      </c>
      <c r="O1751" s="13" t="s" ph="1">
        <v>7685</v>
      </c>
      <c r="S1751" s="13" t="s" ph="1">
        <v>4103</v>
      </c>
      <c r="T1751" s="13" t="s" ph="1">
        <v>7686</v>
      </c>
      <c r="V1751" s="17" ph="1">
        <f>1300+1400</f>
        <v>2700</v>
      </c>
    </row>
    <row r="1752" spans="1:25" ht="22.5" customHeight="1" ph="1" x14ac:dyDescent="0.35">
      <c r="C1752" s="13" t="s" ph="1">
        <v>7591</v>
      </c>
      <c r="D1752" s="123" ph="1">
        <v>2</v>
      </c>
      <c r="E1752" s="123" ph="1">
        <v>2</v>
      </c>
      <c r="G1752" s="13" t="s" ph="1">
        <v>6483</v>
      </c>
      <c r="H1752" s="13" t="s" ph="1">
        <v>1219</v>
      </c>
      <c r="I1752" s="13" t="s" ph="1">
        <v>7683</v>
      </c>
      <c r="K1752" s="13" t="s" ph="1">
        <v>7684</v>
      </c>
      <c r="L1752" s="13" t="s" ph="1">
        <v>3616</v>
      </c>
      <c r="M1752" s="14" t="str" ph="1">
        <f>IFERROR(INDEX([1]!_born[生没年],
MATCH(I1752,[1]!_born[作],0)),"")</f>
        <v/>
      </c>
      <c r="N1752" s="14" t="str" ph="1">
        <f>IFERROR(INDEX([1]!_born[生没年],
MATCH(K1752,[1]!_born[作],0)),"")</f>
        <v/>
      </c>
      <c r="O1752" s="13" t="s" ph="1">
        <v>7685</v>
      </c>
      <c r="S1752" s="13" t="s" ph="1">
        <v>4103</v>
      </c>
      <c r="T1752" s="13" t="s" ph="1">
        <v>7686</v>
      </c>
      <c r="V1752" s="17" ph="1">
        <f>1300+1400</f>
        <v>2700</v>
      </c>
    </row>
    <row r="1753" spans="1:25" ht="22.5" customHeight="1" ph="1" x14ac:dyDescent="0.35">
      <c r="C1753" s="13" t="s" ph="1">
        <v>7591</v>
      </c>
      <c r="G1753" s="13" t="s" ph="1">
        <v>6483</v>
      </c>
      <c r="H1753" s="13" t="s" ph="1">
        <v>1219</v>
      </c>
      <c r="I1753" s="13" t="s" ph="1">
        <v>7077</v>
      </c>
      <c r="K1753" s="13" t="s" ph="1">
        <v>7687</v>
      </c>
      <c r="L1753" s="13" t="s" ph="1">
        <v>3616</v>
      </c>
      <c r="M1753" s="14" t="str" ph="1">
        <f>IFERROR(INDEX([1]!_born[生没年],
MATCH(I1753,[1]!_born[作],0)),"")</f>
        <v/>
      </c>
      <c r="N1753" s="14" t="str" ph="1">
        <f>IFERROR(INDEX([1]!_born[生没年],
MATCH(K1753,[1]!_born[作],0)),"")</f>
        <v/>
      </c>
      <c r="O1753" s="13" t="s" ph="1">
        <v>7688</v>
      </c>
      <c r="T1753" s="13" t="s" ph="1">
        <v>5147</v>
      </c>
      <c r="V1753" s="17" ph="1">
        <v>280</v>
      </c>
    </row>
    <row r="1754" spans="1:25" ht="22.5" customHeight="1" ph="1" x14ac:dyDescent="0.35">
      <c r="C1754" s="13" t="s" ph="1">
        <v>7591</v>
      </c>
      <c r="G1754" s="13" t="s" ph="1">
        <v>6483</v>
      </c>
      <c r="H1754" s="13" t="s" ph="1">
        <v>1219</v>
      </c>
      <c r="I1754" s="13" t="s" ph="1">
        <v>7187</v>
      </c>
      <c r="M1754" s="14" t="str" ph="1">
        <f>IFERROR(INDEX([1]!_born[生没年],
MATCH(I1754,[1]!_born[作],0)),"")</f>
        <v/>
      </c>
      <c r="N1754" s="14" t="str" ph="1">
        <f>IFERROR(INDEX([1]!_born[生没年],
MATCH(K1754,[1]!_born[作],0)),"")</f>
        <v/>
      </c>
      <c r="O1754" s="13" t="s" ph="1">
        <v>7689</v>
      </c>
      <c r="T1754" s="13" t="s" ph="1">
        <v>5147</v>
      </c>
      <c r="V1754" s="17" ph="1">
        <v>260</v>
      </c>
    </row>
    <row r="1755" spans="1:25" ht="22.5" customHeight="1" ph="1" x14ac:dyDescent="0.35">
      <c r="C1755" s="13" t="s" ph="1">
        <v>7591</v>
      </c>
      <c r="G1755" s="13" t="s" ph="1">
        <v>6483</v>
      </c>
      <c r="H1755" s="13" t="s" ph="1">
        <v>1219</v>
      </c>
      <c r="I1755" s="13" t="s" ph="1">
        <v>7187</v>
      </c>
      <c r="M1755" s="14" t="str" ph="1">
        <f>IFERROR(INDEX([1]!_born[生没年],
MATCH(I1755,[1]!_born[作],0)),"")</f>
        <v/>
      </c>
      <c r="N1755" s="14" t="str" ph="1">
        <f>IFERROR(INDEX([1]!_born[生没年],
MATCH(K1755,[1]!_born[作],0)),"")</f>
        <v/>
      </c>
      <c r="O1755" s="13" t="s" ph="1">
        <v>7690</v>
      </c>
      <c r="T1755" s="13" t="s" ph="1">
        <v>5147</v>
      </c>
      <c r="V1755" s="17" ph="1">
        <v>260</v>
      </c>
    </row>
    <row r="1756" spans="1:25" ht="22.5" customHeight="1" ph="1" x14ac:dyDescent="0.35">
      <c r="C1756" s="13" t="s" ph="1">
        <v>7591</v>
      </c>
      <c r="G1756" s="13" t="s" ph="1">
        <v>6483</v>
      </c>
      <c r="H1756" s="13" t="s" ph="1">
        <v>1219</v>
      </c>
      <c r="I1756" s="13" t="s" ph="1">
        <v>7187</v>
      </c>
      <c r="M1756" s="14" t="str" ph="1">
        <f>IFERROR(INDEX([1]!_born[生没年],
MATCH(I1756,[1]!_born[作],0)),"")</f>
        <v/>
      </c>
      <c r="N1756" s="14" t="str" ph="1">
        <f>IFERROR(INDEX([1]!_born[生没年],
MATCH(K1756,[1]!_born[作],0)),"")</f>
        <v/>
      </c>
      <c r="O1756" s="13" t="s" ph="1">
        <v>7691</v>
      </c>
      <c r="T1756" s="13" t="s" ph="1">
        <v>5147</v>
      </c>
      <c r="V1756" s="17" ph="1">
        <v>260</v>
      </c>
    </row>
    <row r="1757" spans="1:25" ht="22.5" customHeight="1" ph="1" x14ac:dyDescent="0.35">
      <c r="C1757" s="13" t="s" ph="1">
        <v>7591</v>
      </c>
      <c r="G1757" s="13" t="s" ph="1">
        <v>7159</v>
      </c>
      <c r="H1757" s="13" t="s" ph="1">
        <v>1219</v>
      </c>
      <c r="I1757" s="13" t="s" ph="1">
        <v>7187</v>
      </c>
      <c r="K1757" s="13" t="s" ph="1">
        <v>7692</v>
      </c>
      <c r="L1757" s="13" t="s" ph="1">
        <v>3616</v>
      </c>
      <c r="M1757" s="14" t="str" ph="1">
        <f>IFERROR(INDEX([1]!_born[生没年],
MATCH(I1757,[1]!_born[作],0)),"")</f>
        <v/>
      </c>
      <c r="N1757" s="14" t="str" ph="1">
        <f>IFERROR(INDEX([1]!_born[生没年],
MATCH(K1757,[1]!_born[作],0)),"")</f>
        <v/>
      </c>
      <c r="O1757" s="13" t="s" ph="1">
        <v>7693</v>
      </c>
      <c r="T1757" s="13" t="s" ph="1">
        <v>5147</v>
      </c>
      <c r="V1757" s="17" ph="1">
        <v>260</v>
      </c>
    </row>
    <row r="1758" spans="1:25" ht="22.5" customHeight="1" ph="1" x14ac:dyDescent="0.35">
      <c r="C1758" s="13" t="s" ph="1">
        <v>7591</v>
      </c>
      <c r="G1758" s="13" t="s" ph="1">
        <v>7159</v>
      </c>
      <c r="H1758" s="13" t="s" ph="1">
        <v>1219</v>
      </c>
      <c r="I1758" s="13" t="s" ph="1">
        <v>7694</v>
      </c>
      <c r="K1758" s="13" t="s" ph="1">
        <v>7187</v>
      </c>
      <c r="L1758" s="13" t="s" ph="1">
        <v>1319</v>
      </c>
      <c r="M1758" s="14" t="str" ph="1">
        <f>IFERROR(INDEX([1]!_born[生没年],
MATCH(I1758,[1]!_born[作],0)),"")</f>
        <v/>
      </c>
      <c r="N1758" s="14" t="str" ph="1">
        <f>IFERROR(INDEX([1]!_born[生没年],
MATCH(K1758,[1]!_born[作],0)),"")</f>
        <v/>
      </c>
      <c r="O1758" s="13" t="s" ph="1">
        <v>7695</v>
      </c>
      <c r="T1758" s="13" t="s" ph="1">
        <v>7696</v>
      </c>
      <c r="V1758" s="17" ph="1">
        <v>260</v>
      </c>
    </row>
    <row r="1759" spans="1:25" ht="22.5" customHeight="1" ph="1" x14ac:dyDescent="0.35">
      <c r="C1759" s="13" t="s" ph="1">
        <v>7591</v>
      </c>
      <c r="G1759" s="13" t="s" ph="1">
        <v>6483</v>
      </c>
      <c r="H1759" s="13" t="s" ph="1">
        <v>1219</v>
      </c>
      <c r="I1759" s="13" t="s" ph="1">
        <v>7687</v>
      </c>
      <c r="K1759" s="13" t="s" ph="1">
        <v>7697</v>
      </c>
      <c r="L1759" s="13" t="s" ph="1">
        <v>3616</v>
      </c>
      <c r="M1759" s="14" t="str" ph="1">
        <f>IFERROR(INDEX([1]!_born[生没年],
MATCH(I1759,[1]!_born[作],0)),"")</f>
        <v/>
      </c>
      <c r="N1759" s="14" t="str" ph="1">
        <f>IFERROR(INDEX([1]!_born[生没年],
MATCH(K1759,[1]!_born[作],0)),"")</f>
        <v/>
      </c>
      <c r="O1759" s="13" t="s" ph="1">
        <v>7698</v>
      </c>
      <c r="T1759" s="13" t="s" ph="1">
        <v>7696</v>
      </c>
      <c r="V1759" s="17" ph="1">
        <v>300</v>
      </c>
    </row>
    <row r="1760" spans="1:25" ht="22.5" customHeight="1" ph="1" x14ac:dyDescent="0.35">
      <c r="C1760" s="13" t="s" ph="1">
        <v>7591</v>
      </c>
      <c r="G1760" s="13" t="s" ph="1">
        <v>6483</v>
      </c>
      <c r="H1760" s="13" t="s" ph="1">
        <v>1219</v>
      </c>
      <c r="I1760" s="13" t="s" ph="1">
        <v>7699</v>
      </c>
      <c r="K1760" s="13" t="s" ph="1">
        <v>7700</v>
      </c>
      <c r="L1760" s="13" t="s" ph="1">
        <v>3616</v>
      </c>
      <c r="M1760" s="14" t="str" ph="1">
        <f>IFERROR(INDEX([1]!_born[生没年],
MATCH(I1760,[1]!_born[作],0)),"")</f>
        <v/>
      </c>
      <c r="N1760" s="14" t="str" ph="1">
        <f>IFERROR(INDEX([1]!_born[生没年],
MATCH(K1760,[1]!_born[作],0)),"")</f>
        <v/>
      </c>
      <c r="O1760" s="13" t="s" ph="1">
        <v>7701</v>
      </c>
      <c r="T1760" s="13" t="s" ph="1">
        <v>5147</v>
      </c>
      <c r="V1760" s="17" ph="1">
        <v>200</v>
      </c>
    </row>
    <row r="1761" spans="1:25" ht="22.5" customHeight="1" ph="1" x14ac:dyDescent="0.35">
      <c r="C1761" s="13" t="s" ph="1">
        <v>7591</v>
      </c>
      <c r="G1761" s="13" t="s" ph="1">
        <v>6483</v>
      </c>
      <c r="H1761" s="13" t="s" ph="1">
        <v>1219</v>
      </c>
      <c r="I1761" s="13" t="s" ph="1">
        <v>7699</v>
      </c>
      <c r="M1761" s="14" t="str" ph="1">
        <f>IFERROR(INDEX([1]!_born[生没年],
MATCH(I1761,[1]!_born[作],0)),"")</f>
        <v/>
      </c>
      <c r="N1761" s="14" t="str" ph="1">
        <f>IFERROR(INDEX([1]!_born[生没年],
MATCH(K1761,[1]!_born[作],0)),"")</f>
        <v/>
      </c>
      <c r="O1761" s="13" t="s" ph="1">
        <v>7702</v>
      </c>
      <c r="T1761" s="13" t="s" ph="1">
        <v>5147</v>
      </c>
      <c r="V1761" s="17" ph="1">
        <v>140</v>
      </c>
    </row>
    <row r="1762" spans="1:25" ht="22.5" customHeight="1" ph="1" x14ac:dyDescent="0.35">
      <c r="C1762" s="13" t="s" ph="1">
        <v>7591</v>
      </c>
      <c r="G1762" s="13" t="s" ph="1">
        <v>6483</v>
      </c>
      <c r="H1762" s="13" t="s" ph="1">
        <v>1219</v>
      </c>
      <c r="I1762" s="13" t="s" ph="1">
        <v>538</v>
      </c>
      <c r="M1762" s="14" t="str" ph="1">
        <f>IFERROR(INDEX([1]!_born[生没年],
MATCH(I1762,[1]!_born[作],0)),"")</f>
        <v/>
      </c>
      <c r="N1762" s="14" t="str" ph="1">
        <f>IFERROR(INDEX([1]!_born[生没年],
MATCH(K1762,[1]!_born[作],0)),"")</f>
        <v/>
      </c>
      <c r="O1762" s="13" t="s" ph="1">
        <v>7703</v>
      </c>
      <c r="T1762" s="13" t="s" ph="1">
        <v>5147</v>
      </c>
      <c r="V1762" s="17" ph="1">
        <v>360</v>
      </c>
    </row>
    <row r="1763" spans="1:25" ht="22.5" customHeight="1" ph="1" x14ac:dyDescent="0.35">
      <c r="C1763" s="13" t="s" ph="1">
        <v>7591</v>
      </c>
      <c r="G1763" s="13" t="s" ph="1">
        <v>6483</v>
      </c>
      <c r="H1763" s="13" t="s" ph="1">
        <v>1219</v>
      </c>
      <c r="I1763" s="13" t="s" ph="1">
        <v>7704</v>
      </c>
      <c r="K1763" s="13" t="s" ph="1">
        <v>7705</v>
      </c>
      <c r="L1763" s="13" t="s" ph="1">
        <v>3616</v>
      </c>
      <c r="M1763" s="14" t="str" ph="1">
        <f>IFERROR(INDEX([1]!_born[生没年],
MATCH(I1763,[1]!_born[作],0)),"")</f>
        <v/>
      </c>
      <c r="N1763" s="14" t="str" ph="1">
        <f>IFERROR(INDEX([1]!_born[生没年],
MATCH(K1763,[1]!_born[作],0)),"")</f>
        <v/>
      </c>
      <c r="O1763" s="13" t="s" ph="1">
        <v>7706</v>
      </c>
      <c r="T1763" s="13" t="s" ph="1">
        <v>7696</v>
      </c>
      <c r="V1763" s="17" ph="1">
        <v>300</v>
      </c>
    </row>
    <row r="1764" spans="1:25" ht="22.5" customHeight="1" ph="1" x14ac:dyDescent="0.35">
      <c r="C1764" s="13" t="s" ph="1">
        <v>7591</v>
      </c>
      <c r="G1764" s="13" t="s" ph="1">
        <v>6483</v>
      </c>
      <c r="H1764" s="13" t="s" ph="1">
        <v>1219</v>
      </c>
      <c r="I1764" s="13" t="s" ph="1">
        <v>7707</v>
      </c>
      <c r="M1764" s="14" t="str" ph="1">
        <f>IFERROR(INDEX([1]!_born[生没年],
MATCH(I1764,[1]!_born[作],0)),"")</f>
        <v/>
      </c>
      <c r="N1764" s="14" t="str" ph="1">
        <f>IFERROR(INDEX([1]!_born[生没年],
MATCH(K1764,[1]!_born[作],0)),"")</f>
        <v/>
      </c>
      <c r="O1764" s="13" t="s" ph="1">
        <v>7708</v>
      </c>
      <c r="T1764" s="13" t="s" ph="1">
        <v>7611</v>
      </c>
      <c r="V1764" s="17" ph="1">
        <v>140</v>
      </c>
    </row>
    <row r="1765" spans="1:25" ht="22.5" customHeight="1" ph="1" x14ac:dyDescent="0.35">
      <c r="C1765" s="13" t="s" ph="1">
        <v>7591</v>
      </c>
      <c r="G1765" s="13" t="s" ph="1">
        <v>6483</v>
      </c>
      <c r="H1765" s="13" t="s" ph="1">
        <v>1219</v>
      </c>
      <c r="I1765" s="15" t="s" ph="1">
        <v>7709</v>
      </c>
      <c r="M1765" s="14" t="str" ph="1">
        <f>IFERROR(INDEX([1]!_born[生没年],
MATCH(I1765,[1]!_born[作],0)),"")</f>
        <v/>
      </c>
      <c r="N1765" s="14" t="str" ph="1">
        <f>IFERROR(INDEX([1]!_born[生没年],
MATCH(K1765,[1]!_born[作],0)),"")</f>
        <v/>
      </c>
      <c r="O1765" s="15" t="s" ph="1">
        <v>7710</v>
      </c>
      <c r="S1765" s="13" t="s" ph="1">
        <v>7711</v>
      </c>
      <c r="T1765" s="13" t="s" ph="1">
        <v>7375</v>
      </c>
      <c r="U1765" s="16" t="s" ph="1">
        <v>1217</v>
      </c>
      <c r="V1765" s="17" ph="1">
        <v>700</v>
      </c>
    </row>
    <row r="1766" spans="1:25" s="7" customFormat="1" ht="22.5" customHeight="1" ph="1" x14ac:dyDescent="0.35">
      <c r="A1766" s="106" ph="1"/>
      <c r="B1766" s="5" ph="1"/>
      <c r="C1766" s="9" t="s" ph="1">
        <v>7591</v>
      </c>
      <c r="D1766" s="122" ph="1"/>
      <c r="E1766" s="122" ph="1"/>
      <c r="G1766" s="8" t="s" ph="1">
        <v>6483</v>
      </c>
      <c r="H1766" s="9" t="s" ph="1">
        <v>1269</v>
      </c>
      <c r="M1766" s="7" t="str" ph="1">
        <f>IFERROR(INDEX([1]!_born[生没年],
MATCH(I1766,[1]!_born[作],0)),"")</f>
        <v/>
      </c>
      <c r="N1766" s="7" t="str" ph="1">
        <f>IFERROR(INDEX([1]!_born[生没年],
MATCH(K1766,[1]!_born[作],0)),"")</f>
        <v/>
      </c>
      <c r="R1766" s="10" ph="1"/>
      <c r="U1766" s="10" ph="1"/>
      <c r="V1766" s="11" ph="1"/>
      <c r="W1766" s="11" ph="1"/>
    </row>
    <row r="1767" spans="1:25" ht="22.5" customHeight="1" ph="1" x14ac:dyDescent="0.35">
      <c r="C1767" s="13" t="s" ph="1">
        <v>7591</v>
      </c>
      <c r="G1767" s="13" t="s" ph="1">
        <v>7712</v>
      </c>
      <c r="H1767" s="13" t="s" ph="1">
        <v>1269</v>
      </c>
      <c r="I1767" s="13" t="s" ph="1">
        <v>270</v>
      </c>
      <c r="K1767" s="13" t="s" ph="1">
        <v>7713</v>
      </c>
      <c r="L1767" s="13" t="s" ph="1">
        <v>3628</v>
      </c>
      <c r="M1767" s="14" t="str" ph="1">
        <f>IFERROR(INDEX([1]!_born[生没年],
MATCH(I1767,[1]!_born[作],0)),"")</f>
        <v/>
      </c>
      <c r="N1767" s="14" t="str" ph="1">
        <f>IFERROR(INDEX([1]!_born[生没年],
MATCH(K1767,[1]!_born[作],0)),"")</f>
        <v/>
      </c>
      <c r="O1767" s="13" t="s" ph="1">
        <v>271</v>
      </c>
      <c r="T1767" s="13" t="s" ph="1">
        <v>7599</v>
      </c>
      <c r="V1767" s="17" ph="1">
        <v>360</v>
      </c>
    </row>
    <row r="1768" spans="1:25" ht="22.5" customHeight="1" ph="1" x14ac:dyDescent="0.35">
      <c r="C1768" s="13" t="s" ph="1">
        <v>7591</v>
      </c>
      <c r="G1768" s="13" t="s" ph="1">
        <v>6483</v>
      </c>
      <c r="H1768" s="13" t="s" ph="1">
        <v>1257</v>
      </c>
      <c r="I1768" s="13" t="s" ph="1">
        <v>578</v>
      </c>
      <c r="K1768" s="13" t="s" ph="1">
        <v>7714</v>
      </c>
      <c r="L1768" s="13" t="s" ph="1">
        <v>3628</v>
      </c>
      <c r="M1768" s="14" t="str" ph="1">
        <f>IFERROR(INDEX([1]!_born[生没年],
MATCH(I1768,[1]!_born[作],0)),"")</f>
        <v/>
      </c>
      <c r="N1768" s="14" t="str" ph="1">
        <f>IFERROR(INDEX([1]!_born[生没年],
MATCH(K1768,[1]!_born[作],0)),"")</f>
        <v/>
      </c>
      <c r="O1768" s="13" t="s" ph="1">
        <v>7715</v>
      </c>
      <c r="T1768" s="13" t="s" ph="1">
        <v>5147</v>
      </c>
      <c r="V1768" s="17" ph="1">
        <v>220</v>
      </c>
    </row>
    <row r="1769" spans="1:25" ht="22.5" customHeight="1" ph="1" x14ac:dyDescent="0.35">
      <c r="C1769" s="13" t="s" ph="1">
        <v>7591</v>
      </c>
      <c r="G1769" s="13" t="s" ph="1">
        <v>6483</v>
      </c>
      <c r="H1769" s="13" t="s" ph="1">
        <v>1257</v>
      </c>
      <c r="I1769" s="13" t="s" ph="1">
        <v>578</v>
      </c>
      <c r="K1769" s="13" t="s" ph="1">
        <v>7716</v>
      </c>
      <c r="L1769" s="13" t="s" ph="1">
        <v>3628</v>
      </c>
      <c r="M1769" s="14" t="str" ph="1">
        <f>IFERROR(INDEX([1]!_born[生没年],
MATCH(I1769,[1]!_born[作],0)),"")</f>
        <v/>
      </c>
      <c r="N1769" s="14" t="str" ph="1">
        <f>IFERROR(INDEX([1]!_born[生没年],
MATCH(K1769,[1]!_born[作],0)),"")</f>
        <v/>
      </c>
      <c r="O1769" s="13" t="s" ph="1">
        <v>7717</v>
      </c>
      <c r="R1769" s="16" ph="1">
        <v>1910</v>
      </c>
      <c r="T1769" s="13" t="s" ph="1">
        <v>7614</v>
      </c>
      <c r="V1769" s="17" ph="1">
        <v>320</v>
      </c>
      <c r="W1769" s="17" ph="1">
        <v>1000</v>
      </c>
    </row>
    <row r="1770" spans="1:25" ht="22.5" customHeight="1" ph="1" x14ac:dyDescent="0.35">
      <c r="C1770" s="13" t="s" ph="1">
        <v>7591</v>
      </c>
      <c r="G1770" s="13" t="s" ph="1">
        <v>7718</v>
      </c>
      <c r="H1770" s="13" t="s" ph="1">
        <v>1257</v>
      </c>
      <c r="I1770" s="13" t="s" ph="1">
        <v>578</v>
      </c>
      <c r="K1770" s="13" t="s" ph="1">
        <v>7716</v>
      </c>
      <c r="L1770" s="13" t="s" ph="1">
        <v>3628</v>
      </c>
      <c r="M1770" s="14" t="str" ph="1">
        <f>IFERROR(INDEX([1]!_born[生没年],
MATCH(I1770,[1]!_born[作],0)),"")</f>
        <v/>
      </c>
      <c r="N1770" s="14" t="str" ph="1">
        <f>IFERROR(INDEX([1]!_born[生没年],
MATCH(K1770,[1]!_born[作],0)),"")</f>
        <v/>
      </c>
      <c r="O1770" s="13" t="s" ph="1">
        <v>7719</v>
      </c>
      <c r="T1770" s="13" t="s" ph="1">
        <v>7649</v>
      </c>
      <c r="V1770" s="17" ph="1">
        <v>450</v>
      </c>
    </row>
    <row r="1771" spans="1:25" ht="22.5" customHeight="1" ph="1" x14ac:dyDescent="0.35">
      <c r="C1771" s="13" t="s" ph="1">
        <v>7591</v>
      </c>
      <c r="G1771" s="13" t="s" ph="1">
        <v>4758</v>
      </c>
      <c r="H1771" s="13" t="s" ph="1">
        <v>1257</v>
      </c>
      <c r="I1771" s="13" t="s" ph="1">
        <v>579</v>
      </c>
      <c r="K1771" s="13" t="s" ph="1">
        <v>7720</v>
      </c>
      <c r="L1771" s="13" t="s" ph="1">
        <v>3628</v>
      </c>
      <c r="M1771" s="14" t="str" ph="1">
        <f>IFERROR(INDEX([1]!_born[生没年],
MATCH(I1771,[1]!_born[作],0)),"")</f>
        <v/>
      </c>
      <c r="N1771" s="14" t="str" ph="1">
        <f>IFERROR(INDEX([1]!_born[生没年],
MATCH(K1771,[1]!_born[作],0)),"")</f>
        <v/>
      </c>
      <c r="O1771" s="13" t="s" ph="1">
        <v>7721</v>
      </c>
      <c r="T1771" s="13" t="s" ph="1">
        <v>7611</v>
      </c>
      <c r="U1771" s="16" t="s" ph="1">
        <v>1217</v>
      </c>
      <c r="V1771" s="17" ph="1">
        <v>350</v>
      </c>
    </row>
    <row r="1772" spans="1:25" ht="22.5" customHeight="1" ph="1" x14ac:dyDescent="0.35">
      <c r="C1772" s="13" t="s" ph="1">
        <v>7591</v>
      </c>
      <c r="G1772" s="13" t="s" ph="1">
        <v>6483</v>
      </c>
      <c r="H1772" s="13" t="s" ph="1">
        <v>1257</v>
      </c>
      <c r="I1772" s="13" t="s" ph="1">
        <v>579</v>
      </c>
      <c r="K1772" s="13" t="s" ph="1">
        <v>7714</v>
      </c>
      <c r="L1772" s="13" t="s" ph="1">
        <v>3628</v>
      </c>
      <c r="M1772" s="14" t="str" ph="1">
        <f>IFERROR(INDEX([1]!_born[生没年],
MATCH(I1772,[1]!_born[作],0)),"")</f>
        <v/>
      </c>
      <c r="N1772" s="14" t="str" ph="1">
        <f>IFERROR(INDEX([1]!_born[生没年],
MATCH(K1772,[1]!_born[作],0)),"")</f>
        <v/>
      </c>
      <c r="O1772" s="13" t="s" ph="1">
        <v>7722</v>
      </c>
      <c r="T1772" s="13" t="s" ph="1">
        <v>5147</v>
      </c>
      <c r="V1772" s="17" ph="1">
        <v>240</v>
      </c>
    </row>
    <row r="1773" spans="1:25" ht="22.5" customHeight="1" ph="1" x14ac:dyDescent="0.35">
      <c r="C1773" s="13" t="s" ph="1">
        <v>7591</v>
      </c>
      <c r="G1773" s="13" t="s" ph="1">
        <v>6483</v>
      </c>
      <c r="H1773" s="13" t="s" ph="1">
        <v>1269</v>
      </c>
      <c r="I1773" s="13" t="s" ph="1">
        <v>7723</v>
      </c>
      <c r="K1773" s="13" t="s" ph="1">
        <v>7724</v>
      </c>
      <c r="L1773" s="13" t="s" ph="1">
        <v>3628</v>
      </c>
      <c r="M1773" s="14" t="str" ph="1">
        <f>IFERROR(INDEX([1]!_born[生没年],
MATCH(I1773,[1]!_born[作],0)),"")</f>
        <v/>
      </c>
      <c r="N1773" s="14" t="str" ph="1">
        <f>IFERROR(INDEX([1]!_born[生没年],
MATCH(K1773,[1]!_born[作],0)),"")</f>
        <v/>
      </c>
      <c r="O1773" s="13" t="s" ph="1">
        <v>7725</v>
      </c>
      <c r="T1773" s="13" t="s" ph="1">
        <v>5147</v>
      </c>
      <c r="V1773" s="17" ph="1">
        <v>160</v>
      </c>
    </row>
    <row r="1774" spans="1:25" ht="22.5" customHeight="1" ph="1" x14ac:dyDescent="0.35">
      <c r="C1774" s="13" t="s" ph="1">
        <v>7591</v>
      </c>
      <c r="G1774" s="13" t="s" ph="1">
        <v>6483</v>
      </c>
      <c r="H1774" s="13" t="s" ph="1">
        <v>1269</v>
      </c>
      <c r="I1774" s="13" t="s" ph="1">
        <v>580</v>
      </c>
      <c r="K1774" s="13" t="s" ph="1">
        <v>7726</v>
      </c>
      <c r="L1774" s="13" t="s" ph="1">
        <v>3628</v>
      </c>
      <c r="M1774" s="14" t="str" ph="1">
        <f>IFERROR(INDEX([1]!_born[生没年],
MATCH(I1774,[1]!_born[作],0)),"")</f>
        <v/>
      </c>
      <c r="N1774" s="14" t="str" ph="1">
        <f>IFERROR(INDEX([1]!_born[生没年],
MATCH(K1774,[1]!_born[作],0)),"")</f>
        <v/>
      </c>
      <c r="O1774" s="13" t="s" ph="1">
        <v>7727</v>
      </c>
      <c r="T1774" s="13" t="s" ph="1">
        <v>5147</v>
      </c>
      <c r="V1774" s="17" ph="1">
        <v>280</v>
      </c>
    </row>
    <row r="1775" spans="1:25" ht="22.5" customHeight="1" ph="1" x14ac:dyDescent="0.35">
      <c r="C1775" s="13" t="s" ph="1">
        <v>7591</v>
      </c>
      <c r="G1775" s="13" t="s" ph="1">
        <v>6483</v>
      </c>
      <c r="H1775" s="13" t="s" ph="1">
        <v>1269</v>
      </c>
      <c r="I1775" s="13" t="s" ph="1">
        <v>581</v>
      </c>
      <c r="K1775" s="13" t="s" ph="1">
        <v>7448</v>
      </c>
      <c r="L1775" s="13" t="s" ph="1">
        <v>3628</v>
      </c>
      <c r="M1775" s="14" t="str" ph="1">
        <f>IFERROR(INDEX([1]!_born[生没年],
MATCH(I1775,[1]!_born[作],0)),"")</f>
        <v/>
      </c>
      <c r="N1775" s="14" t="str" ph="1">
        <f>IFERROR(INDEX([1]!_born[生没年],
MATCH(K1775,[1]!_born[作],0)),"")</f>
        <v/>
      </c>
      <c r="O1775" s="13" t="s" ph="1">
        <v>7728</v>
      </c>
      <c r="T1775" s="13" t="s" ph="1">
        <v>7696</v>
      </c>
      <c r="V1775" s="17" ph="1">
        <v>220</v>
      </c>
      <c r="W1775" s="17"/>
      <c r="X1775" s="5" t="s" ph="1">
        <v>7603</v>
      </c>
      <c r="Y1775" s="5" ph="1"/>
    </row>
    <row r="1776" spans="1:25" ht="22.5" customHeight="1" ph="1" x14ac:dyDescent="0.35">
      <c r="A1776" s="106" t="s" ph="1">
        <v>1436</v>
      </c>
      <c r="B1776" s="5" t="s" ph="1">
        <v>1437</v>
      </c>
      <c r="C1776" s="13" t="s" ph="1">
        <v>7591</v>
      </c>
      <c r="G1776" s="13" t="s" ph="1">
        <v>6483</v>
      </c>
      <c r="H1776" s="13" t="s" ph="1">
        <v>1269</v>
      </c>
      <c r="I1776" s="13" t="s" ph="1">
        <v>393</v>
      </c>
      <c r="K1776" s="13" t="s" ph="1">
        <v>3913</v>
      </c>
      <c r="L1776" s="13" t="s" ph="1">
        <v>3628</v>
      </c>
      <c r="M1776" s="14" t="str" ph="1">
        <f>IFERROR(INDEX([1]!_born[生没年],
MATCH(I1776,[1]!_born[作],0)),"")</f>
        <v/>
      </c>
      <c r="N1776" s="14" t="str" ph="1">
        <f>IFERROR(INDEX([1]!_born[生没年],
MATCH(K1776,[1]!_born[作],0)),"")</f>
        <v/>
      </c>
      <c r="O1776" s="13" t="s" ph="1">
        <v>7729</v>
      </c>
      <c r="T1776" s="13" t="s" ph="1">
        <v>7730</v>
      </c>
      <c r="U1776" s="16" ph="1">
        <v>39239</v>
      </c>
      <c r="V1776" s="17" ph="1">
        <f>740*1.05</f>
        <v>777</v>
      </c>
      <c r="X1776" s="13" t="s" ph="1">
        <v>3802</v>
      </c>
    </row>
    <row r="1777" spans="1:25" ht="22.5" customHeight="1" ph="1" x14ac:dyDescent="0.35">
      <c r="C1777" s="13" t="s" ph="1">
        <v>7591</v>
      </c>
      <c r="G1777" s="13" t="s" ph="1">
        <v>6483</v>
      </c>
      <c r="H1777" s="13" t="s" ph="1">
        <v>1269</v>
      </c>
      <c r="I1777" s="13" t="s" ph="1">
        <v>102</v>
      </c>
      <c r="K1777" s="13" t="s" ph="1">
        <v>7731</v>
      </c>
      <c r="L1777" s="13" t="s" ph="1">
        <v>3628</v>
      </c>
      <c r="M1777" s="14" t="str" ph="1">
        <f>IFERROR(INDEX([1]!_born[生没年],
MATCH(I1777,[1]!_born[作],0)),"")</f>
        <v/>
      </c>
      <c r="N1777" s="14" t="str" ph="1">
        <f>IFERROR(INDEX([1]!_born[生没年],
MATCH(K1777,[1]!_born[作],0)),"")</f>
        <v/>
      </c>
      <c r="O1777" s="13" t="s" ph="1">
        <v>7281</v>
      </c>
      <c r="T1777" s="13" t="s" ph="1">
        <v>5147</v>
      </c>
      <c r="V1777" s="17" ph="1">
        <v>280</v>
      </c>
    </row>
    <row r="1778" spans="1:25" ht="22.5" customHeight="1" ph="1" x14ac:dyDescent="0.35">
      <c r="C1778" s="13" t="s" ph="1">
        <v>7591</v>
      </c>
      <c r="G1778" s="13" t="s" ph="1">
        <v>6483</v>
      </c>
      <c r="H1778" s="13" t="s" ph="1">
        <v>1269</v>
      </c>
      <c r="I1778" s="13" t="s" ph="1">
        <v>103</v>
      </c>
      <c r="K1778" s="13" t="s" ph="1">
        <v>7732</v>
      </c>
      <c r="L1778" s="13" t="s" ph="1">
        <v>3628</v>
      </c>
      <c r="M1778" s="14" t="str" ph="1">
        <f>IFERROR(INDEX([1]!_born[生没年],
MATCH(I1778,[1]!_born[作],0)),"")</f>
        <v/>
      </c>
      <c r="N1778" s="14" t="str" ph="1">
        <f>IFERROR(INDEX([1]!_born[生没年],
MATCH(K1778,[1]!_born[作],0)),"")</f>
        <v/>
      </c>
      <c r="O1778" s="13" t="s" ph="1">
        <v>7733</v>
      </c>
      <c r="T1778" s="13" t="s" ph="1">
        <v>5147</v>
      </c>
      <c r="V1778" s="17" ph="1">
        <v>220</v>
      </c>
    </row>
    <row r="1779" spans="1:25" ht="22.5" customHeight="1" ph="1" x14ac:dyDescent="0.35">
      <c r="C1779" s="13" t="s" ph="1">
        <v>7591</v>
      </c>
      <c r="G1779" s="13" t="s" ph="1">
        <v>6483</v>
      </c>
      <c r="H1779" s="13" t="s" ph="1">
        <v>1269</v>
      </c>
      <c r="I1779" s="13" t="s" ph="1">
        <v>3</v>
      </c>
      <c r="K1779" s="13" t="s" ph="1">
        <v>7714</v>
      </c>
      <c r="L1779" s="13" t="s" ph="1">
        <v>3628</v>
      </c>
      <c r="M1779" s="14" t="str" ph="1">
        <f>IFERROR(INDEX([1]!_born[生没年],
MATCH(I1779,[1]!_born[作],0)),"")</f>
        <v/>
      </c>
      <c r="N1779" s="14" t="str" ph="1">
        <f>IFERROR(INDEX([1]!_born[生没年],
MATCH(K1779,[1]!_born[作],0)),"")</f>
        <v/>
      </c>
      <c r="O1779" s="13" t="s" ph="1">
        <v>7734</v>
      </c>
      <c r="T1779" s="13" t="s" ph="1">
        <v>5147</v>
      </c>
      <c r="V1779" s="17" ph="1">
        <v>220</v>
      </c>
    </row>
    <row r="1780" spans="1:25" ht="22.5" customHeight="1" ph="1" x14ac:dyDescent="0.35">
      <c r="C1780" s="13" t="s" ph="1">
        <v>7591</v>
      </c>
      <c r="G1780" s="13" t="s" ph="1">
        <v>6483</v>
      </c>
      <c r="H1780" s="13" t="s" ph="1">
        <v>1269</v>
      </c>
      <c r="I1780" s="13" t="s" ph="1">
        <v>4</v>
      </c>
      <c r="K1780" s="13" t="s" ph="1">
        <v>7735</v>
      </c>
      <c r="L1780" s="13" t="s" ph="1">
        <v>3628</v>
      </c>
      <c r="M1780" s="14" t="str" ph="1">
        <f>IFERROR(INDEX([1]!_born[生没年],
MATCH(I1780,[1]!_born[作],0)),"")</f>
        <v/>
      </c>
      <c r="N1780" s="14" t="str" ph="1">
        <f>IFERROR(INDEX([1]!_born[生没年],
MATCH(K1780,[1]!_born[作],0)),"")</f>
        <v/>
      </c>
      <c r="O1780" s="13" t="s" ph="1">
        <v>7736</v>
      </c>
      <c r="T1780" s="13" t="s" ph="1">
        <v>7696</v>
      </c>
      <c r="V1780" s="17" ph="1">
        <v>220</v>
      </c>
    </row>
    <row r="1781" spans="1:25" ht="22.5" customHeight="1" ph="1" x14ac:dyDescent="0.35">
      <c r="C1781" s="13" t="s" ph="1">
        <v>7591</v>
      </c>
      <c r="G1781" s="13" t="s" ph="1">
        <v>6483</v>
      </c>
      <c r="H1781" s="13" t="s" ph="1">
        <v>1269</v>
      </c>
      <c r="I1781" s="13" t="s" ph="1">
        <v>5</v>
      </c>
      <c r="K1781" s="13" t="s" ph="1">
        <v>7737</v>
      </c>
      <c r="L1781" s="13" t="s" ph="1">
        <v>3628</v>
      </c>
      <c r="M1781" s="14" t="str" ph="1">
        <f>IFERROR(INDEX([1]!_born[生没年],
MATCH(I1781,[1]!_born[作],0)),"")</f>
        <v/>
      </c>
      <c r="N1781" s="14" t="str" ph="1">
        <f>IFERROR(INDEX([1]!_born[生没年],
MATCH(K1781,[1]!_born[作],0)),"")</f>
        <v/>
      </c>
      <c r="O1781" s="13" t="s" ph="1">
        <v>7738</v>
      </c>
      <c r="T1781" s="13" t="s" ph="1">
        <v>5147</v>
      </c>
      <c r="V1781" s="17" ph="1">
        <v>200</v>
      </c>
    </row>
    <row r="1782" spans="1:25" ht="22.5" customHeight="1" ph="1" x14ac:dyDescent="0.35">
      <c r="C1782" s="13" t="s" ph="1">
        <v>7591</v>
      </c>
      <c r="G1782" s="13" t="s" ph="1">
        <v>6483</v>
      </c>
      <c r="H1782" s="13" t="s" ph="1">
        <v>1269</v>
      </c>
      <c r="I1782" s="13" t="s" ph="1">
        <v>6</v>
      </c>
      <c r="K1782" s="13" t="s" ph="1">
        <v>7714</v>
      </c>
      <c r="L1782" s="13" t="s" ph="1">
        <v>3628</v>
      </c>
      <c r="M1782" s="14" t="str" ph="1">
        <f>IFERROR(INDEX([1]!_born[生没年],
MATCH(I1782,[1]!_born[作],0)),"")</f>
        <v/>
      </c>
      <c r="N1782" s="14" t="str" ph="1">
        <f>IFERROR(INDEX([1]!_born[生没年],
MATCH(K1782,[1]!_born[作],0)),"")</f>
        <v/>
      </c>
      <c r="O1782" s="13" t="s" ph="1">
        <v>7739</v>
      </c>
      <c r="T1782" s="13" t="s" ph="1">
        <v>5147</v>
      </c>
      <c r="V1782" s="17" ph="1">
        <v>440</v>
      </c>
    </row>
    <row r="1783" spans="1:25" ht="22.5" customHeight="1" ph="1" x14ac:dyDescent="0.35">
      <c r="C1783" s="13" t="s" ph="1">
        <v>7591</v>
      </c>
      <c r="G1783" s="13" t="s" ph="1">
        <v>6483</v>
      </c>
      <c r="H1783" s="13" t="s" ph="1">
        <v>1269</v>
      </c>
      <c r="I1783" s="13" t="s" ph="1">
        <v>6</v>
      </c>
      <c r="K1783" s="13" t="s" ph="1">
        <v>7740</v>
      </c>
      <c r="L1783" s="13" t="s" ph="1">
        <v>3628</v>
      </c>
      <c r="M1783" s="14" t="str" ph="1">
        <f>IFERROR(INDEX([1]!_born[生没年],
MATCH(I1783,[1]!_born[作],0)),"")</f>
        <v/>
      </c>
      <c r="N1783" s="14" t="str" ph="1">
        <f>IFERROR(INDEX([1]!_born[生没年],
MATCH(K1783,[1]!_born[作],0)),"")</f>
        <v/>
      </c>
      <c r="O1783" s="13" t="s" ph="1">
        <v>7741</v>
      </c>
      <c r="T1783" s="13" t="s" ph="1">
        <v>5147</v>
      </c>
      <c r="V1783" s="17" ph="1">
        <v>200</v>
      </c>
    </row>
    <row r="1784" spans="1:25" ht="22.5" customHeight="1" ph="1" x14ac:dyDescent="0.35">
      <c r="C1784" s="13" t="s" ph="1">
        <v>7591</v>
      </c>
      <c r="D1784" s="123" ph="1">
        <v>1</v>
      </c>
      <c r="E1784" s="123" ph="1">
        <v>2</v>
      </c>
      <c r="G1784" s="13" t="s" ph="1">
        <v>6483</v>
      </c>
      <c r="H1784" s="13" t="s" ph="1">
        <v>1269</v>
      </c>
      <c r="I1784" s="13" t="s" ph="1">
        <v>6</v>
      </c>
      <c r="K1784" s="13" t="s" ph="1">
        <v>7742</v>
      </c>
      <c r="L1784" s="13" t="s" ph="1">
        <v>3628</v>
      </c>
      <c r="M1784" s="14" t="str" ph="1">
        <f>IFERROR(INDEX([1]!_born[生没年],
MATCH(I1784,[1]!_born[作],0)),"")</f>
        <v/>
      </c>
      <c r="N1784" s="14" t="str" ph="1">
        <f>IFERROR(INDEX([1]!_born[生没年],
MATCH(K1784,[1]!_born[作],0)),"")</f>
        <v/>
      </c>
      <c r="O1784" s="13" t="s" ph="1">
        <v>7743</v>
      </c>
      <c r="S1784" s="13" t="s" ph="1">
        <v>7744</v>
      </c>
      <c r="T1784" s="13" t="s" ph="1">
        <v>7730</v>
      </c>
      <c r="V1784" s="17" ph="1">
        <f>(950+1000)*1.05</f>
        <v>2047.5</v>
      </c>
    </row>
    <row r="1785" spans="1:25" ht="22.5" customHeight="1" ph="1" x14ac:dyDescent="0.35">
      <c r="C1785" s="13" t="s" ph="1">
        <v>7591</v>
      </c>
      <c r="D1785" s="123" ph="1">
        <v>2</v>
      </c>
      <c r="E1785" s="123" ph="1">
        <v>2</v>
      </c>
      <c r="G1785" s="13" t="s" ph="1">
        <v>6483</v>
      </c>
      <c r="H1785" s="13" t="s" ph="1">
        <v>1269</v>
      </c>
      <c r="I1785" s="13" t="s" ph="1">
        <v>6</v>
      </c>
      <c r="K1785" s="13" t="s" ph="1">
        <v>7742</v>
      </c>
      <c r="L1785" s="13" t="s" ph="1">
        <v>3628</v>
      </c>
      <c r="M1785" s="14" t="str" ph="1">
        <f>IFERROR(INDEX([1]!_born[生没年],
MATCH(I1785,[1]!_born[作],0)),"")</f>
        <v/>
      </c>
      <c r="N1785" s="14" t="str" ph="1">
        <f>IFERROR(INDEX([1]!_born[生没年],
MATCH(K1785,[1]!_born[作],0)),"")</f>
        <v/>
      </c>
      <c r="O1785" s="13" t="s" ph="1">
        <v>7745</v>
      </c>
      <c r="S1785" s="13" t="s" ph="1">
        <v>7744</v>
      </c>
      <c r="T1785" s="13" t="s" ph="1">
        <v>7730</v>
      </c>
      <c r="V1785" s="17" ph="1">
        <f>(950+1000)*1.05</f>
        <v>2047.5</v>
      </c>
    </row>
    <row r="1786" spans="1:25" ht="22.5" customHeight="1" ph="1" x14ac:dyDescent="0.35">
      <c r="C1786" s="13" t="s" ph="1">
        <v>7591</v>
      </c>
      <c r="G1786" s="13" t="s" ph="1">
        <v>6483</v>
      </c>
      <c r="H1786" s="13" t="s" ph="1">
        <v>1269</v>
      </c>
      <c r="I1786" s="13" t="s" ph="1">
        <v>7</v>
      </c>
      <c r="K1786" s="13" t="s" ph="1">
        <v>7746</v>
      </c>
      <c r="L1786" s="13" t="s" ph="1">
        <v>3628</v>
      </c>
      <c r="M1786" s="14" t="str" ph="1">
        <f>IFERROR(INDEX([1]!_born[生没年],
MATCH(I1786,[1]!_born[作],0)),"")</f>
        <v/>
      </c>
      <c r="N1786" s="14" t="str" ph="1">
        <f>IFERROR(INDEX([1]!_born[生没年],
MATCH(K1786,[1]!_born[作],0)),"")</f>
        <v/>
      </c>
      <c r="O1786" s="13" t="s" ph="1">
        <v>7747</v>
      </c>
      <c r="T1786" s="13" t="s" ph="1">
        <v>7611</v>
      </c>
      <c r="V1786" s="17" ph="1">
        <v>140</v>
      </c>
      <c r="W1786" s="17" ph="1">
        <v>800</v>
      </c>
      <c r="X1786" s="5" t="s" ph="1">
        <v>4937</v>
      </c>
      <c r="Y1786" s="5" ph="1"/>
    </row>
    <row r="1787" spans="1:25" ht="22.5" customHeight="1" ph="1" x14ac:dyDescent="0.35">
      <c r="C1787" s="13" t="s" ph="1">
        <v>7591</v>
      </c>
      <c r="G1787" s="13" t="s" ph="1">
        <v>6483</v>
      </c>
      <c r="H1787" s="13" t="s" ph="1">
        <v>1269</v>
      </c>
      <c r="I1787" s="13" t="s" ph="1">
        <v>7</v>
      </c>
      <c r="K1787" s="13" t="s" ph="1">
        <v>7714</v>
      </c>
      <c r="L1787" s="13" t="s" ph="1">
        <v>3628</v>
      </c>
      <c r="M1787" s="14" t="str" ph="1">
        <f>IFERROR(INDEX([1]!_born[生没年],
MATCH(I1787,[1]!_born[作],0)),"")</f>
        <v/>
      </c>
      <c r="N1787" s="14" t="str" ph="1">
        <f>IFERROR(INDEX([1]!_born[生没年],
MATCH(K1787,[1]!_born[作],0)),"")</f>
        <v/>
      </c>
      <c r="O1787" s="13" t="s" ph="1">
        <v>7748</v>
      </c>
      <c r="T1787" s="13" t="s" ph="1">
        <v>5147</v>
      </c>
      <c r="V1787" s="17" ph="1">
        <v>200</v>
      </c>
    </row>
    <row r="1788" spans="1:25" ht="22.5" customHeight="1" ph="1" x14ac:dyDescent="0.35">
      <c r="C1788" s="13" t="s" ph="1">
        <v>7591</v>
      </c>
      <c r="G1788" s="13" t="s" ph="1">
        <v>6483</v>
      </c>
      <c r="H1788" s="13" t="s" ph="1">
        <v>1269</v>
      </c>
      <c r="I1788" s="13" t="s" ph="1">
        <v>258</v>
      </c>
      <c r="K1788" s="13" t="s" ph="1">
        <v>7749</v>
      </c>
      <c r="L1788" s="13" t="s" ph="1">
        <v>3628</v>
      </c>
      <c r="M1788" s="14" t="str" ph="1">
        <f>IFERROR(INDEX([1]!_born[生没年],
MATCH(I1788,[1]!_born[作],0)),"")</f>
        <v/>
      </c>
      <c r="N1788" s="14" t="str" ph="1">
        <f>IFERROR(INDEX([1]!_born[生没年],
MATCH(K1788,[1]!_born[作],0)),"")</f>
        <v/>
      </c>
      <c r="O1788" s="13" t="s" ph="1">
        <v>7750</v>
      </c>
      <c r="T1788" s="13" t="s" ph="1">
        <v>5147</v>
      </c>
      <c r="V1788" s="17" ph="1">
        <v>320</v>
      </c>
    </row>
    <row r="1789" spans="1:25" ht="22.5" customHeight="1" ph="1" x14ac:dyDescent="0.35">
      <c r="C1789" s="13" t="s" ph="1">
        <v>7591</v>
      </c>
      <c r="G1789" s="13" t="s" ph="1">
        <v>6483</v>
      </c>
      <c r="H1789" s="13" t="s" ph="1">
        <v>1269</v>
      </c>
      <c r="I1789" s="13" t="s" ph="1">
        <v>258</v>
      </c>
      <c r="K1789" s="13" t="s" ph="1">
        <v>7751</v>
      </c>
      <c r="L1789" s="13" t="s" ph="1">
        <v>3628</v>
      </c>
      <c r="M1789" s="14" t="str" ph="1">
        <f>IFERROR(INDEX([1]!_born[生没年],
MATCH(I1789,[1]!_born[作],0)),"")</f>
        <v/>
      </c>
      <c r="N1789" s="14" t="str" ph="1">
        <f>IFERROR(INDEX([1]!_born[生没年],
MATCH(K1789,[1]!_born[作],0)),"")</f>
        <v/>
      </c>
      <c r="O1789" s="13" t="s" ph="1">
        <v>7284</v>
      </c>
      <c r="T1789" s="13" t="s" ph="1">
        <v>5147</v>
      </c>
      <c r="V1789" s="17" ph="1">
        <v>220</v>
      </c>
    </row>
    <row r="1790" spans="1:25" ht="22.5" customHeight="1" ph="1" x14ac:dyDescent="0.35">
      <c r="C1790" s="13" t="s" ph="1">
        <v>7591</v>
      </c>
      <c r="G1790" s="13" t="s" ph="1">
        <v>6483</v>
      </c>
      <c r="H1790" s="13" t="s" ph="1">
        <v>1269</v>
      </c>
      <c r="I1790" s="13" t="s" ph="1">
        <v>6567</v>
      </c>
      <c r="K1790" s="13" t="s" ph="1">
        <v>7752</v>
      </c>
      <c r="L1790" s="13" t="s" ph="1">
        <v>3628</v>
      </c>
      <c r="M1790" s="14" t="str" ph="1">
        <f>IFERROR(INDEX([1]!_born[生没年],
MATCH(I1790,[1]!_born[作],0)),"")</f>
        <v/>
      </c>
      <c r="N1790" s="14" t="str" ph="1">
        <f>IFERROR(INDEX([1]!_born[生没年],
MATCH(K1790,[1]!_born[作],0)),"")</f>
        <v/>
      </c>
      <c r="O1790" s="13" t="s" ph="1">
        <v>7170</v>
      </c>
      <c r="T1790" s="13" t="s" ph="1">
        <v>7652</v>
      </c>
      <c r="V1790" s="17" ph="1">
        <v>500</v>
      </c>
    </row>
    <row r="1791" spans="1:25" s="7" customFormat="1" ht="22.5" customHeight="1" ph="1" x14ac:dyDescent="0.35">
      <c r="A1791" s="106" ph="1"/>
      <c r="B1791" s="5" ph="1"/>
      <c r="C1791" s="9" t="s" ph="1">
        <v>7591</v>
      </c>
      <c r="D1791" s="122" ph="1"/>
      <c r="E1791" s="122" ph="1"/>
      <c r="G1791" s="8" t="s" ph="1">
        <v>4758</v>
      </c>
      <c r="H1791" s="9" t="s" ph="1">
        <v>1219</v>
      </c>
      <c r="M1791" s="7" t="str" ph="1">
        <f>IFERROR(INDEX([1]!_born[生没年],
MATCH(I1791,[1]!_born[作],0)),"")</f>
        <v/>
      </c>
      <c r="N1791" s="7" t="str" ph="1">
        <f>IFERROR(INDEX([1]!_born[生没年],
MATCH(K1791,[1]!_born[作],0)),"")</f>
        <v/>
      </c>
      <c r="R1791" s="10" ph="1"/>
      <c r="U1791" s="10" ph="1"/>
      <c r="V1791" s="11" ph="1"/>
      <c r="W1791" s="11" ph="1"/>
    </row>
    <row r="1792" spans="1:25" ht="22.5" customHeight="1" ph="1" x14ac:dyDescent="0.35">
      <c r="A1792" s="106" t="s" ph="1">
        <v>1438</v>
      </c>
      <c r="B1792" s="5" t="s" ph="1">
        <v>1439</v>
      </c>
      <c r="C1792" s="13" t="s" ph="1">
        <v>7591</v>
      </c>
      <c r="D1792" s="123" ph="1">
        <v>1</v>
      </c>
      <c r="E1792" s="123" ph="1">
        <v>3</v>
      </c>
      <c r="G1792" s="13" t="s" ph="1">
        <v>7753</v>
      </c>
      <c r="H1792" s="13" t="s" ph="1">
        <v>1219</v>
      </c>
      <c r="K1792" s="13" t="s" ph="1">
        <v>7754</v>
      </c>
      <c r="L1792" s="13" t="s" ph="1">
        <v>7755</v>
      </c>
      <c r="M1792" s="14" t="str" ph="1">
        <f>IFERROR(INDEX([1]!_born[生没年],
MATCH(I1792,[1]!_born[作],0)),"")</f>
        <v/>
      </c>
      <c r="N1792" s="14" t="str" ph="1">
        <f>IFERROR(INDEX([1]!_born[生没年],
MATCH(K1792,[1]!_born[作],0)),"")</f>
        <v/>
      </c>
      <c r="O1792" s="13" t="s" ph="1">
        <v>7756</v>
      </c>
      <c r="S1792" s="13" t="s" ph="1">
        <v>7757</v>
      </c>
      <c r="T1792" s="13" t="s" ph="1">
        <v>7758</v>
      </c>
      <c r="U1792" s="16" ph="1">
        <v>38588</v>
      </c>
      <c r="V1792" s="17" ph="1">
        <v>950</v>
      </c>
      <c r="W1792" s="17" ph="1">
        <f>1950/3</f>
        <v>650</v>
      </c>
      <c r="X1792" s="13" t="s" ph="1">
        <v>3792</v>
      </c>
    </row>
    <row r="1793" spans="1:25" ht="22.5" customHeight="1" ph="1" x14ac:dyDescent="0.35">
      <c r="A1793" s="106" t="s" ph="1">
        <v>1440</v>
      </c>
      <c r="B1793" s="5" t="s" ph="1">
        <v>1439</v>
      </c>
      <c r="C1793" s="13" t="s" ph="1">
        <v>7591</v>
      </c>
      <c r="D1793" s="123" ph="1">
        <v>2</v>
      </c>
      <c r="E1793" s="123" ph="1">
        <v>3</v>
      </c>
      <c r="G1793" s="13" t="s" ph="1">
        <v>7753</v>
      </c>
      <c r="H1793" s="13" t="s" ph="1">
        <v>1219</v>
      </c>
      <c r="K1793" s="13" t="s" ph="1">
        <v>7754</v>
      </c>
      <c r="L1793" s="13" t="s" ph="1">
        <v>7755</v>
      </c>
      <c r="M1793" s="14" t="str" ph="1">
        <f>IFERROR(INDEX([1]!_born[生没年],
MATCH(I1793,[1]!_born[作],0)),"")</f>
        <v/>
      </c>
      <c r="N1793" s="14" t="str" ph="1">
        <f>IFERROR(INDEX([1]!_born[生没年],
MATCH(K1793,[1]!_born[作],0)),"")</f>
        <v/>
      </c>
      <c r="O1793" s="13" t="s" ph="1">
        <v>7756</v>
      </c>
      <c r="S1793" s="13" t="s" ph="1">
        <v>7757</v>
      </c>
      <c r="T1793" s="13" t="s" ph="1">
        <v>7758</v>
      </c>
      <c r="U1793" s="16" ph="1">
        <v>38588</v>
      </c>
      <c r="V1793" s="17" ph="1">
        <v>1100</v>
      </c>
      <c r="W1793" s="17" ph="1">
        <f>1950/3</f>
        <v>650</v>
      </c>
      <c r="X1793" s="13" t="s" ph="1">
        <v>3792</v>
      </c>
    </row>
    <row r="1794" spans="1:25" ht="22.5" customHeight="1" ph="1" x14ac:dyDescent="0.35">
      <c r="A1794" s="106" t="s" ph="1">
        <v>1441</v>
      </c>
      <c r="B1794" s="5" t="s" ph="1">
        <v>1439</v>
      </c>
      <c r="C1794" s="13" t="s" ph="1">
        <v>7591</v>
      </c>
      <c r="D1794" s="123" ph="1">
        <v>3</v>
      </c>
      <c r="E1794" s="123" ph="1">
        <v>3</v>
      </c>
      <c r="G1794" s="13" t="s" ph="1">
        <v>7753</v>
      </c>
      <c r="H1794" s="13" t="s" ph="1">
        <v>1219</v>
      </c>
      <c r="K1794" s="13" t="s" ph="1">
        <v>7754</v>
      </c>
      <c r="L1794" s="13" t="s" ph="1">
        <v>7755</v>
      </c>
      <c r="M1794" s="14" t="str" ph="1">
        <f>IFERROR(INDEX([1]!_born[生没年],
MATCH(I1794,[1]!_born[作],0)),"")</f>
        <v/>
      </c>
      <c r="N1794" s="14" t="str" ph="1">
        <f>IFERROR(INDEX([1]!_born[生没年],
MATCH(K1794,[1]!_born[作],0)),"")</f>
        <v/>
      </c>
      <c r="O1794" s="13" t="s" ph="1">
        <v>7756</v>
      </c>
      <c r="S1794" s="13" t="s" ph="1">
        <v>7757</v>
      </c>
      <c r="T1794" s="13" t="s" ph="1">
        <v>7758</v>
      </c>
      <c r="U1794" s="16" ph="1">
        <v>38588</v>
      </c>
      <c r="V1794" s="17" ph="1">
        <v>1150</v>
      </c>
      <c r="W1794" s="17" ph="1">
        <f>1950/3</f>
        <v>650</v>
      </c>
      <c r="X1794" s="13" t="s" ph="1">
        <v>3792</v>
      </c>
    </row>
    <row r="1795" spans="1:25" ht="22.5" customHeight="1" ph="1" x14ac:dyDescent="0.35">
      <c r="C1795" s="13" t="s" ph="1">
        <v>7591</v>
      </c>
      <c r="G1795" s="13" t="s" ph="1">
        <v>7759</v>
      </c>
      <c r="H1795" s="13" t="s" ph="1">
        <v>1219</v>
      </c>
      <c r="K1795" s="13" t="s" ph="1">
        <v>7760</v>
      </c>
      <c r="L1795" s="13" t="s" ph="1">
        <v>3628</v>
      </c>
      <c r="M1795" s="14" t="str" ph="1">
        <f>IFERROR(INDEX([1]!_born[生没年],
MATCH(I1795,[1]!_born[作],0)),"")</f>
        <v/>
      </c>
      <c r="N1795" s="14" t="str" ph="1">
        <f>IFERROR(INDEX([1]!_born[生没年],
MATCH(K1795,[1]!_born[作],0)),"")</f>
        <v/>
      </c>
      <c r="O1795" s="13" t="s" ph="1">
        <v>7761</v>
      </c>
      <c r="T1795" s="13" t="s" ph="1">
        <v>7730</v>
      </c>
    </row>
    <row r="1796" spans="1:25" ht="22.5" customHeight="1" ph="1" x14ac:dyDescent="0.35">
      <c r="C1796" s="13" t="s" ph="1">
        <v>7591</v>
      </c>
      <c r="G1796" s="13" t="s" ph="1">
        <v>7753</v>
      </c>
      <c r="H1796" s="13" t="s" ph="1">
        <v>1219</v>
      </c>
      <c r="K1796" s="13" t="s" ph="1">
        <v>7762</v>
      </c>
      <c r="L1796" s="13" t="s" ph="1">
        <v>7755</v>
      </c>
      <c r="M1796" s="14" t="str" ph="1">
        <f>IFERROR(INDEX([1]!_born[生没年],
MATCH(I1796,[1]!_born[作],0)),"")</f>
        <v/>
      </c>
      <c r="N1796" s="14" t="str" ph="1">
        <f>IFERROR(INDEX([1]!_born[生没年],
MATCH(K1796,[1]!_born[作],0)),"")</f>
        <v/>
      </c>
      <c r="O1796" s="13" t="s" ph="1">
        <v>7763</v>
      </c>
      <c r="T1796" s="13" t="s" ph="1">
        <v>7599</v>
      </c>
    </row>
    <row r="1797" spans="1:25" ht="22.5" customHeight="1" ph="1" x14ac:dyDescent="0.35">
      <c r="C1797" s="13" t="s" ph="1">
        <v>7591</v>
      </c>
      <c r="G1797" s="13" t="s" ph="1">
        <v>7753</v>
      </c>
      <c r="H1797" s="13" t="s" ph="1">
        <v>1219</v>
      </c>
      <c r="I1797" s="13" t="s" ph="1">
        <v>7764</v>
      </c>
      <c r="M1797" s="14" t="str" ph="1">
        <f>IFERROR(INDEX([1]!_born[生没年],
MATCH(I1797,[1]!_born[作],0)),"")</f>
        <v/>
      </c>
      <c r="N1797" s="14" t="str" ph="1">
        <f>IFERROR(INDEX([1]!_born[生没年],
MATCH(K1797,[1]!_born[作],0)),"")</f>
        <v/>
      </c>
      <c r="O1797" s="13" t="s" ph="1">
        <v>7765</v>
      </c>
      <c r="T1797" s="13" t="s" ph="1">
        <v>7730</v>
      </c>
      <c r="U1797" s="16" ph="1">
        <v>36760</v>
      </c>
      <c r="V1797" s="17" ph="1">
        <f>880*1.05</f>
        <v>924</v>
      </c>
      <c r="W1797" s="17" ph="1">
        <f>880*1.05</f>
        <v>924</v>
      </c>
      <c r="X1797" s="13" t="s" ph="1">
        <v>3802</v>
      </c>
    </row>
    <row r="1798" spans="1:25" ht="22.5" customHeight="1" ph="1" x14ac:dyDescent="0.35">
      <c r="C1798" s="13" t="s" ph="1">
        <v>7591</v>
      </c>
      <c r="D1798" s="123" ph="1">
        <v>1</v>
      </c>
      <c r="E1798" s="123" ph="1">
        <v>10</v>
      </c>
      <c r="G1798" s="13" t="s" ph="1">
        <v>7759</v>
      </c>
      <c r="H1798" s="13" t="s" ph="1">
        <v>1219</v>
      </c>
      <c r="I1798" s="13" t="s" ph="1">
        <v>5701</v>
      </c>
      <c r="K1798" s="13" t="s" ph="1">
        <v>7766</v>
      </c>
      <c r="L1798" s="13" t="s" ph="1">
        <v>7597</v>
      </c>
      <c r="M1798" s="14" t="str" ph="1">
        <f>IFERROR(INDEX([1]!_born[生没年],
MATCH(I1798,[1]!_born[作],0)),"")</f>
        <v/>
      </c>
      <c r="N1798" s="14" t="str" ph="1">
        <f>IFERROR(INDEX([1]!_born[生没年],
MATCH(K1798,[1]!_born[作],0)),"")</f>
        <v/>
      </c>
      <c r="O1798" s="13" t="s" ph="1">
        <v>7767</v>
      </c>
      <c r="T1798" s="13" t="s" ph="1">
        <v>7599</v>
      </c>
    </row>
    <row r="1799" spans="1:25" ht="22.5" customHeight="1" ph="1" x14ac:dyDescent="0.35">
      <c r="C1799" s="13" t="s" ph="1">
        <v>7591</v>
      </c>
      <c r="D1799" s="123" ph="1">
        <v>2</v>
      </c>
      <c r="E1799" s="123" ph="1">
        <v>10</v>
      </c>
      <c r="G1799" s="13" t="s" ph="1">
        <v>7759</v>
      </c>
      <c r="H1799" s="13" t="s" ph="1">
        <v>1219</v>
      </c>
      <c r="I1799" s="13" t="s" ph="1">
        <v>5701</v>
      </c>
      <c r="K1799" s="13" t="s" ph="1">
        <v>7766</v>
      </c>
      <c r="L1799" s="13" t="s" ph="1">
        <v>7597</v>
      </c>
      <c r="M1799" s="14" t="str" ph="1">
        <f>IFERROR(INDEX([1]!_born[生没年],
MATCH(I1799,[1]!_born[作],0)),"")</f>
        <v/>
      </c>
      <c r="N1799" s="14" t="str" ph="1">
        <f>IFERROR(INDEX([1]!_born[生没年],
MATCH(K1799,[1]!_born[作],0)),"")</f>
        <v/>
      </c>
      <c r="O1799" s="13" t="s" ph="1">
        <v>7767</v>
      </c>
      <c r="T1799" s="13" t="s" ph="1">
        <v>7599</v>
      </c>
    </row>
    <row r="1800" spans="1:25" ht="22.5" customHeight="1" ph="1" x14ac:dyDescent="0.35">
      <c r="C1800" s="13" t="s" ph="1">
        <v>7591</v>
      </c>
      <c r="D1800" s="123" ph="1">
        <v>3</v>
      </c>
      <c r="E1800" s="123" ph="1">
        <v>10</v>
      </c>
      <c r="G1800" s="13" t="s" ph="1">
        <v>7759</v>
      </c>
      <c r="H1800" s="13" t="s" ph="1">
        <v>1219</v>
      </c>
      <c r="I1800" s="13" t="s" ph="1">
        <v>5701</v>
      </c>
      <c r="K1800" s="13" t="s" ph="1">
        <v>7766</v>
      </c>
      <c r="L1800" s="13" t="s" ph="1">
        <v>7597</v>
      </c>
      <c r="M1800" s="14" t="str" ph="1">
        <f>IFERROR(INDEX([1]!_born[生没年],
MATCH(I1800,[1]!_born[作],0)),"")</f>
        <v/>
      </c>
      <c r="N1800" s="14" t="str" ph="1">
        <f>IFERROR(INDEX([1]!_born[生没年],
MATCH(K1800,[1]!_born[作],0)),"")</f>
        <v/>
      </c>
      <c r="O1800" s="13" t="s" ph="1">
        <v>7767</v>
      </c>
      <c r="T1800" s="13" t="s" ph="1">
        <v>7599</v>
      </c>
    </row>
    <row r="1801" spans="1:25" ht="22.5" customHeight="1" ph="1" x14ac:dyDescent="0.35">
      <c r="C1801" s="13" t="s" ph="1">
        <v>7591</v>
      </c>
      <c r="D1801" s="123" ph="1">
        <v>4</v>
      </c>
      <c r="E1801" s="123" ph="1">
        <v>10</v>
      </c>
      <c r="G1801" s="13" t="s" ph="1">
        <v>7759</v>
      </c>
      <c r="H1801" s="13" t="s" ph="1">
        <v>1219</v>
      </c>
      <c r="I1801" s="13" t="s" ph="1">
        <v>5701</v>
      </c>
      <c r="K1801" s="13" t="s" ph="1">
        <v>7766</v>
      </c>
      <c r="L1801" s="13" t="s" ph="1">
        <v>7597</v>
      </c>
      <c r="M1801" s="14" t="str" ph="1">
        <f>IFERROR(INDEX([1]!_born[生没年],
MATCH(I1801,[1]!_born[作],0)),"")</f>
        <v/>
      </c>
      <c r="N1801" s="14" t="str" ph="1">
        <f>IFERROR(INDEX([1]!_born[生没年],
MATCH(K1801,[1]!_born[作],0)),"")</f>
        <v/>
      </c>
      <c r="O1801" s="13" t="s" ph="1">
        <v>7767</v>
      </c>
      <c r="T1801" s="13" t="s" ph="1">
        <v>7599</v>
      </c>
    </row>
    <row r="1802" spans="1:25" ht="22.5" customHeight="1" ph="1" x14ac:dyDescent="0.35">
      <c r="C1802" s="13" t="s" ph="1">
        <v>7591</v>
      </c>
      <c r="D1802" s="123" ph="1">
        <v>5</v>
      </c>
      <c r="E1802" s="123" ph="1">
        <v>10</v>
      </c>
      <c r="G1802" s="13" t="s" ph="1">
        <v>7759</v>
      </c>
      <c r="H1802" s="13" t="s" ph="1">
        <v>1219</v>
      </c>
      <c r="I1802" s="13" t="s" ph="1">
        <v>5701</v>
      </c>
      <c r="K1802" s="13" t="s" ph="1">
        <v>7766</v>
      </c>
      <c r="L1802" s="13" t="s" ph="1">
        <v>7597</v>
      </c>
      <c r="M1802" s="14" t="str" ph="1">
        <f>IFERROR(INDEX([1]!_born[生没年],
MATCH(I1802,[1]!_born[作],0)),"")</f>
        <v/>
      </c>
      <c r="N1802" s="14" t="str" ph="1">
        <f>IFERROR(INDEX([1]!_born[生没年],
MATCH(K1802,[1]!_born[作],0)),"")</f>
        <v/>
      </c>
      <c r="O1802" s="13" t="s" ph="1">
        <v>7767</v>
      </c>
      <c r="T1802" s="13" t="s" ph="1">
        <v>7599</v>
      </c>
    </row>
    <row r="1803" spans="1:25" ht="22.5" customHeight="1" ph="1" x14ac:dyDescent="0.35">
      <c r="C1803" s="13" t="s" ph="1">
        <v>7591</v>
      </c>
      <c r="D1803" s="123" ph="1">
        <v>6</v>
      </c>
      <c r="E1803" s="123" ph="1">
        <v>10</v>
      </c>
      <c r="G1803" s="13" t="s" ph="1">
        <v>7759</v>
      </c>
      <c r="H1803" s="13" t="s" ph="1">
        <v>1219</v>
      </c>
      <c r="I1803" s="13" t="s" ph="1">
        <v>5701</v>
      </c>
      <c r="K1803" s="13" t="s" ph="1">
        <v>7766</v>
      </c>
      <c r="L1803" s="13" t="s" ph="1">
        <v>7597</v>
      </c>
      <c r="M1803" s="14" t="str" ph="1">
        <f>IFERROR(INDEX([1]!_born[生没年],
MATCH(I1803,[1]!_born[作],0)),"")</f>
        <v/>
      </c>
      <c r="N1803" s="14" t="str" ph="1">
        <f>IFERROR(INDEX([1]!_born[生没年],
MATCH(K1803,[1]!_born[作],0)),"")</f>
        <v/>
      </c>
      <c r="O1803" s="13" t="s" ph="1">
        <v>7767</v>
      </c>
      <c r="S1803" s="13" t="s" ph="1">
        <v>4969</v>
      </c>
      <c r="T1803" s="13" t="s" ph="1">
        <v>7599</v>
      </c>
      <c r="U1803" s="16" ph="1">
        <v>36839</v>
      </c>
      <c r="W1803" s="17" ph="1">
        <v>500</v>
      </c>
      <c r="X1803" s="13" t="s" ph="1">
        <v>5452</v>
      </c>
    </row>
    <row r="1804" spans="1:25" ht="22.5" customHeight="1" ph="1" x14ac:dyDescent="0.35">
      <c r="C1804" s="13" t="s" ph="1">
        <v>7591</v>
      </c>
      <c r="D1804" s="123" ph="1">
        <v>7</v>
      </c>
      <c r="E1804" s="123" ph="1">
        <v>10</v>
      </c>
      <c r="G1804" s="13" t="s" ph="1">
        <v>7759</v>
      </c>
      <c r="H1804" s="13" t="s" ph="1">
        <v>1219</v>
      </c>
      <c r="I1804" s="13" t="s" ph="1">
        <v>5701</v>
      </c>
      <c r="K1804" s="13" t="s" ph="1">
        <v>7766</v>
      </c>
      <c r="L1804" s="13" t="s" ph="1">
        <v>7597</v>
      </c>
      <c r="M1804" s="14" t="str" ph="1">
        <f>IFERROR(INDEX([1]!_born[生没年],
MATCH(I1804,[1]!_born[作],0)),"")</f>
        <v/>
      </c>
      <c r="N1804" s="14" t="str" ph="1">
        <f>IFERROR(INDEX([1]!_born[生没年],
MATCH(K1804,[1]!_born[作],0)),"")</f>
        <v/>
      </c>
      <c r="O1804" s="13" t="s" ph="1">
        <v>7767</v>
      </c>
      <c r="S1804" s="13" t="s" ph="1">
        <v>4969</v>
      </c>
      <c r="T1804" s="13" t="s" ph="1">
        <v>7599</v>
      </c>
      <c r="U1804" s="16" ph="1">
        <v>36839</v>
      </c>
      <c r="W1804" s="17" ph="1">
        <v>500</v>
      </c>
      <c r="X1804" s="13" t="s" ph="1">
        <v>5452</v>
      </c>
    </row>
    <row r="1805" spans="1:25" ht="22.5" customHeight="1" ph="1" x14ac:dyDescent="0.35">
      <c r="C1805" s="13" t="s" ph="1">
        <v>7591</v>
      </c>
      <c r="D1805" s="123" ph="1">
        <v>8</v>
      </c>
      <c r="E1805" s="123" ph="1">
        <v>10</v>
      </c>
      <c r="G1805" s="13" t="s" ph="1">
        <v>7759</v>
      </c>
      <c r="H1805" s="13" t="s" ph="1">
        <v>1219</v>
      </c>
      <c r="I1805" s="13" t="s" ph="1">
        <v>5701</v>
      </c>
      <c r="K1805" s="13" t="s" ph="1">
        <v>7766</v>
      </c>
      <c r="L1805" s="13" t="s" ph="1">
        <v>7597</v>
      </c>
      <c r="M1805" s="14" t="str" ph="1">
        <f>IFERROR(INDEX([1]!_born[生没年],
MATCH(I1805,[1]!_born[作],0)),"")</f>
        <v/>
      </c>
      <c r="N1805" s="14" t="str" ph="1">
        <f>IFERROR(INDEX([1]!_born[生没年],
MATCH(K1805,[1]!_born[作],0)),"")</f>
        <v/>
      </c>
      <c r="O1805" s="13" t="s" ph="1">
        <v>7767</v>
      </c>
      <c r="S1805" s="13" t="s" ph="1">
        <v>4969</v>
      </c>
      <c r="T1805" s="13" t="s" ph="1">
        <v>7599</v>
      </c>
      <c r="U1805" s="16" ph="1">
        <v>36839</v>
      </c>
      <c r="W1805" s="17" ph="1">
        <v>500</v>
      </c>
      <c r="X1805" s="13" t="s" ph="1">
        <v>5452</v>
      </c>
    </row>
    <row r="1806" spans="1:25" ht="22.5" customHeight="1" ph="1" x14ac:dyDescent="0.35">
      <c r="C1806" s="13" t="s" ph="1">
        <v>7591</v>
      </c>
      <c r="D1806" s="123" ph="1">
        <v>9</v>
      </c>
      <c r="E1806" s="123" ph="1">
        <v>10</v>
      </c>
      <c r="G1806" s="13" t="s" ph="1">
        <v>7759</v>
      </c>
      <c r="H1806" s="13" t="s" ph="1">
        <v>1219</v>
      </c>
      <c r="I1806" s="13" t="s" ph="1">
        <v>5701</v>
      </c>
      <c r="K1806" s="13" t="s" ph="1">
        <v>7766</v>
      </c>
      <c r="L1806" s="13" t="s" ph="1">
        <v>7597</v>
      </c>
      <c r="M1806" s="14" t="str" ph="1">
        <f>IFERROR(INDEX([1]!_born[生没年],
MATCH(I1806,[1]!_born[作],0)),"")</f>
        <v/>
      </c>
      <c r="N1806" s="14" t="str" ph="1">
        <f>IFERROR(INDEX([1]!_born[生没年],
MATCH(K1806,[1]!_born[作],0)),"")</f>
        <v/>
      </c>
      <c r="O1806" s="13" t="s" ph="1">
        <v>7767</v>
      </c>
      <c r="S1806" s="13" t="s" ph="1">
        <v>4969</v>
      </c>
      <c r="T1806" s="13" t="s" ph="1">
        <v>7599</v>
      </c>
      <c r="U1806" s="16" ph="1">
        <v>36839</v>
      </c>
      <c r="W1806" s="17" ph="1">
        <v>500</v>
      </c>
      <c r="X1806" s="13" t="s" ph="1">
        <v>5452</v>
      </c>
    </row>
    <row r="1807" spans="1:25" ht="22.5" customHeight="1" ph="1" x14ac:dyDescent="0.35">
      <c r="C1807" s="13" t="s" ph="1">
        <v>7591</v>
      </c>
      <c r="D1807" s="123" ph="1">
        <v>10</v>
      </c>
      <c r="E1807" s="123" ph="1">
        <v>10</v>
      </c>
      <c r="G1807" s="13" t="s" ph="1">
        <v>7759</v>
      </c>
      <c r="H1807" s="13" t="s" ph="1">
        <v>1219</v>
      </c>
      <c r="I1807" s="13" t="s" ph="1">
        <v>5701</v>
      </c>
      <c r="K1807" s="13" t="s" ph="1">
        <v>7766</v>
      </c>
      <c r="L1807" s="13" t="s" ph="1">
        <v>7597</v>
      </c>
      <c r="M1807" s="14" t="str" ph="1">
        <f>IFERROR(INDEX([1]!_born[生没年],
MATCH(I1807,[1]!_born[作],0)),"")</f>
        <v/>
      </c>
      <c r="N1807" s="14" t="str" ph="1">
        <f>IFERROR(INDEX([1]!_born[生没年],
MATCH(K1807,[1]!_born[作],0)),"")</f>
        <v/>
      </c>
      <c r="O1807" s="13" t="s" ph="1">
        <v>7767</v>
      </c>
      <c r="S1807" s="13" t="s" ph="1">
        <v>4969</v>
      </c>
      <c r="T1807" s="13" t="s" ph="1">
        <v>7599</v>
      </c>
      <c r="U1807" s="16" ph="1">
        <v>36839</v>
      </c>
      <c r="W1807" s="17" ph="1">
        <v>500</v>
      </c>
      <c r="X1807" s="13" t="s" ph="1">
        <v>5452</v>
      </c>
    </row>
    <row r="1808" spans="1:25" ht="22.5" customHeight="1" ph="1" x14ac:dyDescent="0.35">
      <c r="A1808" s="106" t="s" ph="1">
        <v>2832</v>
      </c>
      <c r="B1808" s="5" t="s" ph="1">
        <v>1448</v>
      </c>
      <c r="C1808" s="13" t="s" ph="1">
        <v>7591</v>
      </c>
      <c r="G1808" s="13" t="s" ph="1">
        <v>4758</v>
      </c>
      <c r="H1808" s="13" t="s" ph="1">
        <v>61</v>
      </c>
      <c r="I1808" s="13" t="s" ph="1">
        <v>7768</v>
      </c>
      <c r="M1808" s="14" t="str" ph="1">
        <f>IFERROR(INDEX([1]!_born[生没年],
MATCH(I1808,[1]!_born[作],0)),"")</f>
        <v/>
      </c>
      <c r="N1808" s="14" t="str" ph="1">
        <f>IFERROR(INDEX([1]!_born[生没年],
MATCH(K1808,[1]!_born[作],0)),"")</f>
        <v/>
      </c>
      <c r="O1808" s="13" t="s" ph="1">
        <v>7769</v>
      </c>
      <c r="R1808" s="16" t="s" ph="1">
        <v>2833</v>
      </c>
      <c r="T1808" s="13" t="s" ph="1">
        <v>7770</v>
      </c>
      <c r="U1808" s="16" t="s" ph="1">
        <v>2797</v>
      </c>
      <c r="V1808" s="17" ph="1">
        <f>648*1.05</f>
        <v>680.4</v>
      </c>
      <c r="W1808" s="17" t="s" ph="1">
        <v>1225</v>
      </c>
      <c r="X1808" s="13" t="s" ph="1">
        <v>1225</v>
      </c>
      <c r="Y1808" s="13" t="s" ph="1">
        <v>6627</v>
      </c>
    </row>
    <row r="1809" spans="3:25" ht="22.5" customHeight="1" ph="1" x14ac:dyDescent="0.35">
      <c r="C1809" s="13" t="s" ph="1">
        <v>7591</v>
      </c>
      <c r="G1809" s="13" t="s" ph="1">
        <v>4758</v>
      </c>
      <c r="H1809" s="13" t="s" ph="1">
        <v>1219</v>
      </c>
      <c r="I1809" s="13" t="s" ph="1">
        <v>7771</v>
      </c>
      <c r="M1809" s="14" t="str" ph="1">
        <f>IFERROR(INDEX([1]!_born[生没年],
MATCH(I1809,[1]!_born[作],0)),"")</f>
        <v/>
      </c>
      <c r="N1809" s="14" t="str" ph="1">
        <f>IFERROR(INDEX([1]!_born[生没年],
MATCH(K1809,[1]!_born[作],0)),"")</f>
        <v/>
      </c>
      <c r="O1809" s="13" t="s" ph="1">
        <v>7772</v>
      </c>
      <c r="T1809" s="13" t="s" ph="1">
        <v>7614</v>
      </c>
    </row>
    <row r="1810" spans="3:25" ht="22.5" customHeight="1" ph="1" x14ac:dyDescent="0.35">
      <c r="C1810" s="13" t="s" ph="1">
        <v>7591</v>
      </c>
      <c r="G1810" s="13" t="s" ph="1">
        <v>1218</v>
      </c>
      <c r="H1810" s="13" t="s" ph="1">
        <v>1219</v>
      </c>
      <c r="I1810" s="15" t="s" ph="1">
        <v>7773</v>
      </c>
      <c r="M1810" s="14" t="str" ph="1">
        <f>IFERROR(INDEX([1]!_born[生没年],
MATCH(I1810,[1]!_born[作],0)),"")</f>
        <v/>
      </c>
      <c r="N1810" s="14" t="str" ph="1">
        <f>IFERROR(INDEX([1]!_born[生没年],
MATCH(K1810,[1]!_born[作],0)),"")</f>
        <v/>
      </c>
      <c r="O1810" s="15" t="s" ph="1">
        <v>7774</v>
      </c>
      <c r="T1810" s="13" t="s" ph="1">
        <v>7730</v>
      </c>
      <c r="U1810" s="16" t="s" ph="1">
        <v>1217</v>
      </c>
      <c r="V1810" s="17" ph="1">
        <v>780</v>
      </c>
    </row>
    <row r="1811" spans="3:25" ht="22.5" customHeight="1" ph="1" x14ac:dyDescent="0.35">
      <c r="C1811" s="13" t="s" ph="1">
        <v>7591</v>
      </c>
      <c r="G1811" s="13" t="s" ph="1">
        <v>1218</v>
      </c>
      <c r="H1811" s="13" t="s" ph="1">
        <v>1219</v>
      </c>
      <c r="I1811" s="13" t="s" ph="1">
        <v>5831</v>
      </c>
      <c r="M1811" s="14" t="str" ph="1">
        <f>IFERROR(INDEX([1]!_born[生没年],
MATCH(I1811,[1]!_born[作],0)),"")</f>
        <v/>
      </c>
      <c r="N1811" s="14" t="str" ph="1">
        <f>IFERROR(INDEX([1]!_born[生没年],
MATCH(K1811,[1]!_born[作],0)),"")</f>
        <v/>
      </c>
      <c r="O1811" s="13" t="s" ph="1">
        <v>7775</v>
      </c>
      <c r="T1811" s="13" t="s" ph="1">
        <v>5147</v>
      </c>
      <c r="U1811" s="16" t="s" ph="1">
        <v>1217</v>
      </c>
      <c r="V1811" s="17" ph="1">
        <v>400</v>
      </c>
    </row>
    <row r="1812" spans="3:25" ht="22.5" customHeight="1" ph="1" x14ac:dyDescent="0.35">
      <c r="C1812" s="13" t="s" ph="1">
        <v>7591</v>
      </c>
      <c r="G1812" s="13" t="s" ph="1">
        <v>4758</v>
      </c>
      <c r="H1812" s="13" t="s" ph="1">
        <v>1219</v>
      </c>
      <c r="I1812" s="13" t="s" ph="1">
        <v>7776</v>
      </c>
      <c r="M1812" s="14" t="str" ph="1">
        <f>IFERROR(INDEX([1]!_born[生没年],
MATCH(I1812,[1]!_born[作],0)),"")</f>
        <v/>
      </c>
      <c r="N1812" s="14" t="str" ph="1">
        <f>IFERROR(INDEX([1]!_born[生没年],
MATCH(K1812,[1]!_born[作],0)),"")</f>
        <v/>
      </c>
      <c r="O1812" s="13" t="s" ph="1">
        <v>7777</v>
      </c>
      <c r="T1812" s="13" t="s" ph="1">
        <v>7375</v>
      </c>
    </row>
    <row r="1813" spans="3:25" ht="22.5" customHeight="1" ph="1" x14ac:dyDescent="0.35">
      <c r="C1813" s="13" t="s" ph="1">
        <v>7591</v>
      </c>
      <c r="G1813" s="13" t="s" ph="1">
        <v>4758</v>
      </c>
      <c r="H1813" s="13" t="s" ph="1">
        <v>1219</v>
      </c>
      <c r="I1813" s="13" t="s" ph="1">
        <v>7778</v>
      </c>
      <c r="M1813" s="14" t="str" ph="1">
        <f>IFERROR(INDEX([1]!_born[生没年],
MATCH(I1813,[1]!_born[作],0)),"")</f>
        <v/>
      </c>
      <c r="N1813" s="14" t="str" ph="1">
        <f>IFERROR(INDEX([1]!_born[生没年],
MATCH(K1813,[1]!_born[作],0)),"")</f>
        <v/>
      </c>
      <c r="O1813" s="13" t="s" ph="1">
        <v>7779</v>
      </c>
      <c r="R1813" s="16" t="s" ph="1">
        <v>1442</v>
      </c>
      <c r="T1813" s="13" t="s" ph="1">
        <v>7780</v>
      </c>
      <c r="U1813" s="16" ph="1">
        <v>37135</v>
      </c>
      <c r="V1813" s="17" ph="1">
        <f>520*1.05</f>
        <v>546</v>
      </c>
      <c r="W1813" s="17" ph="1">
        <f>520*1.05</f>
        <v>546</v>
      </c>
    </row>
    <row r="1814" spans="3:25" ht="22.5" customHeight="1" ph="1" x14ac:dyDescent="0.35">
      <c r="C1814" s="13" t="s" ph="1">
        <v>7591</v>
      </c>
      <c r="G1814" s="13" t="s" ph="1">
        <v>4758</v>
      </c>
      <c r="H1814" s="13" t="s" ph="1">
        <v>1219</v>
      </c>
      <c r="I1814" s="13" t="s" ph="1">
        <v>7781</v>
      </c>
      <c r="M1814" s="14" t="str" ph="1">
        <f>IFERROR(INDEX([1]!_born[生没年],
MATCH(I1814,[1]!_born[作],0)),"")</f>
        <v/>
      </c>
      <c r="N1814" s="14" t="str" ph="1">
        <f>IFERROR(INDEX([1]!_born[生没年],
MATCH(K1814,[1]!_born[作],0)),"")</f>
        <v/>
      </c>
      <c r="O1814" s="13" t="s" ph="1">
        <v>7782</v>
      </c>
      <c r="T1814" s="13" t="s" ph="1">
        <v>7783</v>
      </c>
    </row>
    <row r="1815" spans="3:25" ht="22.5" customHeight="1" ph="1" x14ac:dyDescent="0.35">
      <c r="C1815" s="13" t="s" ph="1">
        <v>7591</v>
      </c>
      <c r="G1815" s="13" t="s" ph="1">
        <v>5796</v>
      </c>
      <c r="H1815" s="13" t="s" ph="1">
        <v>1219</v>
      </c>
      <c r="I1815" s="13" t="s" ph="1">
        <v>7784</v>
      </c>
      <c r="J1815" s="13" t="s" ph="1">
        <v>6107</v>
      </c>
      <c r="K1815" s="13" t="s" ph="1">
        <v>7785</v>
      </c>
      <c r="L1815" s="13" t="s" ph="1">
        <v>7786</v>
      </c>
      <c r="M1815" s="14" t="str" ph="1">
        <f>IFERROR(INDEX([1]!_born[生没年],
MATCH(I1815,[1]!_born[作],0)),"")</f>
        <v/>
      </c>
      <c r="N1815" s="14" t="str" ph="1">
        <f>IFERROR(INDEX([1]!_born[生没年],
MATCH(K1815,[1]!_born[作],0)),"")</f>
        <v/>
      </c>
      <c r="O1815" s="13" t="s" ph="1">
        <v>407</v>
      </c>
      <c r="T1815" s="13" t="s" ph="1">
        <v>7611</v>
      </c>
      <c r="V1815" s="17" ph="1">
        <v>560</v>
      </c>
      <c r="W1815" s="17" ph="1">
        <v>190</v>
      </c>
    </row>
    <row r="1816" spans="3:25" ht="22.5" customHeight="1" ph="1" x14ac:dyDescent="0.35">
      <c r="C1816" s="13" t="s" ph="1">
        <v>7591</v>
      </c>
      <c r="G1816" s="13" t="s" ph="1">
        <v>3599</v>
      </c>
      <c r="H1816" s="13" t="s" ph="1">
        <v>1219</v>
      </c>
      <c r="I1816" s="13" t="s" ph="1">
        <v>4818</v>
      </c>
      <c r="M1816" s="14" t="str" ph="1">
        <f>IFERROR(INDEX([1]!_born[生没年],
MATCH(I1816,[1]!_born[作],0)),"")</f>
        <v/>
      </c>
      <c r="N1816" s="14" t="str" ph="1">
        <f>IFERROR(INDEX([1]!_born[生没年],
MATCH(K1816,[1]!_born[作],0)),"")</f>
        <v/>
      </c>
      <c r="O1816" s="15" t="s" ph="1">
        <v>7787</v>
      </c>
      <c r="T1816" s="13" t="s" ph="1">
        <v>7788</v>
      </c>
      <c r="W1816" s="17"/>
      <c r="X1816" s="5" t="s" ph="1">
        <v>7789</v>
      </c>
      <c r="Y1816" s="5" t="s" ph="1">
        <v>7789</v>
      </c>
    </row>
    <row r="1817" spans="3:25" ht="22.5" customHeight="1" ph="1" x14ac:dyDescent="0.35">
      <c r="C1817" s="13" t="s" ph="1">
        <v>7591</v>
      </c>
      <c r="G1817" s="13" t="s" ph="1">
        <v>4758</v>
      </c>
      <c r="H1817" s="13" t="s" ph="1">
        <v>1219</v>
      </c>
      <c r="I1817" s="13" t="s" ph="1">
        <v>4818</v>
      </c>
      <c r="M1817" s="14" t="str" ph="1">
        <f>IFERROR(INDEX([1]!_born[生没年],
MATCH(I1817,[1]!_born[作],0)),"")</f>
        <v/>
      </c>
      <c r="N1817" s="14" t="str" ph="1">
        <f>IFERROR(INDEX([1]!_born[生没年],
MATCH(K1817,[1]!_born[作],0)),"")</f>
        <v/>
      </c>
      <c r="O1817" s="13" t="s" ph="1">
        <v>7790</v>
      </c>
      <c r="T1817" s="13" t="s" ph="1">
        <v>7611</v>
      </c>
    </row>
    <row r="1818" spans="3:25" ht="22.5" customHeight="1" ph="1" x14ac:dyDescent="0.35">
      <c r="C1818" s="13" t="s" ph="1">
        <v>7591</v>
      </c>
      <c r="G1818" s="13" t="s" ph="1">
        <v>4758</v>
      </c>
      <c r="H1818" s="13" t="s" ph="1">
        <v>1219</v>
      </c>
      <c r="I1818" s="13" t="s" ph="1">
        <v>4818</v>
      </c>
      <c r="M1818" s="14" t="str" ph="1">
        <f>IFERROR(INDEX([1]!_born[生没年],
MATCH(I1818,[1]!_born[作],0)),"")</f>
        <v/>
      </c>
      <c r="N1818" s="14" t="str" ph="1">
        <f>IFERROR(INDEX([1]!_born[生没年],
MATCH(K1818,[1]!_born[作],0)),"")</f>
        <v/>
      </c>
      <c r="O1818" s="13" t="s" ph="1">
        <v>7791</v>
      </c>
      <c r="T1818" s="13" t="s" ph="1">
        <v>7611</v>
      </c>
    </row>
    <row r="1819" spans="3:25" ht="22.5" customHeight="1" ph="1" x14ac:dyDescent="0.35">
      <c r="C1819" s="13" t="s" ph="1">
        <v>7591</v>
      </c>
      <c r="D1819" s="123" ph="1">
        <v>1</v>
      </c>
      <c r="E1819" s="123" ph="1">
        <v>2</v>
      </c>
      <c r="G1819" s="13" t="s" ph="1">
        <v>4758</v>
      </c>
      <c r="H1819" s="13" t="s" ph="1">
        <v>1219</v>
      </c>
      <c r="I1819" s="13" t="s" ph="1">
        <v>4818</v>
      </c>
      <c r="M1819" s="14" t="str" ph="1">
        <f>IFERROR(INDEX([1]!_born[生没年],
MATCH(I1819,[1]!_born[作],0)),"")</f>
        <v/>
      </c>
      <c r="N1819" s="14" t="str" ph="1">
        <f>IFERROR(INDEX([1]!_born[生没年],
MATCH(K1819,[1]!_born[作],0)),"")</f>
        <v/>
      </c>
      <c r="O1819" s="13" t="s" ph="1">
        <v>7792</v>
      </c>
      <c r="S1819" s="13" t="s" ph="1">
        <v>4103</v>
      </c>
      <c r="T1819" s="13" t="s" ph="1">
        <v>5147</v>
      </c>
    </row>
    <row r="1820" spans="3:25" ht="22.5" customHeight="1" ph="1" x14ac:dyDescent="0.35">
      <c r="C1820" s="13" t="s" ph="1">
        <v>7591</v>
      </c>
      <c r="D1820" s="123" ph="1">
        <v>2</v>
      </c>
      <c r="E1820" s="123" ph="1">
        <v>2</v>
      </c>
      <c r="G1820" s="13" t="s" ph="1">
        <v>4758</v>
      </c>
      <c r="H1820" s="13" t="s" ph="1">
        <v>1219</v>
      </c>
      <c r="I1820" s="13" t="s" ph="1">
        <v>4818</v>
      </c>
      <c r="M1820" s="14" t="str" ph="1">
        <f>IFERROR(INDEX([1]!_born[生没年],
MATCH(I1820,[1]!_born[作],0)),"")</f>
        <v/>
      </c>
      <c r="N1820" s="14" t="str" ph="1">
        <f>IFERROR(INDEX([1]!_born[生没年],
MATCH(K1820,[1]!_born[作],0)),"")</f>
        <v/>
      </c>
      <c r="O1820" s="13" t="s" ph="1">
        <v>7792</v>
      </c>
      <c r="S1820" s="13" t="s" ph="1">
        <v>4103</v>
      </c>
      <c r="T1820" s="13" t="s" ph="1">
        <v>5147</v>
      </c>
    </row>
    <row r="1821" spans="3:25" ht="22.5" customHeight="1" ph="1" x14ac:dyDescent="0.35">
      <c r="C1821" s="13" t="s" ph="1">
        <v>7591</v>
      </c>
      <c r="G1821" s="13" t="s" ph="1">
        <v>4758</v>
      </c>
      <c r="H1821" s="13" t="s" ph="1">
        <v>1219</v>
      </c>
      <c r="I1821" s="15" t="s" ph="1">
        <v>4810</v>
      </c>
      <c r="M1821" s="14" t="str" ph="1">
        <f>IFERROR(INDEX([1]!_born[生没年],
MATCH(I1821,[1]!_born[作],0)),"")</f>
        <v/>
      </c>
      <c r="N1821" s="14" t="str" ph="1">
        <f>IFERROR(INDEX([1]!_born[生没年],
MATCH(K1821,[1]!_born[作],0)),"")</f>
        <v/>
      </c>
      <c r="O1821" s="13" t="s" ph="1">
        <v>7793</v>
      </c>
      <c r="T1821" s="13" t="s" ph="1">
        <v>5147</v>
      </c>
    </row>
    <row r="1822" spans="3:25" ht="22.5" customHeight="1" ph="1" x14ac:dyDescent="0.35">
      <c r="C1822" s="13" t="s" ph="1">
        <v>7591</v>
      </c>
      <c r="G1822" s="13" t="s" ph="1">
        <v>4758</v>
      </c>
      <c r="H1822" s="13" t="s" ph="1">
        <v>1219</v>
      </c>
      <c r="I1822" s="15" t="s" ph="1">
        <v>4810</v>
      </c>
      <c r="M1822" s="14" t="str" ph="1">
        <f>IFERROR(INDEX([1]!_born[生没年],
MATCH(I1822,[1]!_born[作],0)),"")</f>
        <v/>
      </c>
      <c r="N1822" s="14" t="str" ph="1">
        <f>IFERROR(INDEX([1]!_born[生没年],
MATCH(K1822,[1]!_born[作],0)),"")</f>
        <v/>
      </c>
      <c r="O1822" s="13" t="s" ph="1">
        <v>7794</v>
      </c>
      <c r="T1822" s="13" t="s" ph="1">
        <v>5147</v>
      </c>
    </row>
    <row r="1823" spans="3:25" ht="22.5" customHeight="1" ph="1" x14ac:dyDescent="0.35">
      <c r="C1823" s="13" t="s" ph="1">
        <v>7591</v>
      </c>
      <c r="G1823" s="13" t="s" ph="1">
        <v>4758</v>
      </c>
      <c r="H1823" s="13" t="s" ph="1">
        <v>1219</v>
      </c>
      <c r="I1823" s="15" t="s" ph="1">
        <v>4810</v>
      </c>
      <c r="M1823" s="14" t="str" ph="1">
        <f>IFERROR(INDEX([1]!_born[生没年],
MATCH(I1823,[1]!_born[作],0)),"")</f>
        <v/>
      </c>
      <c r="N1823" s="14" t="str" ph="1">
        <f>IFERROR(INDEX([1]!_born[生没年],
MATCH(K1823,[1]!_born[作],0)),"")</f>
        <v/>
      </c>
      <c r="O1823" s="13" t="s" ph="1">
        <v>7795</v>
      </c>
      <c r="T1823" s="13" t="s" ph="1">
        <v>5147</v>
      </c>
    </row>
    <row r="1824" spans="3:25" ht="22.5" customHeight="1" ph="1" x14ac:dyDescent="0.35">
      <c r="C1824" s="13" t="s" ph="1">
        <v>7591</v>
      </c>
      <c r="G1824" s="13" t="s" ph="1">
        <v>4758</v>
      </c>
      <c r="H1824" s="13" t="s" ph="1">
        <v>1219</v>
      </c>
      <c r="I1824" s="15" t="s" ph="1">
        <v>4810</v>
      </c>
      <c r="M1824" s="14" t="str" ph="1">
        <f>IFERROR(INDEX([1]!_born[生没年],
MATCH(I1824,[1]!_born[作],0)),"")</f>
        <v/>
      </c>
      <c r="N1824" s="14" t="str" ph="1">
        <f>IFERROR(INDEX([1]!_born[生没年],
MATCH(K1824,[1]!_born[作],0)),"")</f>
        <v/>
      </c>
      <c r="O1824" s="13" t="s" ph="1">
        <v>7796</v>
      </c>
      <c r="T1824" s="13" t="s" ph="1">
        <v>5147</v>
      </c>
    </row>
    <row r="1825" spans="3:22" ht="22.5" customHeight="1" ph="1" x14ac:dyDescent="0.35">
      <c r="C1825" s="13" t="s" ph="1">
        <v>7591</v>
      </c>
      <c r="G1825" s="13" t="s" ph="1">
        <v>4758</v>
      </c>
      <c r="H1825" s="13" t="s" ph="1">
        <v>1219</v>
      </c>
      <c r="I1825" s="15" t="s" ph="1">
        <v>4810</v>
      </c>
      <c r="M1825" s="14" t="str" ph="1">
        <f>IFERROR(INDEX([1]!_born[生没年],
MATCH(I1825,[1]!_born[作],0)),"")</f>
        <v/>
      </c>
      <c r="N1825" s="14" t="str" ph="1">
        <f>IFERROR(INDEX([1]!_born[生没年],
MATCH(K1825,[1]!_born[作],0)),"")</f>
        <v/>
      </c>
      <c r="O1825" s="13" t="s" ph="1">
        <v>7797</v>
      </c>
      <c r="T1825" s="13" t="s" ph="1">
        <v>5147</v>
      </c>
    </row>
    <row r="1826" spans="3:22" ht="22.5" customHeight="1" ph="1" x14ac:dyDescent="0.35">
      <c r="C1826" s="13" t="s" ph="1">
        <v>7591</v>
      </c>
      <c r="G1826" s="13" t="s" ph="1">
        <v>4758</v>
      </c>
      <c r="H1826" s="13" t="s" ph="1">
        <v>1219</v>
      </c>
      <c r="I1826" s="15" t="s" ph="1">
        <v>4810</v>
      </c>
      <c r="M1826" s="14" t="str" ph="1">
        <f>IFERROR(INDEX([1]!_born[生没年],
MATCH(I1826,[1]!_born[作],0)),"")</f>
        <v/>
      </c>
      <c r="N1826" s="14" t="str" ph="1">
        <f>IFERROR(INDEX([1]!_born[生没年],
MATCH(K1826,[1]!_born[作],0)),"")</f>
        <v/>
      </c>
      <c r="O1826" s="13" t="s" ph="1">
        <v>7798</v>
      </c>
      <c r="T1826" s="13" t="s" ph="1">
        <v>5147</v>
      </c>
    </row>
    <row r="1827" spans="3:22" ht="22.5" customHeight="1" ph="1" x14ac:dyDescent="0.35">
      <c r="C1827" s="13" t="s" ph="1">
        <v>7591</v>
      </c>
      <c r="G1827" s="13" t="s" ph="1">
        <v>4758</v>
      </c>
      <c r="H1827" s="13" t="s" ph="1">
        <v>1219</v>
      </c>
      <c r="I1827" s="15" t="s" ph="1">
        <v>4810</v>
      </c>
      <c r="M1827" s="14" t="str" ph="1">
        <f>IFERROR(INDEX([1]!_born[生没年],
MATCH(I1827,[1]!_born[作],0)),"")</f>
        <v/>
      </c>
      <c r="N1827" s="14" t="str" ph="1">
        <f>IFERROR(INDEX([1]!_born[生没年],
MATCH(K1827,[1]!_born[作],0)),"")</f>
        <v/>
      </c>
      <c r="O1827" s="13" t="s" ph="1">
        <v>7799</v>
      </c>
      <c r="T1827" s="13" t="s" ph="1">
        <v>5147</v>
      </c>
    </row>
    <row r="1828" spans="3:22" ht="22.5" customHeight="1" ph="1" x14ac:dyDescent="0.35">
      <c r="C1828" s="13" t="s" ph="1">
        <v>7591</v>
      </c>
      <c r="G1828" s="13" t="s" ph="1">
        <v>4758</v>
      </c>
      <c r="H1828" s="13" t="s" ph="1">
        <v>1219</v>
      </c>
      <c r="I1828" s="15" t="s" ph="1">
        <v>4810</v>
      </c>
      <c r="M1828" s="14" t="str" ph="1">
        <f>IFERROR(INDEX([1]!_born[生没年],
MATCH(I1828,[1]!_born[作],0)),"")</f>
        <v/>
      </c>
      <c r="N1828" s="14" t="str" ph="1">
        <f>IFERROR(INDEX([1]!_born[生没年],
MATCH(K1828,[1]!_born[作],0)),"")</f>
        <v/>
      </c>
      <c r="O1828" s="13" t="s" ph="1">
        <v>7800</v>
      </c>
      <c r="T1828" s="13" t="s" ph="1">
        <v>5147</v>
      </c>
    </row>
    <row r="1829" spans="3:22" ht="22.5" customHeight="1" ph="1" x14ac:dyDescent="0.35">
      <c r="C1829" s="13" t="s" ph="1">
        <v>7591</v>
      </c>
      <c r="G1829" s="13" t="s" ph="1">
        <v>4758</v>
      </c>
      <c r="H1829" s="13" t="s" ph="1">
        <v>1219</v>
      </c>
      <c r="I1829" s="15" t="s" ph="1">
        <v>4810</v>
      </c>
      <c r="M1829" s="14" t="str" ph="1">
        <f>IFERROR(INDEX([1]!_born[生没年],
MATCH(I1829,[1]!_born[作],0)),"")</f>
        <v/>
      </c>
      <c r="N1829" s="14" t="str" ph="1">
        <f>IFERROR(INDEX([1]!_born[生没年],
MATCH(K1829,[1]!_born[作],0)),"")</f>
        <v/>
      </c>
      <c r="O1829" s="13" t="s" ph="1">
        <v>7801</v>
      </c>
      <c r="T1829" s="13" t="s" ph="1">
        <v>5147</v>
      </c>
    </row>
    <row r="1830" spans="3:22" ht="22.5" customHeight="1" ph="1" x14ac:dyDescent="0.35">
      <c r="C1830" s="13" t="s" ph="1">
        <v>7591</v>
      </c>
      <c r="G1830" s="13" t="s" ph="1">
        <v>4758</v>
      </c>
      <c r="H1830" s="13" t="s" ph="1">
        <v>1219</v>
      </c>
      <c r="I1830" s="15" t="s" ph="1">
        <v>4810</v>
      </c>
      <c r="M1830" s="14" t="str" ph="1">
        <f>IFERROR(INDEX([1]!_born[生没年],
MATCH(I1830,[1]!_born[作],0)),"")</f>
        <v/>
      </c>
      <c r="N1830" s="14" t="str" ph="1">
        <f>IFERROR(INDEX([1]!_born[生没年],
MATCH(K1830,[1]!_born[作],0)),"")</f>
        <v/>
      </c>
      <c r="O1830" s="13" t="s" ph="1">
        <v>7802</v>
      </c>
      <c r="T1830" s="13" t="s" ph="1">
        <v>7375</v>
      </c>
    </row>
    <row r="1831" spans="3:22" ht="22.5" customHeight="1" ph="1" x14ac:dyDescent="0.35">
      <c r="C1831" s="13" t="s" ph="1">
        <v>7591</v>
      </c>
      <c r="G1831" s="13" t="s" ph="1">
        <v>4758</v>
      </c>
      <c r="H1831" s="13" t="s" ph="1">
        <v>1219</v>
      </c>
      <c r="I1831" s="15" t="s" ph="1">
        <v>4810</v>
      </c>
      <c r="M1831" s="14" t="str" ph="1">
        <f>IFERROR(INDEX([1]!_born[生没年],
MATCH(I1831,[1]!_born[作],0)),"")</f>
        <v/>
      </c>
      <c r="N1831" s="14" t="str" ph="1">
        <f>IFERROR(INDEX([1]!_born[生没年],
MATCH(K1831,[1]!_born[作],0)),"")</f>
        <v/>
      </c>
      <c r="O1831" s="13" t="s" ph="1">
        <v>7803</v>
      </c>
      <c r="T1831" s="13" t="s" ph="1">
        <v>5147</v>
      </c>
    </row>
    <row r="1832" spans="3:22" ht="22.5" customHeight="1" ph="1" x14ac:dyDescent="0.35">
      <c r="C1832" s="13" t="s" ph="1">
        <v>7591</v>
      </c>
      <c r="G1832" s="13" t="s" ph="1">
        <v>4758</v>
      </c>
      <c r="H1832" s="13" t="s" ph="1">
        <v>1219</v>
      </c>
      <c r="I1832" s="15" t="s" ph="1">
        <v>4810</v>
      </c>
      <c r="M1832" s="14" t="str" ph="1">
        <f>IFERROR(INDEX([1]!_born[生没年],
MATCH(I1832,[1]!_born[作],0)),"")</f>
        <v/>
      </c>
      <c r="N1832" s="14" t="str" ph="1">
        <f>IFERROR(INDEX([1]!_born[生没年],
MATCH(K1832,[1]!_born[作],0)),"")</f>
        <v/>
      </c>
      <c r="O1832" s="13" t="s" ph="1">
        <v>7804</v>
      </c>
      <c r="T1832" s="13" t="s" ph="1">
        <v>5147</v>
      </c>
    </row>
    <row r="1833" spans="3:22" ht="22.5" customHeight="1" ph="1" x14ac:dyDescent="0.35">
      <c r="C1833" s="13" t="s" ph="1">
        <v>7591</v>
      </c>
      <c r="G1833" s="13" t="s" ph="1">
        <v>4758</v>
      </c>
      <c r="H1833" s="13" t="s" ph="1">
        <v>1219</v>
      </c>
      <c r="I1833" s="15" t="s" ph="1">
        <v>4810</v>
      </c>
      <c r="M1833" s="14" t="str" ph="1">
        <f>IFERROR(INDEX([1]!_born[生没年],
MATCH(I1833,[1]!_born[作],0)),"")</f>
        <v/>
      </c>
      <c r="N1833" s="14" t="str" ph="1">
        <f>IFERROR(INDEX([1]!_born[生没年],
MATCH(K1833,[1]!_born[作],0)),"")</f>
        <v/>
      </c>
      <c r="O1833" s="13" t="s" ph="1">
        <v>7805</v>
      </c>
      <c r="T1833" s="13" t="s" ph="1">
        <v>5147</v>
      </c>
    </row>
    <row r="1834" spans="3:22" ht="22.5" customHeight="1" ph="1" x14ac:dyDescent="0.35">
      <c r="C1834" s="13" t="s" ph="1">
        <v>7591</v>
      </c>
      <c r="G1834" s="13" t="s" ph="1">
        <v>4758</v>
      </c>
      <c r="H1834" s="13" t="s" ph="1">
        <v>1219</v>
      </c>
      <c r="I1834" s="15" t="s" ph="1">
        <v>4810</v>
      </c>
      <c r="M1834" s="14" t="str" ph="1">
        <f>IFERROR(INDEX([1]!_born[生没年],
MATCH(I1834,[1]!_born[作],0)),"")</f>
        <v/>
      </c>
      <c r="N1834" s="14" t="str" ph="1">
        <f>IFERROR(INDEX([1]!_born[生没年],
MATCH(K1834,[1]!_born[作],0)),"")</f>
        <v/>
      </c>
      <c r="O1834" s="13" t="s" ph="1">
        <v>7806</v>
      </c>
      <c r="T1834" s="13" t="s" ph="1">
        <v>5147</v>
      </c>
    </row>
    <row r="1835" spans="3:22" ht="22.5" customHeight="1" ph="1" x14ac:dyDescent="0.35">
      <c r="C1835" s="13" t="s" ph="1">
        <v>7591</v>
      </c>
      <c r="G1835" s="13" t="s" ph="1">
        <v>4758</v>
      </c>
      <c r="H1835" s="13" t="s" ph="1">
        <v>1219</v>
      </c>
      <c r="I1835" s="15" t="s" ph="1">
        <v>4810</v>
      </c>
      <c r="M1835" s="14" t="str" ph="1">
        <f>IFERROR(INDEX([1]!_born[生没年],
MATCH(I1835,[1]!_born[作],0)),"")</f>
        <v/>
      </c>
      <c r="N1835" s="14" t="str" ph="1">
        <f>IFERROR(INDEX([1]!_born[生没年],
MATCH(K1835,[1]!_born[作],0)),"")</f>
        <v/>
      </c>
      <c r="O1835" s="13" t="s" ph="1">
        <v>7807</v>
      </c>
      <c r="T1835" s="13" t="s" ph="1">
        <v>5147</v>
      </c>
    </row>
    <row r="1836" spans="3:22" ht="22.5" customHeight="1" ph="1" x14ac:dyDescent="0.35">
      <c r="C1836" s="13" t="s" ph="1">
        <v>7591</v>
      </c>
      <c r="G1836" s="13" t="s" ph="1">
        <v>4758</v>
      </c>
      <c r="H1836" s="13" t="s" ph="1">
        <v>1219</v>
      </c>
      <c r="I1836" s="15" t="s" ph="1">
        <v>4810</v>
      </c>
      <c r="M1836" s="14" t="str" ph="1">
        <f>IFERROR(INDEX([1]!_born[生没年],
MATCH(I1836,[1]!_born[作],0)),"")</f>
        <v/>
      </c>
      <c r="N1836" s="14" t="str" ph="1">
        <f>IFERROR(INDEX([1]!_born[生没年],
MATCH(K1836,[1]!_born[作],0)),"")</f>
        <v/>
      </c>
      <c r="O1836" s="13" t="s" ph="1">
        <v>7808</v>
      </c>
      <c r="T1836" s="13" t="s" ph="1">
        <v>5147</v>
      </c>
    </row>
    <row r="1837" spans="3:22" ht="22.5" customHeight="1" ph="1" x14ac:dyDescent="0.35">
      <c r="C1837" s="13" t="s" ph="1">
        <v>7591</v>
      </c>
      <c r="G1837" s="13" t="s" ph="1">
        <v>4758</v>
      </c>
      <c r="H1837" s="13" t="s" ph="1">
        <v>1219</v>
      </c>
      <c r="I1837" s="15" t="s" ph="1">
        <v>4810</v>
      </c>
      <c r="M1837" s="14" t="str" ph="1">
        <f>IFERROR(INDEX([1]!_born[生没年],
MATCH(I1837,[1]!_born[作],0)),"")</f>
        <v/>
      </c>
      <c r="N1837" s="14" t="str" ph="1">
        <f>IFERROR(INDEX([1]!_born[生没年],
MATCH(K1837,[1]!_born[作],0)),"")</f>
        <v/>
      </c>
      <c r="O1837" s="13" t="s" ph="1">
        <v>7809</v>
      </c>
      <c r="T1837" s="13" t="s" ph="1">
        <v>5147</v>
      </c>
    </row>
    <row r="1838" spans="3:22" ht="22.5" customHeight="1" ph="1" x14ac:dyDescent="0.35">
      <c r="C1838" s="13" t="s" ph="1">
        <v>7591</v>
      </c>
      <c r="G1838" s="13" t="s" ph="1">
        <v>4758</v>
      </c>
      <c r="H1838" s="13" t="s" ph="1">
        <v>1219</v>
      </c>
      <c r="I1838" s="15" t="s" ph="1">
        <v>4810</v>
      </c>
      <c r="M1838" s="14" t="str" ph="1">
        <f>IFERROR(INDEX([1]!_born[生没年],
MATCH(I1838,[1]!_born[作],0)),"")</f>
        <v/>
      </c>
      <c r="N1838" s="14" t="str" ph="1">
        <f>IFERROR(INDEX([1]!_born[生没年],
MATCH(K1838,[1]!_born[作],0)),"")</f>
        <v/>
      </c>
      <c r="O1838" s="13" t="s" ph="1">
        <v>7810</v>
      </c>
      <c r="T1838" s="13" t="s" ph="1">
        <v>5147</v>
      </c>
    </row>
    <row r="1839" spans="3:22" ht="22.5" customHeight="1" ph="1" x14ac:dyDescent="0.35">
      <c r="C1839" s="13" t="s" ph="1">
        <v>7591</v>
      </c>
      <c r="G1839" s="13" t="s" ph="1">
        <v>4758</v>
      </c>
      <c r="H1839" s="13" t="s" ph="1">
        <v>1219</v>
      </c>
      <c r="I1839" s="15" t="s" ph="1">
        <v>4810</v>
      </c>
      <c r="M1839" s="14" t="str" ph="1">
        <f>IFERROR(INDEX([1]!_born[生没年],
MATCH(I1839,[1]!_born[作],0)),"")</f>
        <v/>
      </c>
      <c r="N1839" s="14" t="str" ph="1">
        <f>IFERROR(INDEX([1]!_born[生没年],
MATCH(K1839,[1]!_born[作],0)),"")</f>
        <v/>
      </c>
      <c r="O1839" s="13" t="s" ph="1">
        <v>7811</v>
      </c>
      <c r="T1839" s="13" t="s" ph="1">
        <v>5147</v>
      </c>
    </row>
    <row r="1840" spans="3:22" ht="22.5" customHeight="1" ph="1" x14ac:dyDescent="0.35">
      <c r="C1840" s="13" t="s" ph="1">
        <v>7591</v>
      </c>
      <c r="G1840" s="13" t="s" ph="1">
        <v>4758</v>
      </c>
      <c r="H1840" s="13" t="s" ph="1">
        <v>1219</v>
      </c>
      <c r="I1840" s="15" t="s" ph="1">
        <v>4810</v>
      </c>
      <c r="M1840" s="14" t="str" ph="1">
        <f>IFERROR(INDEX([1]!_born[生没年],
MATCH(I1840,[1]!_born[作],0)),"")</f>
        <v/>
      </c>
      <c r="N1840" s="14" t="str" ph="1">
        <f>IFERROR(INDEX([1]!_born[生没年],
MATCH(K1840,[1]!_born[作],0)),"")</f>
        <v/>
      </c>
      <c r="O1840" s="13" t="s" ph="1">
        <v>7812</v>
      </c>
      <c r="T1840" s="13" t="s" ph="1">
        <v>5147</v>
      </c>
      <c r="U1840" s="16" t="s" ph="1">
        <v>1217</v>
      </c>
      <c r="V1840" s="17" ph="1">
        <v>400</v>
      </c>
    </row>
    <row r="1841" spans="1:25" ht="22.5" customHeight="1" ph="1" x14ac:dyDescent="0.35">
      <c r="C1841" s="13" t="s" ph="1">
        <v>7591</v>
      </c>
      <c r="G1841" s="13" t="s" ph="1">
        <v>4758</v>
      </c>
      <c r="H1841" s="13" t="s" ph="1">
        <v>1219</v>
      </c>
      <c r="I1841" s="15" t="s" ph="1">
        <v>4810</v>
      </c>
      <c r="M1841" s="14" t="str" ph="1">
        <f>IFERROR(INDEX([1]!_born[生没年],
MATCH(I1841,[1]!_born[作],0)),"")</f>
        <v/>
      </c>
      <c r="N1841" s="14" t="str" ph="1">
        <f>IFERROR(INDEX([1]!_born[生没年],
MATCH(K1841,[1]!_born[作],0)),"")</f>
        <v/>
      </c>
      <c r="O1841" s="13" t="s" ph="1">
        <v>4812</v>
      </c>
      <c r="T1841" s="13" t="s" ph="1">
        <v>5147</v>
      </c>
      <c r="U1841" s="16" t="s" ph="1">
        <v>1217</v>
      </c>
      <c r="V1841" s="17" ph="1">
        <v>520</v>
      </c>
    </row>
    <row r="1842" spans="1:25" ht="22.5" customHeight="1" ph="1" x14ac:dyDescent="0.35">
      <c r="C1842" s="13" t="s" ph="1">
        <v>7591</v>
      </c>
      <c r="G1842" s="13" t="s" ph="1">
        <v>4758</v>
      </c>
      <c r="H1842" s="13" t="s" ph="1">
        <v>1219</v>
      </c>
      <c r="I1842" s="15" t="s" ph="1">
        <v>4810</v>
      </c>
      <c r="M1842" s="14" t="str" ph="1">
        <f>IFERROR(INDEX([1]!_born[生没年],
MATCH(I1842,[1]!_born[作],0)),"")</f>
        <v/>
      </c>
      <c r="N1842" s="14" t="str" ph="1">
        <f>IFERROR(INDEX([1]!_born[生没年],
MATCH(K1842,[1]!_born[作],0)),"")</f>
        <v/>
      </c>
      <c r="O1842" s="13" t="s" ph="1">
        <v>346</v>
      </c>
      <c r="T1842" s="13" t="s" ph="1">
        <v>5147</v>
      </c>
      <c r="U1842" s="16" t="s" ph="1">
        <v>1217</v>
      </c>
      <c r="V1842" s="17" ph="1">
        <v>400</v>
      </c>
    </row>
    <row r="1843" spans="1:25" ht="22.5" customHeight="1" ph="1" x14ac:dyDescent="0.35">
      <c r="C1843" s="13" t="s" ph="1">
        <v>7591</v>
      </c>
      <c r="G1843" s="13" t="s" ph="1">
        <v>4758</v>
      </c>
      <c r="H1843" s="13" t="s" ph="1">
        <v>1219</v>
      </c>
      <c r="I1843" s="15" t="s" ph="1">
        <v>4810</v>
      </c>
      <c r="M1843" s="14" t="str" ph="1">
        <f>IFERROR(INDEX([1]!_born[生没年],
MATCH(I1843,[1]!_born[作],0)),"")</f>
        <v/>
      </c>
      <c r="N1843" s="14" t="str" ph="1">
        <f>IFERROR(INDEX([1]!_born[生没年],
MATCH(K1843,[1]!_born[作],0)),"")</f>
        <v/>
      </c>
      <c r="O1843" s="13" t="s" ph="1">
        <v>7813</v>
      </c>
      <c r="T1843" s="13" t="s" ph="1">
        <v>5147</v>
      </c>
    </row>
    <row r="1844" spans="1:25" ht="22.5" customHeight="1" ph="1" x14ac:dyDescent="0.35">
      <c r="C1844" s="13" t="s" ph="1">
        <v>7591</v>
      </c>
      <c r="G1844" s="13" t="s" ph="1">
        <v>4758</v>
      </c>
      <c r="H1844" s="13" t="s" ph="1">
        <v>61</v>
      </c>
      <c r="I1844" s="15" t="s" ph="1">
        <v>4810</v>
      </c>
      <c r="M1844" s="14" t="str" ph="1">
        <f>IFERROR(INDEX([1]!_born[生没年],
MATCH(I1844,[1]!_born[作],0)),"")</f>
        <v/>
      </c>
      <c r="N1844" s="14" t="str" ph="1">
        <f>IFERROR(INDEX([1]!_born[生没年],
MATCH(K1844,[1]!_born[作],0)),"")</f>
        <v/>
      </c>
      <c r="O1844" s="13" t="s" ph="1">
        <v>7814</v>
      </c>
      <c r="T1844" s="13" t="s" ph="1">
        <v>5147</v>
      </c>
    </row>
    <row r="1845" spans="1:25" ht="22.5" customHeight="1" ph="1" x14ac:dyDescent="0.35">
      <c r="C1845" s="13" t="s" ph="1">
        <v>7591</v>
      </c>
      <c r="G1845" s="13" t="s" ph="1">
        <v>4758</v>
      </c>
      <c r="H1845" s="13" t="s" ph="1">
        <v>61</v>
      </c>
      <c r="I1845" s="15" t="s" ph="1">
        <v>4810</v>
      </c>
      <c r="M1845" s="14" t="str" ph="1">
        <f>IFERROR(INDEX([1]!_born[生没年],
MATCH(I1845,[1]!_born[作],0)),"")</f>
        <v/>
      </c>
      <c r="N1845" s="14" t="str" ph="1">
        <f>IFERROR(INDEX([1]!_born[生没年],
MATCH(K1845,[1]!_born[作],0)),"")</f>
        <v/>
      </c>
      <c r="O1845" s="13" t="s" ph="1">
        <v>10206</v>
      </c>
      <c r="T1845" s="13" t="s" ph="1">
        <v>5147</v>
      </c>
    </row>
    <row r="1846" spans="1:25" ht="22.5" customHeight="1" ph="1" x14ac:dyDescent="0.35">
      <c r="A1846" s="106" t="s" ph="1">
        <v>10042</v>
      </c>
      <c r="B1846" s="5" t="s" ph="1">
        <v>1448</v>
      </c>
      <c r="C1846" s="13" t="s" ph="1">
        <v>7591</v>
      </c>
      <c r="G1846" s="13" t="s" ph="1">
        <v>4758</v>
      </c>
      <c r="H1846" s="13" t="s" ph="1">
        <v>1219</v>
      </c>
      <c r="I1846" s="15" t="s" ph="1">
        <v>4810</v>
      </c>
      <c r="M1846" s="14" t="str" ph="1">
        <f>IFERROR(INDEX([1]!_born[生没年],
MATCH(I1846,[1]!_born[作],0)),"")</f>
        <v/>
      </c>
      <c r="N1846" s="14" t="str" ph="1">
        <f>IFERROR(INDEX([1]!_born[生没年],
MATCH(K1846,[1]!_born[作],0)),"")</f>
        <v/>
      </c>
      <c r="O1846" s="13" t="s" ph="1">
        <v>10207</v>
      </c>
      <c r="R1846" s="16" ph="1">
        <v>45383</v>
      </c>
      <c r="T1846" s="13" t="s" ph="1">
        <v>5147</v>
      </c>
      <c r="U1846" s="16" ph="1">
        <v>45450</v>
      </c>
      <c r="V1846" s="17" ph="1">
        <f>750*1.1</f>
        <v>825.00000000000011</v>
      </c>
      <c r="W1846" s="17" ph="1">
        <f>750*1.1</f>
        <v>825.00000000000011</v>
      </c>
      <c r="X1846" s="13" t="s" ph="1">
        <v>10208</v>
      </c>
    </row>
    <row r="1847" spans="1:25" ht="22.5" customHeight="1" ph="1" x14ac:dyDescent="0.35">
      <c r="A1847" s="106" t="s" ph="1">
        <v>1443</v>
      </c>
      <c r="B1847" s="5" t="s" ph="1">
        <v>1444</v>
      </c>
      <c r="C1847" s="13" t="s" ph="1">
        <v>7591</v>
      </c>
      <c r="G1847" s="13" t="s" ph="1">
        <v>4758</v>
      </c>
      <c r="H1847" s="13" t="s" ph="1">
        <v>1219</v>
      </c>
      <c r="I1847" s="13" t="s" ph="1">
        <v>4825</v>
      </c>
      <c r="M1847" s="14" t="str" ph="1">
        <f>IFERROR(INDEX([1]!_born[生没年],
MATCH(I1847,[1]!_born[作],0)),"")</f>
        <v/>
      </c>
      <c r="N1847" s="14" t="str" ph="1">
        <f>IFERROR(INDEX([1]!_born[生没年],
MATCH(K1847,[1]!_born[作],0)),"")</f>
        <v/>
      </c>
      <c r="O1847" s="13" t="s" ph="1">
        <v>347</v>
      </c>
      <c r="R1847" s="16" t="s" ph="1">
        <v>1363</v>
      </c>
      <c r="T1847" s="13" t="s" ph="1">
        <v>7375</v>
      </c>
      <c r="U1847" s="16" ph="1">
        <v>38588</v>
      </c>
      <c r="V1847" s="17" ph="1">
        <f>457*1.05</f>
        <v>479.85</v>
      </c>
      <c r="W1847" s="17" ph="1">
        <v>220</v>
      </c>
      <c r="X1847" s="13" t="s" ph="1">
        <v>3792</v>
      </c>
    </row>
    <row r="1848" spans="1:25" ht="22.5" customHeight="1" ph="1" x14ac:dyDescent="0.35">
      <c r="C1848" s="13" t="s" ph="1">
        <v>7591</v>
      </c>
      <c r="G1848" s="13" t="s" ph="1">
        <v>4758</v>
      </c>
      <c r="H1848" s="13" t="s" ph="1">
        <v>61</v>
      </c>
      <c r="I1848" s="13" t="s" ph="1">
        <v>7815</v>
      </c>
      <c r="M1848" s="14" t="str" ph="1">
        <f>IFERROR(INDEX([1]!_born[生没年],
MATCH(I1848,[1]!_born[作],0)),"")</f>
        <v/>
      </c>
      <c r="N1848" s="14" t="str" ph="1">
        <f>IFERROR(INDEX([1]!_born[生没年],
MATCH(K1848,[1]!_born[作],0)),"")</f>
        <v/>
      </c>
      <c r="O1848" s="13" t="s" ph="1">
        <v>7816</v>
      </c>
      <c r="R1848" s="16" ph="1">
        <v>41304</v>
      </c>
      <c r="S1848" s="13" t="s" ph="1">
        <v>7817</v>
      </c>
      <c r="T1848" s="13" t="s" ph="1">
        <v>7818</v>
      </c>
      <c r="U1848" s="16" t="s" ph="1">
        <v>3221</v>
      </c>
      <c r="V1848" s="17" t="s" ph="1">
        <v>1225</v>
      </c>
      <c r="W1848" s="17" t="s" ph="1">
        <v>1225</v>
      </c>
      <c r="Y1848" s="13" t="s" ph="1">
        <v>4318</v>
      </c>
    </row>
    <row r="1849" spans="1:25" ht="22.5" customHeight="1" ph="1" x14ac:dyDescent="0.35">
      <c r="C1849" s="13" t="s" ph="1">
        <v>7591</v>
      </c>
      <c r="G1849" s="13" t="s" ph="1">
        <v>4758</v>
      </c>
      <c r="H1849" s="13" t="s" ph="1">
        <v>1219</v>
      </c>
      <c r="I1849" s="13" t="s" ph="1">
        <v>4828</v>
      </c>
      <c r="M1849" s="14" t="str" ph="1">
        <f>IFERROR(INDEX([1]!_born[生没年],
MATCH(I1849,[1]!_born[作],0)),"")</f>
        <v/>
      </c>
      <c r="N1849" s="14" t="str" ph="1">
        <f>IFERROR(INDEX([1]!_born[生没年],
MATCH(K1849,[1]!_born[作],0)),"")</f>
        <v/>
      </c>
      <c r="O1849" s="13" t="s" ph="1">
        <v>7819</v>
      </c>
      <c r="T1849" s="13" t="s" ph="1">
        <v>7820</v>
      </c>
      <c r="U1849" s="16" ph="1">
        <v>36795</v>
      </c>
      <c r="V1849" s="17" ph="1">
        <f>1400*1.05</f>
        <v>1470</v>
      </c>
      <c r="W1849" s="17" ph="1">
        <f>1400*1.05</f>
        <v>1470</v>
      </c>
    </row>
    <row r="1850" spans="1:25" ht="22.5" customHeight="1" ph="1" x14ac:dyDescent="0.35">
      <c r="C1850" s="13" t="s" ph="1">
        <v>7591</v>
      </c>
      <c r="G1850" s="13" t="s" ph="1">
        <v>4758</v>
      </c>
      <c r="H1850" s="13" t="s" ph="1">
        <v>1219</v>
      </c>
      <c r="I1850" s="13" t="s" ph="1">
        <v>4828</v>
      </c>
      <c r="M1850" s="14" t="str" ph="1">
        <f>IFERROR(INDEX([1]!_born[生没年],
MATCH(I1850,[1]!_born[作],0)),"")</f>
        <v/>
      </c>
      <c r="N1850" s="14" t="str" ph="1">
        <f>IFERROR(INDEX([1]!_born[生没年],
MATCH(K1850,[1]!_born[作],0)),"")</f>
        <v/>
      </c>
      <c r="O1850" s="13" t="s" ph="1">
        <v>7821</v>
      </c>
      <c r="T1850" s="13" t="s" ph="1">
        <v>7822</v>
      </c>
    </row>
    <row r="1851" spans="1:25" ht="22.5" customHeight="1" ph="1" x14ac:dyDescent="0.35">
      <c r="C1851" s="13" t="s" ph="1">
        <v>7591</v>
      </c>
      <c r="G1851" s="13" t="s" ph="1">
        <v>4758</v>
      </c>
      <c r="H1851" s="13" t="s" ph="1">
        <v>1219</v>
      </c>
      <c r="I1851" s="13" t="s" ph="1">
        <v>4828</v>
      </c>
      <c r="M1851" s="14" t="str" ph="1">
        <f>IFERROR(INDEX([1]!_born[生没年],
MATCH(I1851,[1]!_born[作],0)),"")</f>
        <v/>
      </c>
      <c r="N1851" s="14" t="str" ph="1">
        <f>IFERROR(INDEX([1]!_born[生没年],
MATCH(K1851,[1]!_born[作],0)),"")</f>
        <v/>
      </c>
      <c r="O1851" s="13" t="s" ph="1">
        <v>7823</v>
      </c>
      <c r="T1851" s="13" t="s" ph="1">
        <v>7664</v>
      </c>
    </row>
    <row r="1852" spans="1:25" ht="22.5" customHeight="1" ph="1" x14ac:dyDescent="0.35">
      <c r="C1852" s="13" t="s" ph="1">
        <v>7591</v>
      </c>
      <c r="G1852" s="13" t="s" ph="1">
        <v>4758</v>
      </c>
      <c r="H1852" s="13" t="s" ph="1">
        <v>1219</v>
      </c>
      <c r="I1852" s="13" t="s" ph="1">
        <v>4828</v>
      </c>
      <c r="M1852" s="14" t="str" ph="1">
        <f>IFERROR(INDEX([1]!_born[生没年],
MATCH(I1852,[1]!_born[作],0)),"")</f>
        <v/>
      </c>
      <c r="N1852" s="14" t="str" ph="1">
        <f>IFERROR(INDEX([1]!_born[生没年],
MATCH(K1852,[1]!_born[作],0)),"")</f>
        <v/>
      </c>
      <c r="O1852" s="13" t="s" ph="1">
        <v>7824</v>
      </c>
      <c r="T1852" s="13" t="s" ph="1">
        <v>7664</v>
      </c>
    </row>
    <row r="1853" spans="1:25" ht="22.5" customHeight="1" ph="1" x14ac:dyDescent="0.35">
      <c r="C1853" s="13" t="s" ph="1">
        <v>7591</v>
      </c>
      <c r="G1853" s="13" t="s" ph="1">
        <v>4758</v>
      </c>
      <c r="H1853" s="13" t="s" ph="1">
        <v>1219</v>
      </c>
      <c r="I1853" s="13" t="s" ph="1">
        <v>4828</v>
      </c>
      <c r="M1853" s="14" t="str" ph="1">
        <f>IFERROR(INDEX([1]!_born[生没年],
MATCH(I1853,[1]!_born[作],0)),"")</f>
        <v/>
      </c>
      <c r="N1853" s="14" t="str" ph="1">
        <f>IFERROR(INDEX([1]!_born[生没年],
MATCH(K1853,[1]!_born[作],0)),"")</f>
        <v/>
      </c>
      <c r="O1853" s="13" t="s" ph="1">
        <v>7825</v>
      </c>
      <c r="T1853" s="13" t="s" ph="1">
        <v>7664</v>
      </c>
    </row>
    <row r="1854" spans="1:25" ht="22.5" customHeight="1" ph="1" x14ac:dyDescent="0.35">
      <c r="C1854" s="13" t="s" ph="1">
        <v>7591</v>
      </c>
      <c r="G1854" s="13" t="s" ph="1">
        <v>4758</v>
      </c>
      <c r="H1854" s="13" t="s" ph="1">
        <v>1219</v>
      </c>
      <c r="I1854" s="13" t="s" ph="1">
        <v>4828</v>
      </c>
      <c r="M1854" s="14" t="str" ph="1">
        <f>IFERROR(INDEX([1]!_born[生没年],
MATCH(I1854,[1]!_born[作],0)),"")</f>
        <v/>
      </c>
      <c r="N1854" s="14" t="str" ph="1">
        <f>IFERROR(INDEX([1]!_born[生没年],
MATCH(K1854,[1]!_born[作],0)),"")</f>
        <v/>
      </c>
      <c r="O1854" s="13" t="s" ph="1">
        <v>7826</v>
      </c>
      <c r="T1854" s="13" t="s" ph="1">
        <v>7375</v>
      </c>
    </row>
    <row r="1855" spans="1:25" ht="22.5" customHeight="1" ph="1" x14ac:dyDescent="0.35">
      <c r="C1855" s="13" t="s" ph="1">
        <v>7591</v>
      </c>
      <c r="G1855" s="13" t="s" ph="1">
        <v>4758</v>
      </c>
      <c r="H1855" s="13" t="s" ph="1">
        <v>1219</v>
      </c>
      <c r="I1855" s="13" t="s" ph="1">
        <v>4828</v>
      </c>
      <c r="M1855" s="14" t="str" ph="1">
        <f>IFERROR(INDEX([1]!_born[生没年],
MATCH(I1855,[1]!_born[作],0)),"")</f>
        <v/>
      </c>
      <c r="N1855" s="14" t="str" ph="1">
        <f>IFERROR(INDEX([1]!_born[生没年],
MATCH(K1855,[1]!_born[作],0)),"")</f>
        <v/>
      </c>
      <c r="O1855" s="13" t="s" ph="1">
        <v>7827</v>
      </c>
      <c r="T1855" s="13" t="s" ph="1">
        <v>7375</v>
      </c>
    </row>
    <row r="1856" spans="1:25" ht="22.5" customHeight="1" ph="1" x14ac:dyDescent="0.35">
      <c r="C1856" s="13" t="s" ph="1">
        <v>7591</v>
      </c>
      <c r="G1856" s="13" t="s" ph="1">
        <v>4758</v>
      </c>
      <c r="H1856" s="13" t="s" ph="1">
        <v>1219</v>
      </c>
      <c r="I1856" s="13" t="s" ph="1">
        <v>4828</v>
      </c>
      <c r="M1856" s="14" t="str" ph="1">
        <f>IFERROR(INDEX([1]!_born[生没年],
MATCH(I1856,[1]!_born[作],0)),"")</f>
        <v/>
      </c>
      <c r="N1856" s="14" t="str" ph="1">
        <f>IFERROR(INDEX([1]!_born[生没年],
MATCH(K1856,[1]!_born[作],0)),"")</f>
        <v/>
      </c>
      <c r="O1856" s="13" t="s" ph="1">
        <v>7828</v>
      </c>
      <c r="T1856" s="13" t="s" ph="1">
        <v>7822</v>
      </c>
    </row>
    <row r="1857" spans="3:25" ht="22.5" customHeight="1" ph="1" x14ac:dyDescent="0.35">
      <c r="C1857" s="13" t="s" ph="1">
        <v>7591</v>
      </c>
      <c r="G1857" s="13" t="s" ph="1">
        <v>4758</v>
      </c>
      <c r="H1857" s="13" t="s" ph="1">
        <v>1219</v>
      </c>
      <c r="I1857" s="13" t="s" ph="1">
        <v>4828</v>
      </c>
      <c r="M1857" s="14" t="str" ph="1">
        <f>IFERROR(INDEX([1]!_born[生没年],
MATCH(I1857,[1]!_born[作],0)),"")</f>
        <v/>
      </c>
      <c r="N1857" s="14" t="str" ph="1">
        <f>IFERROR(INDEX([1]!_born[生没年],
MATCH(K1857,[1]!_born[作],0)),"")</f>
        <v/>
      </c>
      <c r="O1857" s="13" t="s" ph="1">
        <v>7829</v>
      </c>
      <c r="T1857" s="13" t="s" ph="1">
        <v>7822</v>
      </c>
    </row>
    <row r="1858" spans="3:25" ht="22.5" customHeight="1" ph="1" x14ac:dyDescent="0.35">
      <c r="C1858" s="13" t="s" ph="1">
        <v>7591</v>
      </c>
      <c r="G1858" s="13" t="s" ph="1">
        <v>4758</v>
      </c>
      <c r="H1858" s="13" t="s" ph="1">
        <v>1219</v>
      </c>
      <c r="I1858" s="13" t="s" ph="1">
        <v>4828</v>
      </c>
      <c r="M1858" s="14" t="str" ph="1">
        <f>IFERROR(INDEX([1]!_born[生没年],
MATCH(I1858,[1]!_born[作],0)),"")</f>
        <v/>
      </c>
      <c r="N1858" s="14" t="str" ph="1">
        <f>IFERROR(INDEX([1]!_born[生没年],
MATCH(K1858,[1]!_born[作],0)),"")</f>
        <v/>
      </c>
      <c r="O1858" s="13" t="s" ph="1">
        <v>7830</v>
      </c>
      <c r="T1858" s="13" t="s" ph="1">
        <v>7599</v>
      </c>
    </row>
    <row r="1859" spans="3:25" ht="22.5" customHeight="1" ph="1" x14ac:dyDescent="0.35">
      <c r="C1859" s="13" t="s" ph="1">
        <v>7591</v>
      </c>
      <c r="G1859" s="13" t="s" ph="1">
        <v>4758</v>
      </c>
      <c r="H1859" s="13" t="s" ph="1">
        <v>1219</v>
      </c>
      <c r="I1859" s="13" t="s" ph="1">
        <v>4828</v>
      </c>
      <c r="M1859" s="14" t="str" ph="1">
        <f>IFERROR(INDEX([1]!_born[生没年],
MATCH(I1859,[1]!_born[作],0)),"")</f>
        <v/>
      </c>
      <c r="N1859" s="14" t="str" ph="1">
        <f>IFERROR(INDEX([1]!_born[生没年],
MATCH(K1859,[1]!_born[作],0)),"")</f>
        <v/>
      </c>
      <c r="O1859" s="13" t="s" ph="1">
        <v>7831</v>
      </c>
      <c r="T1859" s="13" t="s" ph="1">
        <v>7822</v>
      </c>
    </row>
    <row r="1860" spans="3:25" ht="22.5" customHeight="1" ph="1" x14ac:dyDescent="0.35">
      <c r="C1860" s="13" t="s" ph="1">
        <v>7591</v>
      </c>
      <c r="G1860" s="13" t="s" ph="1">
        <v>4758</v>
      </c>
      <c r="H1860" s="13" t="s" ph="1">
        <v>1219</v>
      </c>
      <c r="I1860" s="13" t="s" ph="1">
        <v>4828</v>
      </c>
      <c r="M1860" s="14" t="str" ph="1">
        <f>IFERROR(INDEX([1]!_born[生没年],
MATCH(I1860,[1]!_born[作],0)),"")</f>
        <v/>
      </c>
      <c r="N1860" s="14" t="str" ph="1">
        <f>IFERROR(INDEX([1]!_born[生没年],
MATCH(K1860,[1]!_born[作],0)),"")</f>
        <v/>
      </c>
      <c r="O1860" s="13" t="s" ph="1">
        <v>7832</v>
      </c>
      <c r="T1860" s="13" t="s" ph="1">
        <v>7822</v>
      </c>
    </row>
    <row r="1861" spans="3:25" ht="22.5" customHeight="1" ph="1" x14ac:dyDescent="0.35">
      <c r="C1861" s="13" t="s" ph="1">
        <v>7591</v>
      </c>
      <c r="G1861" s="13" t="s" ph="1">
        <v>4758</v>
      </c>
      <c r="H1861" s="13" t="s" ph="1">
        <v>1219</v>
      </c>
      <c r="I1861" s="13" t="s" ph="1">
        <v>4828</v>
      </c>
      <c r="M1861" s="14" t="str" ph="1">
        <f>IFERROR(INDEX([1]!_born[生没年],
MATCH(I1861,[1]!_born[作],0)),"")</f>
        <v/>
      </c>
      <c r="N1861" s="14" t="str" ph="1">
        <f>IFERROR(INDEX([1]!_born[生没年],
MATCH(K1861,[1]!_born[作],0)),"")</f>
        <v/>
      </c>
      <c r="O1861" s="13" t="s" ph="1">
        <v>7833</v>
      </c>
      <c r="T1861" s="13" t="s" ph="1">
        <v>7375</v>
      </c>
    </row>
    <row r="1862" spans="3:25" ht="22.5" customHeight="1" ph="1" x14ac:dyDescent="0.35">
      <c r="C1862" s="13" t="s" ph="1">
        <v>7591</v>
      </c>
      <c r="G1862" s="13" t="s" ph="1">
        <v>4758</v>
      </c>
      <c r="H1862" s="13" t="s" ph="1">
        <v>1219</v>
      </c>
      <c r="I1862" s="13" t="s" ph="1">
        <v>4828</v>
      </c>
      <c r="M1862" s="14" t="str" ph="1">
        <f>IFERROR(INDEX([1]!_born[生没年],
MATCH(I1862,[1]!_born[作],0)),"")</f>
        <v/>
      </c>
      <c r="N1862" s="14" t="str" ph="1">
        <f>IFERROR(INDEX([1]!_born[生没年],
MATCH(K1862,[1]!_born[作],0)),"")</f>
        <v/>
      </c>
      <c r="O1862" s="13" t="s" ph="1">
        <v>7834</v>
      </c>
      <c r="T1862" s="13" t="s" ph="1">
        <v>5147</v>
      </c>
    </row>
    <row r="1863" spans="3:25" ht="22.5" customHeight="1" ph="1" x14ac:dyDescent="0.35">
      <c r="C1863" s="13" t="s" ph="1">
        <v>7591</v>
      </c>
      <c r="G1863" s="13" t="s" ph="1">
        <v>4758</v>
      </c>
      <c r="H1863" s="13" t="s" ph="1">
        <v>1219</v>
      </c>
      <c r="I1863" s="13" t="s" ph="1">
        <v>4828</v>
      </c>
      <c r="M1863" s="14" t="str" ph="1">
        <f>IFERROR(INDEX([1]!_born[生没年],
MATCH(I1863,[1]!_born[作],0)),"")</f>
        <v/>
      </c>
      <c r="N1863" s="14" t="str" ph="1">
        <f>IFERROR(INDEX([1]!_born[生没年],
MATCH(K1863,[1]!_born[作],0)),"")</f>
        <v/>
      </c>
      <c r="O1863" s="13" t="s" ph="1">
        <v>7835</v>
      </c>
      <c r="T1863" s="13" t="s" ph="1">
        <v>5147</v>
      </c>
      <c r="Y1863" s="13" t="s" ph="1">
        <v>7836</v>
      </c>
    </row>
    <row r="1864" spans="3:25" ht="22.5" customHeight="1" ph="1" x14ac:dyDescent="0.35">
      <c r="C1864" s="13" t="s" ph="1">
        <v>7591</v>
      </c>
      <c r="G1864" s="13" t="s" ph="1">
        <v>7759</v>
      </c>
      <c r="H1864" s="13" t="s" ph="1">
        <v>1219</v>
      </c>
      <c r="I1864" s="13" t="s" ph="1">
        <v>4828</v>
      </c>
      <c r="M1864" s="14" t="str" ph="1">
        <f>IFERROR(INDEX([1]!_born[生没年],
MATCH(I1864,[1]!_born[作],0)),"")</f>
        <v/>
      </c>
      <c r="N1864" s="14" t="str" ph="1">
        <f>IFERROR(INDEX([1]!_born[生没年],
MATCH(K1864,[1]!_born[作],0)),"")</f>
        <v/>
      </c>
      <c r="O1864" s="13" t="s" ph="1">
        <v>7837</v>
      </c>
      <c r="T1864" s="13" t="s" ph="1">
        <v>7730</v>
      </c>
    </row>
    <row r="1865" spans="3:25" ht="22.5" customHeight="1" ph="1" x14ac:dyDescent="0.35">
      <c r="C1865" s="13" t="s" ph="1">
        <v>7591</v>
      </c>
      <c r="G1865" s="13" t="s" ph="1">
        <v>7759</v>
      </c>
      <c r="H1865" s="13" t="s" ph="1">
        <v>1219</v>
      </c>
      <c r="I1865" s="13" t="s" ph="1">
        <v>4828</v>
      </c>
      <c r="M1865" s="14" t="str" ph="1">
        <f>IFERROR(INDEX([1]!_born[生没年],
MATCH(I1865,[1]!_born[作],0)),"")</f>
        <v/>
      </c>
      <c r="N1865" s="14" t="str" ph="1">
        <f>IFERROR(INDEX([1]!_born[生没年],
MATCH(K1865,[1]!_born[作],0)),"")</f>
        <v/>
      </c>
      <c r="O1865" s="13" t="s" ph="1">
        <v>7838</v>
      </c>
      <c r="T1865" s="13" t="s" ph="1">
        <v>7730</v>
      </c>
    </row>
    <row r="1866" spans="3:25" ht="22.5" customHeight="1" ph="1" x14ac:dyDescent="0.35">
      <c r="C1866" s="13" t="s" ph="1">
        <v>7591</v>
      </c>
      <c r="D1866" s="123" ph="1">
        <v>1</v>
      </c>
      <c r="E1866" s="123" ph="1">
        <v>2</v>
      </c>
      <c r="G1866" s="13" t="s" ph="1">
        <v>4758</v>
      </c>
      <c r="H1866" s="13" t="s" ph="1">
        <v>1219</v>
      </c>
      <c r="I1866" s="13" t="s" ph="1">
        <v>4828</v>
      </c>
      <c r="M1866" s="14" t="str" ph="1">
        <f>IFERROR(INDEX([1]!_born[生没年],
MATCH(I1866,[1]!_born[作],0)),"")</f>
        <v/>
      </c>
      <c r="N1866" s="14" t="str" ph="1">
        <f>IFERROR(INDEX([1]!_born[生没年],
MATCH(K1866,[1]!_born[作],0)),"")</f>
        <v/>
      </c>
      <c r="O1866" s="13" t="s" ph="1">
        <v>7839</v>
      </c>
      <c r="S1866" s="13" t="s" ph="1">
        <v>4103</v>
      </c>
      <c r="T1866" s="13" t="s" ph="1">
        <v>7664</v>
      </c>
    </row>
    <row r="1867" spans="3:25" ht="22.5" customHeight="1" ph="1" x14ac:dyDescent="0.35">
      <c r="C1867" s="13" t="s" ph="1">
        <v>7591</v>
      </c>
      <c r="D1867" s="123" ph="1">
        <v>2</v>
      </c>
      <c r="E1867" s="123" ph="1">
        <v>2</v>
      </c>
      <c r="G1867" s="13" t="s" ph="1">
        <v>4758</v>
      </c>
      <c r="H1867" s="13" t="s" ph="1">
        <v>1219</v>
      </c>
      <c r="I1867" s="13" t="s" ph="1">
        <v>4828</v>
      </c>
      <c r="M1867" s="14" t="str" ph="1">
        <f>IFERROR(INDEX([1]!_born[生没年],
MATCH(I1867,[1]!_born[作],0)),"")</f>
        <v/>
      </c>
      <c r="N1867" s="14" t="str" ph="1">
        <f>IFERROR(INDEX([1]!_born[生没年],
MATCH(K1867,[1]!_born[作],0)),"")</f>
        <v/>
      </c>
      <c r="O1867" s="13" t="s" ph="1">
        <v>7839</v>
      </c>
      <c r="S1867" s="13" t="s" ph="1">
        <v>4103</v>
      </c>
      <c r="T1867" s="13" t="s" ph="1">
        <v>7664</v>
      </c>
    </row>
    <row r="1868" spans="3:25" ht="22.5" customHeight="1" ph="1" x14ac:dyDescent="0.35">
      <c r="C1868" s="13" t="s" ph="1">
        <v>7591</v>
      </c>
      <c r="G1868" s="13" t="s" ph="1">
        <v>4758</v>
      </c>
      <c r="H1868" s="13" t="s" ph="1">
        <v>1219</v>
      </c>
      <c r="I1868" s="13" t="s" ph="1">
        <v>4828</v>
      </c>
      <c r="M1868" s="14" t="str" ph="1">
        <f>IFERROR(INDEX([1]!_born[生没年],
MATCH(I1868,[1]!_born[作],0)),"")</f>
        <v/>
      </c>
      <c r="N1868" s="14" t="str" ph="1">
        <f>IFERROR(INDEX([1]!_born[生没年],
MATCH(K1868,[1]!_born[作],0)),"")</f>
        <v/>
      </c>
      <c r="O1868" s="13" t="s" ph="1">
        <v>7840</v>
      </c>
      <c r="T1868" s="13" t="s" ph="1">
        <v>7822</v>
      </c>
    </row>
    <row r="1869" spans="3:25" ht="22.5" customHeight="1" ph="1" x14ac:dyDescent="0.35">
      <c r="C1869" s="13" t="s" ph="1">
        <v>7591</v>
      </c>
      <c r="G1869" s="13" t="s" ph="1">
        <v>4758</v>
      </c>
      <c r="H1869" s="13" t="s" ph="1">
        <v>1219</v>
      </c>
      <c r="I1869" s="13" t="s" ph="1">
        <v>4828</v>
      </c>
      <c r="M1869" s="14" t="str" ph="1">
        <f>IFERROR(INDEX([1]!_born[生没年],
MATCH(I1869,[1]!_born[作],0)),"")</f>
        <v/>
      </c>
      <c r="N1869" s="14" t="str" ph="1">
        <f>IFERROR(INDEX([1]!_born[生没年],
MATCH(K1869,[1]!_born[作],0)),"")</f>
        <v/>
      </c>
      <c r="O1869" s="13" t="s" ph="1">
        <v>7841</v>
      </c>
      <c r="T1869" s="13" t="s" ph="1">
        <v>7822</v>
      </c>
    </row>
    <row r="1870" spans="3:25" ht="22.5" customHeight="1" ph="1" x14ac:dyDescent="0.35">
      <c r="C1870" s="13" t="s" ph="1">
        <v>7591</v>
      </c>
      <c r="G1870" s="13" t="s" ph="1">
        <v>4758</v>
      </c>
      <c r="H1870" s="13" t="s" ph="1">
        <v>1219</v>
      </c>
      <c r="I1870" s="13" t="s" ph="1">
        <v>4828</v>
      </c>
      <c r="M1870" s="14" t="str" ph="1">
        <f>IFERROR(INDEX([1]!_born[生没年],
MATCH(I1870,[1]!_born[作],0)),"")</f>
        <v/>
      </c>
      <c r="N1870" s="14" t="str" ph="1">
        <f>IFERROR(INDEX([1]!_born[生没年],
MATCH(K1870,[1]!_born[作],0)),"")</f>
        <v/>
      </c>
      <c r="O1870" s="13" t="s" ph="1">
        <v>7842</v>
      </c>
      <c r="T1870" s="13" t="s" ph="1">
        <v>7822</v>
      </c>
    </row>
    <row r="1871" spans="3:25" ht="22.5" customHeight="1" ph="1" x14ac:dyDescent="0.35">
      <c r="C1871" s="13" t="s" ph="1">
        <v>7591</v>
      </c>
      <c r="G1871" s="13" t="s" ph="1">
        <v>4758</v>
      </c>
      <c r="H1871" s="13" t="s" ph="1">
        <v>1219</v>
      </c>
      <c r="I1871" s="13" t="s" ph="1">
        <v>4828</v>
      </c>
      <c r="M1871" s="14" t="str" ph="1">
        <f>IFERROR(INDEX([1]!_born[生没年],
MATCH(I1871,[1]!_born[作],0)),"")</f>
        <v/>
      </c>
      <c r="N1871" s="14" t="str" ph="1">
        <f>IFERROR(INDEX([1]!_born[生没年],
MATCH(K1871,[1]!_born[作],0)),"")</f>
        <v/>
      </c>
      <c r="O1871" s="13" t="s" ph="1">
        <v>7835</v>
      </c>
      <c r="T1871" s="13" t="s" ph="1">
        <v>7822</v>
      </c>
      <c r="Y1871" s="13" t="s" ph="1">
        <v>7843</v>
      </c>
    </row>
    <row r="1872" spans="3:25" ht="22.5" customHeight="1" ph="1" x14ac:dyDescent="0.35">
      <c r="C1872" s="13" t="s" ph="1">
        <v>7591</v>
      </c>
      <c r="G1872" s="13" t="s" ph="1">
        <v>4758</v>
      </c>
      <c r="H1872" s="13" t="s" ph="1">
        <v>1219</v>
      </c>
      <c r="I1872" s="13" t="s" ph="1">
        <v>4828</v>
      </c>
      <c r="M1872" s="14" t="str" ph="1">
        <f>IFERROR(INDEX([1]!_born[生没年],
MATCH(I1872,[1]!_born[作],0)),"")</f>
        <v/>
      </c>
      <c r="N1872" s="14" t="str" ph="1">
        <f>IFERROR(INDEX([1]!_born[生没年],
MATCH(K1872,[1]!_born[作],0)),"")</f>
        <v/>
      </c>
      <c r="O1872" s="13" t="s" ph="1">
        <v>7844</v>
      </c>
      <c r="T1872" s="13" t="s" ph="1">
        <v>7822</v>
      </c>
    </row>
    <row r="1873" spans="3:20" ht="22.5" customHeight="1" ph="1" x14ac:dyDescent="0.35">
      <c r="C1873" s="13" t="s" ph="1">
        <v>7591</v>
      </c>
      <c r="G1873" s="13" t="s" ph="1">
        <v>7759</v>
      </c>
      <c r="H1873" s="13" t="s" ph="1">
        <v>1219</v>
      </c>
      <c r="I1873" s="13" t="s" ph="1">
        <v>4828</v>
      </c>
      <c r="M1873" s="14" t="str" ph="1">
        <f>IFERROR(INDEX([1]!_born[生没年],
MATCH(I1873,[1]!_born[作],0)),"")</f>
        <v/>
      </c>
      <c r="N1873" s="14" t="str" ph="1">
        <f>IFERROR(INDEX([1]!_born[生没年],
MATCH(K1873,[1]!_born[作],0)),"")</f>
        <v/>
      </c>
      <c r="O1873" s="13" t="s" ph="1">
        <v>7845</v>
      </c>
      <c r="T1873" s="13" t="s" ph="1">
        <v>7730</v>
      </c>
    </row>
    <row r="1874" spans="3:20" ht="22.5" customHeight="1" ph="1" x14ac:dyDescent="0.35">
      <c r="C1874" s="13" t="s" ph="1">
        <v>7591</v>
      </c>
      <c r="G1874" s="13" t="s" ph="1">
        <v>4758</v>
      </c>
      <c r="H1874" s="13" t="s" ph="1">
        <v>1219</v>
      </c>
      <c r="I1874" s="13" t="s" ph="1">
        <v>4835</v>
      </c>
      <c r="M1874" s="14" t="str" ph="1">
        <f>IFERROR(INDEX([1]!_born[生没年],
MATCH(I1874,[1]!_born[作],0)),"")</f>
        <v/>
      </c>
      <c r="N1874" s="14" t="str" ph="1">
        <f>IFERROR(INDEX([1]!_born[生没年],
MATCH(K1874,[1]!_born[作],0)),"")</f>
        <v/>
      </c>
      <c r="O1874" s="13" t="s" ph="1">
        <v>7846</v>
      </c>
      <c r="T1874" s="13" t="s" ph="1">
        <v>7847</v>
      </c>
    </row>
    <row r="1875" spans="3:20" ht="22.5" customHeight="1" ph="1" x14ac:dyDescent="0.35">
      <c r="C1875" s="13" t="s" ph="1">
        <v>7591</v>
      </c>
      <c r="D1875" s="123" ph="1">
        <v>1</v>
      </c>
      <c r="E1875" s="123" ph="1">
        <v>14</v>
      </c>
      <c r="G1875" s="13" t="s" ph="1">
        <v>4758</v>
      </c>
      <c r="H1875" s="13" t="s" ph="1">
        <v>1219</v>
      </c>
      <c r="I1875" s="13" t="s" ph="1">
        <v>4835</v>
      </c>
      <c r="M1875" s="14" t="str" ph="1">
        <f>IFERROR(INDEX([1]!_born[生没年],
MATCH(I1875,[1]!_born[作],0)),"")</f>
        <v/>
      </c>
      <c r="N1875" s="14" t="str" ph="1">
        <f>IFERROR(INDEX([1]!_born[生没年],
MATCH(K1875,[1]!_born[作],0)),"")</f>
        <v/>
      </c>
      <c r="O1875" s="13" t="s" ph="1">
        <v>7848</v>
      </c>
      <c r="T1875" s="13" t="s" ph="1">
        <v>7730</v>
      </c>
    </row>
    <row r="1876" spans="3:20" ht="22.5" customHeight="1" ph="1" x14ac:dyDescent="0.35">
      <c r="C1876" s="13" t="s" ph="1">
        <v>7591</v>
      </c>
      <c r="D1876" s="123" ph="1">
        <v>2</v>
      </c>
      <c r="E1876" s="123" ph="1">
        <v>14</v>
      </c>
      <c r="G1876" s="13" t="s" ph="1">
        <v>4758</v>
      </c>
      <c r="H1876" s="13" t="s" ph="1">
        <v>1219</v>
      </c>
      <c r="I1876" s="13" t="s" ph="1">
        <v>4835</v>
      </c>
      <c r="M1876" s="14" t="str" ph="1">
        <f>IFERROR(INDEX([1]!_born[生没年],
MATCH(I1876,[1]!_born[作],0)),"")</f>
        <v/>
      </c>
      <c r="N1876" s="14" t="str" ph="1">
        <f>IFERROR(INDEX([1]!_born[生没年],
MATCH(K1876,[1]!_born[作],0)),"")</f>
        <v/>
      </c>
      <c r="O1876" s="13" t="s" ph="1">
        <v>7848</v>
      </c>
      <c r="T1876" s="13" t="s" ph="1">
        <v>7730</v>
      </c>
    </row>
    <row r="1877" spans="3:20" ht="22.5" customHeight="1" ph="1" x14ac:dyDescent="0.35">
      <c r="C1877" s="13" t="s" ph="1">
        <v>7591</v>
      </c>
      <c r="D1877" s="123" ph="1">
        <v>3</v>
      </c>
      <c r="E1877" s="123" ph="1">
        <v>14</v>
      </c>
      <c r="G1877" s="13" t="s" ph="1">
        <v>4758</v>
      </c>
      <c r="H1877" s="13" t="s" ph="1">
        <v>1219</v>
      </c>
      <c r="I1877" s="13" t="s" ph="1">
        <v>4835</v>
      </c>
      <c r="M1877" s="14" t="str" ph="1">
        <f>IFERROR(INDEX([1]!_born[生没年],
MATCH(I1877,[1]!_born[作],0)),"")</f>
        <v/>
      </c>
      <c r="N1877" s="14" t="str" ph="1">
        <f>IFERROR(INDEX([1]!_born[生没年],
MATCH(K1877,[1]!_born[作],0)),"")</f>
        <v/>
      </c>
      <c r="O1877" s="13" t="s" ph="1">
        <v>7848</v>
      </c>
      <c r="T1877" s="13" t="s" ph="1">
        <v>7730</v>
      </c>
    </row>
    <row r="1878" spans="3:20" ht="22.5" customHeight="1" ph="1" x14ac:dyDescent="0.35">
      <c r="C1878" s="13" t="s" ph="1">
        <v>7591</v>
      </c>
      <c r="D1878" s="123" ph="1">
        <v>4</v>
      </c>
      <c r="E1878" s="123" ph="1">
        <v>14</v>
      </c>
      <c r="G1878" s="13" t="s" ph="1">
        <v>4758</v>
      </c>
      <c r="H1878" s="13" t="s" ph="1">
        <v>1219</v>
      </c>
      <c r="I1878" s="13" t="s" ph="1">
        <v>4835</v>
      </c>
      <c r="M1878" s="14" t="str" ph="1">
        <f>IFERROR(INDEX([1]!_born[生没年],
MATCH(I1878,[1]!_born[作],0)),"")</f>
        <v/>
      </c>
      <c r="N1878" s="14" t="str" ph="1">
        <f>IFERROR(INDEX([1]!_born[生没年],
MATCH(K1878,[1]!_born[作],0)),"")</f>
        <v/>
      </c>
      <c r="O1878" s="13" t="s" ph="1">
        <v>7848</v>
      </c>
      <c r="T1878" s="13" t="s" ph="1">
        <v>7730</v>
      </c>
    </row>
    <row r="1879" spans="3:20" ht="22.5" customHeight="1" ph="1" x14ac:dyDescent="0.35">
      <c r="C1879" s="13" t="s" ph="1">
        <v>7591</v>
      </c>
      <c r="D1879" s="123" ph="1">
        <v>5</v>
      </c>
      <c r="E1879" s="123" ph="1">
        <v>14</v>
      </c>
      <c r="G1879" s="13" t="s" ph="1">
        <v>4758</v>
      </c>
      <c r="H1879" s="13" t="s" ph="1">
        <v>1219</v>
      </c>
      <c r="I1879" s="13" t="s" ph="1">
        <v>4835</v>
      </c>
      <c r="M1879" s="14" t="str" ph="1">
        <f>IFERROR(INDEX([1]!_born[生没年],
MATCH(I1879,[1]!_born[作],0)),"")</f>
        <v/>
      </c>
      <c r="N1879" s="14" t="str" ph="1">
        <f>IFERROR(INDEX([1]!_born[生没年],
MATCH(K1879,[1]!_born[作],0)),"")</f>
        <v/>
      </c>
      <c r="O1879" s="13" t="s" ph="1">
        <v>7848</v>
      </c>
      <c r="T1879" s="13" t="s" ph="1">
        <v>7730</v>
      </c>
    </row>
    <row r="1880" spans="3:20" ht="22.5" customHeight="1" ph="1" x14ac:dyDescent="0.35">
      <c r="C1880" s="13" t="s" ph="1">
        <v>7591</v>
      </c>
      <c r="D1880" s="123" ph="1">
        <v>6</v>
      </c>
      <c r="E1880" s="123" ph="1">
        <v>14</v>
      </c>
      <c r="G1880" s="13" t="s" ph="1">
        <v>4758</v>
      </c>
      <c r="H1880" s="13" t="s" ph="1">
        <v>1219</v>
      </c>
      <c r="I1880" s="13" t="s" ph="1">
        <v>4835</v>
      </c>
      <c r="M1880" s="14" t="str" ph="1">
        <f>IFERROR(INDEX([1]!_born[生没年],
MATCH(I1880,[1]!_born[作],0)),"")</f>
        <v/>
      </c>
      <c r="N1880" s="14" t="str" ph="1">
        <f>IFERROR(INDEX([1]!_born[生没年],
MATCH(K1880,[1]!_born[作],0)),"")</f>
        <v/>
      </c>
      <c r="O1880" s="13" t="s" ph="1">
        <v>7848</v>
      </c>
      <c r="T1880" s="13" t="s" ph="1">
        <v>7730</v>
      </c>
    </row>
    <row r="1881" spans="3:20" ht="22.5" customHeight="1" ph="1" x14ac:dyDescent="0.35">
      <c r="C1881" s="13" t="s" ph="1">
        <v>7591</v>
      </c>
      <c r="D1881" s="123" ph="1">
        <v>7</v>
      </c>
      <c r="E1881" s="123" ph="1">
        <v>14</v>
      </c>
      <c r="G1881" s="13" t="s" ph="1">
        <v>4758</v>
      </c>
      <c r="H1881" s="13" t="s" ph="1">
        <v>1219</v>
      </c>
      <c r="I1881" s="13" t="s" ph="1">
        <v>4835</v>
      </c>
      <c r="M1881" s="14" t="str" ph="1">
        <f>IFERROR(INDEX([1]!_born[生没年],
MATCH(I1881,[1]!_born[作],0)),"")</f>
        <v/>
      </c>
      <c r="N1881" s="14" t="str" ph="1">
        <f>IFERROR(INDEX([1]!_born[生没年],
MATCH(K1881,[1]!_born[作],0)),"")</f>
        <v/>
      </c>
      <c r="O1881" s="13" t="s" ph="1">
        <v>7848</v>
      </c>
      <c r="T1881" s="13" t="s" ph="1">
        <v>7730</v>
      </c>
    </row>
    <row r="1882" spans="3:20" ht="22.5" customHeight="1" ph="1" x14ac:dyDescent="0.35">
      <c r="C1882" s="13" t="s" ph="1">
        <v>7591</v>
      </c>
      <c r="D1882" s="123" ph="1">
        <v>8</v>
      </c>
      <c r="E1882" s="123" ph="1">
        <v>14</v>
      </c>
      <c r="G1882" s="13" t="s" ph="1">
        <v>4758</v>
      </c>
      <c r="H1882" s="13" t="s" ph="1">
        <v>1219</v>
      </c>
      <c r="I1882" s="13" t="s" ph="1">
        <v>4835</v>
      </c>
      <c r="M1882" s="14" t="str" ph="1">
        <f>IFERROR(INDEX([1]!_born[生没年],
MATCH(I1882,[1]!_born[作],0)),"")</f>
        <v/>
      </c>
      <c r="N1882" s="14" t="str" ph="1">
        <f>IFERROR(INDEX([1]!_born[生没年],
MATCH(K1882,[1]!_born[作],0)),"")</f>
        <v/>
      </c>
      <c r="O1882" s="13" t="s" ph="1">
        <v>7848</v>
      </c>
      <c r="T1882" s="13" t="s" ph="1">
        <v>7730</v>
      </c>
    </row>
    <row r="1883" spans="3:20" ht="22.5" customHeight="1" ph="1" x14ac:dyDescent="0.35">
      <c r="C1883" s="13" t="s" ph="1">
        <v>7591</v>
      </c>
      <c r="D1883" s="123" ph="1">
        <v>9</v>
      </c>
      <c r="E1883" s="123" ph="1">
        <v>14</v>
      </c>
      <c r="G1883" s="13" t="s" ph="1">
        <v>4758</v>
      </c>
      <c r="H1883" s="13" t="s" ph="1">
        <v>1219</v>
      </c>
      <c r="I1883" s="13" t="s" ph="1">
        <v>4835</v>
      </c>
      <c r="M1883" s="14" t="str" ph="1">
        <f>IFERROR(INDEX([1]!_born[生没年],
MATCH(I1883,[1]!_born[作],0)),"")</f>
        <v/>
      </c>
      <c r="N1883" s="14" t="str" ph="1">
        <f>IFERROR(INDEX([1]!_born[生没年],
MATCH(K1883,[1]!_born[作],0)),"")</f>
        <v/>
      </c>
      <c r="O1883" s="13" t="s" ph="1">
        <v>7848</v>
      </c>
      <c r="T1883" s="13" t="s" ph="1">
        <v>7730</v>
      </c>
    </row>
    <row r="1884" spans="3:20" ht="22.5" customHeight="1" ph="1" x14ac:dyDescent="0.35">
      <c r="C1884" s="13" t="s" ph="1">
        <v>7591</v>
      </c>
      <c r="D1884" s="123" ph="1">
        <v>10</v>
      </c>
      <c r="E1884" s="123" ph="1">
        <v>14</v>
      </c>
      <c r="G1884" s="13" t="s" ph="1">
        <v>4758</v>
      </c>
      <c r="H1884" s="13" t="s" ph="1">
        <v>1219</v>
      </c>
      <c r="I1884" s="13" t="s" ph="1">
        <v>4835</v>
      </c>
      <c r="M1884" s="14" t="str" ph="1">
        <f>IFERROR(INDEX([1]!_born[生没年],
MATCH(I1884,[1]!_born[作],0)),"")</f>
        <v/>
      </c>
      <c r="N1884" s="14" t="str" ph="1">
        <f>IFERROR(INDEX([1]!_born[生没年],
MATCH(K1884,[1]!_born[作],0)),"")</f>
        <v/>
      </c>
      <c r="O1884" s="13" t="s" ph="1">
        <v>7848</v>
      </c>
      <c r="T1884" s="13" t="s" ph="1">
        <v>7730</v>
      </c>
    </row>
    <row r="1885" spans="3:20" ht="22.5" customHeight="1" ph="1" x14ac:dyDescent="0.35">
      <c r="C1885" s="13" t="s" ph="1">
        <v>7591</v>
      </c>
      <c r="D1885" s="123" ph="1">
        <v>11</v>
      </c>
      <c r="E1885" s="123" ph="1">
        <v>14</v>
      </c>
      <c r="G1885" s="13" t="s" ph="1">
        <v>4758</v>
      </c>
      <c r="H1885" s="13" t="s" ph="1">
        <v>1219</v>
      </c>
      <c r="I1885" s="13" t="s" ph="1">
        <v>4835</v>
      </c>
      <c r="M1885" s="14" t="str" ph="1">
        <f>IFERROR(INDEX([1]!_born[生没年],
MATCH(I1885,[1]!_born[作],0)),"")</f>
        <v/>
      </c>
      <c r="N1885" s="14" t="str" ph="1">
        <f>IFERROR(INDEX([1]!_born[生没年],
MATCH(K1885,[1]!_born[作],0)),"")</f>
        <v/>
      </c>
      <c r="O1885" s="13" t="s" ph="1">
        <v>7848</v>
      </c>
      <c r="T1885" s="13" t="s" ph="1">
        <v>7730</v>
      </c>
    </row>
    <row r="1886" spans="3:20" ht="22.5" customHeight="1" ph="1" x14ac:dyDescent="0.35">
      <c r="C1886" s="13" t="s" ph="1">
        <v>7591</v>
      </c>
      <c r="D1886" s="123" ph="1">
        <v>12</v>
      </c>
      <c r="E1886" s="123" ph="1">
        <v>14</v>
      </c>
      <c r="G1886" s="13" t="s" ph="1">
        <v>4758</v>
      </c>
      <c r="H1886" s="13" t="s" ph="1">
        <v>1219</v>
      </c>
      <c r="I1886" s="13" t="s" ph="1">
        <v>4835</v>
      </c>
      <c r="M1886" s="14" t="str" ph="1">
        <f>IFERROR(INDEX([1]!_born[生没年],
MATCH(I1886,[1]!_born[作],0)),"")</f>
        <v/>
      </c>
      <c r="N1886" s="14" t="str" ph="1">
        <f>IFERROR(INDEX([1]!_born[生没年],
MATCH(K1886,[1]!_born[作],0)),"")</f>
        <v/>
      </c>
      <c r="O1886" s="13" t="s" ph="1">
        <v>7848</v>
      </c>
      <c r="T1886" s="13" t="s" ph="1">
        <v>7730</v>
      </c>
    </row>
    <row r="1887" spans="3:20" ht="22.5" customHeight="1" ph="1" x14ac:dyDescent="0.35">
      <c r="C1887" s="13" t="s" ph="1">
        <v>7591</v>
      </c>
      <c r="D1887" s="123" ph="1">
        <v>13</v>
      </c>
      <c r="E1887" s="123" ph="1">
        <v>14</v>
      </c>
      <c r="G1887" s="13" t="s" ph="1">
        <v>4758</v>
      </c>
      <c r="H1887" s="13" t="s" ph="1">
        <v>1219</v>
      </c>
      <c r="I1887" s="13" t="s" ph="1">
        <v>4835</v>
      </c>
      <c r="M1887" s="14" t="str" ph="1">
        <f>IFERROR(INDEX([1]!_born[生没年],
MATCH(I1887,[1]!_born[作],0)),"")</f>
        <v/>
      </c>
      <c r="N1887" s="14" t="str" ph="1">
        <f>IFERROR(INDEX([1]!_born[生没年],
MATCH(K1887,[1]!_born[作],0)),"")</f>
        <v/>
      </c>
      <c r="O1887" s="13" t="s" ph="1">
        <v>7848</v>
      </c>
      <c r="T1887" s="13" t="s" ph="1">
        <v>7730</v>
      </c>
    </row>
    <row r="1888" spans="3:20" ht="22.5" customHeight="1" ph="1" x14ac:dyDescent="0.35">
      <c r="C1888" s="13" t="s" ph="1">
        <v>7591</v>
      </c>
      <c r="D1888" s="123" ph="1">
        <v>14</v>
      </c>
      <c r="E1888" s="123" ph="1">
        <v>14</v>
      </c>
      <c r="G1888" s="13" t="s" ph="1">
        <v>4758</v>
      </c>
      <c r="H1888" s="13" t="s" ph="1">
        <v>1219</v>
      </c>
      <c r="I1888" s="13" t="s" ph="1">
        <v>4835</v>
      </c>
      <c r="M1888" s="14" t="str" ph="1">
        <f>IFERROR(INDEX([1]!_born[生没年],
MATCH(I1888,[1]!_born[作],0)),"")</f>
        <v/>
      </c>
      <c r="N1888" s="14" t="str" ph="1">
        <f>IFERROR(INDEX([1]!_born[生没年],
MATCH(K1888,[1]!_born[作],0)),"")</f>
        <v/>
      </c>
      <c r="O1888" s="13" t="s" ph="1">
        <v>7848</v>
      </c>
      <c r="T1888" s="13" t="s" ph="1">
        <v>7730</v>
      </c>
    </row>
    <row r="1889" spans="1:25" ht="22.5" customHeight="1" ph="1" x14ac:dyDescent="0.35">
      <c r="C1889" s="13" t="s" ph="1">
        <v>7591</v>
      </c>
      <c r="G1889" s="13" t="s" ph="1">
        <v>4758</v>
      </c>
      <c r="H1889" s="13" t="s" ph="1">
        <v>1219</v>
      </c>
      <c r="I1889" s="13" t="s" ph="1">
        <v>7849</v>
      </c>
      <c r="M1889" s="14" t="str" ph="1">
        <f>IFERROR(INDEX([1]!_born[生没年],
MATCH(I1889,[1]!_born[作],0)),"")</f>
        <v/>
      </c>
      <c r="N1889" s="14" t="str" ph="1">
        <f>IFERROR(INDEX([1]!_born[生没年],
MATCH(K1889,[1]!_born[作],0)),"")</f>
        <v/>
      </c>
      <c r="O1889" s="13" t="s" ph="1">
        <v>7850</v>
      </c>
      <c r="T1889" s="13" t="s" ph="1">
        <v>5147</v>
      </c>
    </row>
    <row r="1890" spans="1:25" ht="22.5" customHeight="1" ph="1" x14ac:dyDescent="0.35">
      <c r="C1890" s="13" t="s" ph="1">
        <v>7591</v>
      </c>
      <c r="G1890" s="13" t="s" ph="1">
        <v>4758</v>
      </c>
      <c r="H1890" s="13" t="s" ph="1">
        <v>1219</v>
      </c>
      <c r="I1890" s="13" t="s" ph="1">
        <v>5917</v>
      </c>
      <c r="M1890" s="14" t="str" ph="1">
        <f>IFERROR(INDEX([1]!_born[生没年],
MATCH(I1890,[1]!_born[作],0)),"")</f>
        <v/>
      </c>
      <c r="N1890" s="14" t="str" ph="1">
        <f>IFERROR(INDEX([1]!_born[生没年],
MATCH(K1890,[1]!_born[作],0)),"")</f>
        <v/>
      </c>
      <c r="O1890" s="13" t="s" ph="1">
        <v>7851</v>
      </c>
      <c r="T1890" s="13" t="s" ph="1">
        <v>7649</v>
      </c>
    </row>
    <row r="1891" spans="1:25" ht="22.5" customHeight="1" ph="1" x14ac:dyDescent="0.35">
      <c r="C1891" s="13" t="s" ph="1">
        <v>7591</v>
      </c>
      <c r="G1891" s="13" t="s" ph="1">
        <v>4758</v>
      </c>
      <c r="H1891" s="13" t="s" ph="1">
        <v>1219</v>
      </c>
      <c r="I1891" s="13" t="s" ph="1">
        <v>4437</v>
      </c>
      <c r="J1891" s="13" t="s" ph="1">
        <v>3671</v>
      </c>
      <c r="M1891" s="14" t="str" ph="1">
        <f>IFERROR(INDEX([1]!_born[生没年],
MATCH(I1891,[1]!_born[作],0)),"")</f>
        <v/>
      </c>
      <c r="N1891" s="14" t="str" ph="1">
        <f>IFERROR(INDEX([1]!_born[生没年],
MATCH(K1891,[1]!_born[作],0)),"")</f>
        <v/>
      </c>
      <c r="O1891" s="13" t="s" ph="1">
        <v>7852</v>
      </c>
      <c r="T1891" s="13" t="s" ph="1">
        <v>7853</v>
      </c>
      <c r="U1891" s="16" ph="1">
        <v>36795</v>
      </c>
      <c r="V1891" s="17" ph="1">
        <f>800*1.05</f>
        <v>840</v>
      </c>
      <c r="W1891" s="17" ph="1">
        <f>800*1.05</f>
        <v>840</v>
      </c>
    </row>
    <row r="1892" spans="1:25" ht="22.5" customHeight="1" ph="1" x14ac:dyDescent="0.35">
      <c r="A1892" s="106" t="s" ph="1">
        <v>2984</v>
      </c>
      <c r="B1892" s="5" t="s" ph="1">
        <v>2968</v>
      </c>
      <c r="C1892" s="13" t="s" ph="1">
        <v>7591</v>
      </c>
      <c r="G1892" s="13" t="s" ph="1">
        <v>4758</v>
      </c>
      <c r="H1892" s="13" t="s" ph="1">
        <v>61</v>
      </c>
      <c r="I1892" s="13" t="s" ph="1">
        <v>7854</v>
      </c>
      <c r="M1892" s="14" t="str" ph="1">
        <f>IFERROR(INDEX([1]!_born[生没年],
MATCH(I1892,[1]!_born[作],0)),"")</f>
        <v/>
      </c>
      <c r="N1892" s="14" t="str" ph="1">
        <f>IFERROR(INDEX([1]!_born[生没年],
MATCH(K1892,[1]!_born[作],0)),"")</f>
        <v/>
      </c>
      <c r="O1892" s="13" t="s" ph="1">
        <v>7855</v>
      </c>
      <c r="R1892" s="16" t="s" ph="1">
        <v>7856</v>
      </c>
      <c r="T1892" s="13" t="s" ph="1">
        <v>7375</v>
      </c>
      <c r="U1892" s="16" t="s" ph="1">
        <v>2966</v>
      </c>
      <c r="V1892" s="17" ph="1">
        <f>705*1.08</f>
        <v>761.40000000000009</v>
      </c>
      <c r="W1892" s="17" ph="1">
        <f>705*1.08</f>
        <v>761.40000000000009</v>
      </c>
      <c r="Y1892" s="13" t="s" ph="1">
        <v>6627</v>
      </c>
    </row>
    <row r="1893" spans="1:25" ht="22.5" customHeight="1" ph="1" x14ac:dyDescent="0.35">
      <c r="A1893" s="106" t="s" ph="1">
        <v>2969</v>
      </c>
      <c r="B1893" s="5" t="s" ph="1">
        <v>1448</v>
      </c>
      <c r="C1893" s="13" t="s" ph="1">
        <v>7591</v>
      </c>
      <c r="G1893" s="13" t="s" ph="1">
        <v>4758</v>
      </c>
      <c r="H1893" s="13" t="s" ph="1">
        <v>61</v>
      </c>
      <c r="I1893" s="13" t="s" ph="1">
        <v>7117</v>
      </c>
      <c r="M1893" s="14" t="str" ph="1">
        <f>IFERROR(INDEX([1]!_born[生没年],
MATCH(I1893,[1]!_born[作],0)),"")</f>
        <v/>
      </c>
      <c r="N1893" s="14" t="str" ph="1">
        <f>IFERROR(INDEX([1]!_born[生没年],
MATCH(K1893,[1]!_born[作],0)),"")</f>
        <v/>
      </c>
      <c r="O1893" s="13" t="s" ph="1">
        <v>7857</v>
      </c>
      <c r="R1893" s="16" t="s" ph="1">
        <v>2970</v>
      </c>
      <c r="T1893" s="13" t="s" ph="1">
        <v>7614</v>
      </c>
      <c r="U1893" s="16" t="s" ph="1">
        <v>2966</v>
      </c>
      <c r="V1893" s="17" ph="1">
        <f>660*1.08</f>
        <v>712.80000000000007</v>
      </c>
      <c r="W1893" s="17" ph="1">
        <f>660*1.08</f>
        <v>712.80000000000007</v>
      </c>
      <c r="Y1893" s="13" t="s" ph="1">
        <v>6627</v>
      </c>
    </row>
    <row r="1894" spans="1:25" ht="22.5" customHeight="1" ph="1" x14ac:dyDescent="0.35">
      <c r="A1894" s="106" t="s" ph="1">
        <v>2967</v>
      </c>
      <c r="B1894" s="5" t="s" ph="1">
        <v>2968</v>
      </c>
      <c r="C1894" s="13" t="s" ph="1">
        <v>7591</v>
      </c>
      <c r="G1894" s="13" t="s" ph="1">
        <v>4758</v>
      </c>
      <c r="H1894" s="13" t="s" ph="1">
        <v>61</v>
      </c>
      <c r="I1894" s="13" t="s" ph="1">
        <v>7117</v>
      </c>
      <c r="M1894" s="14" t="str" ph="1">
        <f>IFERROR(INDEX([1]!_born[生没年],
MATCH(I1894,[1]!_born[作],0)),"")</f>
        <v/>
      </c>
      <c r="N1894" s="14" t="str" ph="1">
        <f>IFERROR(INDEX([1]!_born[生没年],
MATCH(K1894,[1]!_born[作],0)),"")</f>
        <v/>
      </c>
      <c r="O1894" s="13" t="s" ph="1">
        <v>7858</v>
      </c>
      <c r="R1894" s="16" t="s" ph="1">
        <v>2971</v>
      </c>
      <c r="T1894" s="13" t="s" ph="1">
        <v>7375</v>
      </c>
      <c r="U1894" s="16" t="s" ph="1">
        <v>2966</v>
      </c>
      <c r="V1894" s="17" ph="1">
        <f>680*1.08</f>
        <v>734.40000000000009</v>
      </c>
      <c r="W1894" s="17" ph="1">
        <f>680*1.08</f>
        <v>734.40000000000009</v>
      </c>
      <c r="Y1894" s="13" t="s" ph="1">
        <v>6627</v>
      </c>
    </row>
    <row r="1895" spans="1:25" ht="22.5" customHeight="1" ph="1" x14ac:dyDescent="0.35">
      <c r="A1895" s="106" t="s" ph="1">
        <v>3222</v>
      </c>
      <c r="B1895" s="5" t="s" ph="1">
        <v>2968</v>
      </c>
      <c r="C1895" s="13" t="s" ph="1">
        <v>7591</v>
      </c>
      <c r="G1895" s="13" t="s" ph="1">
        <v>4758</v>
      </c>
      <c r="H1895" s="13" t="s" ph="1">
        <v>1219</v>
      </c>
      <c r="I1895" s="13" t="s" ph="1">
        <v>7117</v>
      </c>
      <c r="M1895" s="14" t="str" ph="1">
        <f>IFERROR(INDEX([1]!_born[生没年],
MATCH(I1895,[1]!_born[作],0)),"")</f>
        <v/>
      </c>
      <c r="N1895" s="14" t="str" ph="1">
        <f>IFERROR(INDEX([1]!_born[生没年],
MATCH(K1895,[1]!_born[作],0)),"")</f>
        <v/>
      </c>
      <c r="O1895" s="13" t="s" ph="1">
        <v>7859</v>
      </c>
      <c r="R1895" s="16" t="s" ph="1">
        <v>7860</v>
      </c>
      <c r="T1895" s="13" t="s" ph="1">
        <v>7375</v>
      </c>
      <c r="U1895" s="16" t="s" ph="1">
        <v>3221</v>
      </c>
      <c r="V1895" s="17" ph="1">
        <f>680*1.1</f>
        <v>748.00000000000011</v>
      </c>
      <c r="W1895" s="17" ph="1">
        <f>680*1.1</f>
        <v>748.00000000000011</v>
      </c>
      <c r="Y1895" s="13" t="s" ph="1">
        <v>4318</v>
      </c>
    </row>
    <row r="1896" spans="1:25" ht="22.5" customHeight="1" ph="1" x14ac:dyDescent="0.35">
      <c r="A1896" s="106" t="s" ph="1">
        <v>3223</v>
      </c>
      <c r="B1896" s="5" t="s" ph="1">
        <v>2968</v>
      </c>
      <c r="C1896" s="13" t="s" ph="1">
        <v>7591</v>
      </c>
      <c r="G1896" s="13" t="s" ph="1">
        <v>4758</v>
      </c>
      <c r="H1896" s="13" t="s" ph="1">
        <v>61</v>
      </c>
      <c r="I1896" s="13" t="s" ph="1">
        <v>7117</v>
      </c>
      <c r="M1896" s="14" t="str" ph="1">
        <f>IFERROR(INDEX([1]!_born[生没年],
MATCH(I1896,[1]!_born[作],0)),"")</f>
        <v/>
      </c>
      <c r="N1896" s="14" t="str" ph="1">
        <f>IFERROR(INDEX([1]!_born[生没年],
MATCH(K1896,[1]!_born[作],0)),"")</f>
        <v/>
      </c>
      <c r="O1896" s="13" t="s" ph="1">
        <v>7861</v>
      </c>
      <c r="R1896" s="16" t="s" ph="1">
        <v>7862</v>
      </c>
      <c r="T1896" s="13" t="s" ph="1">
        <v>7375</v>
      </c>
      <c r="U1896" s="16" t="s" ph="1">
        <v>3221</v>
      </c>
      <c r="V1896" s="17" ph="1">
        <f>680*1.1</f>
        <v>748.00000000000011</v>
      </c>
      <c r="W1896" s="17" ph="1">
        <f>680*1.1</f>
        <v>748.00000000000011</v>
      </c>
      <c r="Y1896" s="13" t="s" ph="1">
        <v>4318</v>
      </c>
    </row>
    <row r="1897" spans="1:25" ht="22.5" customHeight="1" ph="1" x14ac:dyDescent="0.35">
      <c r="A1897" s="106" t="s" ph="1">
        <v>2829</v>
      </c>
      <c r="B1897" s="5" t="s" ph="1">
        <v>1448</v>
      </c>
      <c r="C1897" s="13" t="s" ph="1">
        <v>7591</v>
      </c>
      <c r="G1897" s="13" t="s" ph="1">
        <v>4758</v>
      </c>
      <c r="H1897" s="13" t="s" ph="1">
        <v>61</v>
      </c>
      <c r="I1897" s="13" t="s" ph="1">
        <v>4843</v>
      </c>
      <c r="M1897" s="14" t="str" ph="1">
        <f>IFERROR(INDEX([1]!_born[生没年],
MATCH(I1897,[1]!_born[作],0)),"")</f>
        <v/>
      </c>
      <c r="N1897" s="14" t="str" ph="1">
        <f>IFERROR(INDEX([1]!_born[生没年],
MATCH(K1897,[1]!_born[作],0)),"")</f>
        <v/>
      </c>
      <c r="O1897" s="13" t="s" ph="1">
        <v>7863</v>
      </c>
      <c r="R1897" s="16" ph="1">
        <v>38801</v>
      </c>
      <c r="T1897" s="13" t="s" ph="1">
        <v>7864</v>
      </c>
      <c r="U1897" s="16" t="s" ph="1">
        <v>2797</v>
      </c>
      <c r="V1897" s="17" ph="1">
        <f>429*1.05</f>
        <v>450.45000000000005</v>
      </c>
      <c r="W1897" s="17" t="s" ph="1">
        <v>1225</v>
      </c>
      <c r="X1897" s="13" t="s" ph="1">
        <v>1225</v>
      </c>
      <c r="Y1897" s="13" t="s" ph="1">
        <v>6627</v>
      </c>
    </row>
    <row r="1898" spans="1:25" ht="22.5" customHeight="1" ph="1" x14ac:dyDescent="0.35">
      <c r="C1898" s="13" t="s" ph="1">
        <v>7591</v>
      </c>
      <c r="G1898" s="13" t="s" ph="1">
        <v>4758</v>
      </c>
      <c r="H1898" s="13" t="s" ph="1">
        <v>1219</v>
      </c>
      <c r="I1898" s="13" t="s" ph="1">
        <v>4850</v>
      </c>
      <c r="M1898" s="14" t="str" ph="1">
        <f>IFERROR(INDEX([1]!_born[生没年],
MATCH(I1898,[1]!_born[作],0)),"")</f>
        <v/>
      </c>
      <c r="N1898" s="14" t="str" ph="1">
        <f>IFERROR(INDEX([1]!_born[生没年],
MATCH(K1898,[1]!_born[作],0)),"")</f>
        <v/>
      </c>
      <c r="O1898" s="13" t="s" ph="1">
        <v>7865</v>
      </c>
      <c r="T1898" s="13" t="s" ph="1">
        <v>7866</v>
      </c>
    </row>
    <row r="1899" spans="1:25" ht="22.5" customHeight="1" ph="1" x14ac:dyDescent="0.35">
      <c r="A1899" s="106" t="s" ph="1">
        <v>2544</v>
      </c>
      <c r="B1899" s="5" t="s" ph="1">
        <v>1428</v>
      </c>
      <c r="C1899" s="13" t="s" ph="1">
        <v>7591</v>
      </c>
      <c r="G1899" s="13" t="s" ph="1">
        <v>4758</v>
      </c>
      <c r="H1899" s="13" t="s" ph="1">
        <v>61</v>
      </c>
      <c r="I1899" s="13" t="s" ph="1">
        <v>7867</v>
      </c>
      <c r="M1899" s="14" t="str" ph="1">
        <f>IFERROR(INDEX([1]!_born[生没年],
MATCH(I1899,[1]!_born[作],0)),"")</f>
        <v/>
      </c>
      <c r="N1899" s="14" t="str" ph="1">
        <f>IFERROR(INDEX([1]!_born[生没年],
MATCH(K1899,[1]!_born[作],0)),"")</f>
        <v/>
      </c>
      <c r="O1899" s="13" t="s" ph="1">
        <v>7868</v>
      </c>
      <c r="R1899" s="16" ph="1">
        <v>30981</v>
      </c>
      <c r="S1899" s="13" t="s" ph="1">
        <v>7869</v>
      </c>
      <c r="T1899" s="13" t="s" ph="1">
        <v>7870</v>
      </c>
      <c r="U1899" s="16" ph="1">
        <v>40612</v>
      </c>
      <c r="V1899" s="17" ph="1">
        <f>922*1.03</f>
        <v>949.66</v>
      </c>
      <c r="W1899" s="17" ph="1">
        <f>15+250</f>
        <v>265</v>
      </c>
      <c r="X1899" s="13" t="s" ph="1">
        <v>7871</v>
      </c>
    </row>
    <row r="1900" spans="1:25" ht="22.5" customHeight="1" ph="1" x14ac:dyDescent="0.35">
      <c r="C1900" s="13" t="s" ph="1">
        <v>7591</v>
      </c>
      <c r="G1900" s="13" t="s" ph="1">
        <v>4758</v>
      </c>
      <c r="H1900" s="13" t="s" ph="1">
        <v>1219</v>
      </c>
      <c r="I1900" s="13" t="s" ph="1">
        <v>7872</v>
      </c>
      <c r="M1900" s="14" t="str" ph="1">
        <f>IFERROR(INDEX([1]!_born[生没年],
MATCH(I1900,[1]!_born[作],0)),"")</f>
        <v/>
      </c>
      <c r="N1900" s="14" t="str" ph="1">
        <f>IFERROR(INDEX([1]!_born[生没年],
MATCH(K1900,[1]!_born[作],0)),"")</f>
        <v/>
      </c>
      <c r="O1900" s="13" t="s" ph="1">
        <v>7873</v>
      </c>
      <c r="T1900" s="13" t="s" ph="1">
        <v>5147</v>
      </c>
    </row>
    <row r="1901" spans="1:25" ht="22.5" customHeight="1" ph="1" x14ac:dyDescent="0.35">
      <c r="C1901" s="13" t="s" ph="1">
        <v>7591</v>
      </c>
      <c r="G1901" s="13" t="s" ph="1">
        <v>4758</v>
      </c>
      <c r="H1901" s="13" t="s" ph="1">
        <v>1219</v>
      </c>
      <c r="I1901" s="13" t="s" ph="1">
        <v>7874</v>
      </c>
      <c r="M1901" s="14" t="str" ph="1">
        <f>IFERROR(INDEX([1]!_born[生没年],
MATCH(I1901,[1]!_born[作],0)),"")</f>
        <v/>
      </c>
      <c r="N1901" s="14" t="str" ph="1">
        <f>IFERROR(INDEX([1]!_born[生没年],
MATCH(K1901,[1]!_born[作],0)),"")</f>
        <v/>
      </c>
      <c r="O1901" s="13" t="s" ph="1">
        <v>7875</v>
      </c>
      <c r="T1901" s="13" t="s" ph="1">
        <v>5147</v>
      </c>
    </row>
    <row r="1902" spans="1:25" ht="22.5" customHeight="1" ph="1" x14ac:dyDescent="0.35">
      <c r="C1902" s="13" t="s" ph="1">
        <v>7591</v>
      </c>
      <c r="G1902" s="13" t="s" ph="1">
        <v>4758</v>
      </c>
      <c r="H1902" s="13" t="s" ph="1">
        <v>1219</v>
      </c>
      <c r="I1902" s="13" t="s" ph="1">
        <v>7876</v>
      </c>
      <c r="M1902" s="14" t="str" ph="1">
        <f>IFERROR(INDEX([1]!_born[生没年],
MATCH(I1902,[1]!_born[作],0)),"")</f>
        <v/>
      </c>
      <c r="N1902" s="14" t="str" ph="1">
        <f>IFERROR(INDEX([1]!_born[生没年],
MATCH(K1902,[1]!_born[作],0)),"")</f>
        <v/>
      </c>
      <c r="O1902" s="13" t="s" ph="1">
        <v>7877</v>
      </c>
      <c r="T1902" s="13" t="s" ph="1">
        <v>5147</v>
      </c>
    </row>
    <row r="1903" spans="1:25" ht="22.5" customHeight="1" ph="1" x14ac:dyDescent="0.35">
      <c r="C1903" s="13" t="s" ph="1">
        <v>7591</v>
      </c>
      <c r="D1903" s="123" ph="1">
        <v>7</v>
      </c>
      <c r="E1903" s="123" t="s" ph="1">
        <v>1225</v>
      </c>
      <c r="G1903" s="13" t="s" ph="1">
        <v>4758</v>
      </c>
      <c r="H1903" s="13" t="s" ph="1">
        <v>1219</v>
      </c>
      <c r="I1903" s="13" t="s" ph="1">
        <v>7876</v>
      </c>
      <c r="M1903" s="14" t="str" ph="1">
        <f>IFERROR(INDEX([1]!_born[生没年],
MATCH(I1903,[1]!_born[作],0)),"")</f>
        <v/>
      </c>
      <c r="N1903" s="14" t="str" ph="1">
        <f>IFERROR(INDEX([1]!_born[生没年],
MATCH(K1903,[1]!_born[作],0)),"")</f>
        <v/>
      </c>
      <c r="O1903" s="13" t="s" ph="1">
        <v>7878</v>
      </c>
      <c r="T1903" s="13" t="s" ph="1">
        <v>7730</v>
      </c>
    </row>
    <row r="1904" spans="1:25" ht="22.5" customHeight="1" ph="1" x14ac:dyDescent="0.35">
      <c r="C1904" s="13" t="s" ph="1">
        <v>7591</v>
      </c>
      <c r="D1904" s="123" ph="1">
        <v>8</v>
      </c>
      <c r="E1904" s="123" t="s" ph="1">
        <v>1225</v>
      </c>
      <c r="G1904" s="13" t="s" ph="1">
        <v>4758</v>
      </c>
      <c r="H1904" s="13" t="s" ph="1">
        <v>1219</v>
      </c>
      <c r="I1904" s="13" t="s" ph="1">
        <v>7876</v>
      </c>
      <c r="M1904" s="14" t="str" ph="1">
        <f>IFERROR(INDEX([1]!_born[生没年],
MATCH(I1904,[1]!_born[作],0)),"")</f>
        <v/>
      </c>
      <c r="N1904" s="14" t="str" ph="1">
        <f>IFERROR(INDEX([1]!_born[生没年],
MATCH(K1904,[1]!_born[作],0)),"")</f>
        <v/>
      </c>
      <c r="O1904" s="13" t="s" ph="1">
        <v>7879</v>
      </c>
      <c r="T1904" s="13" t="s" ph="1">
        <v>7730</v>
      </c>
    </row>
    <row r="1905" spans="1:25" ht="22.5" customHeight="1" ph="1" x14ac:dyDescent="0.35">
      <c r="C1905" s="13" t="s" ph="1">
        <v>7591</v>
      </c>
      <c r="D1905" s="123" ph="1">
        <v>1</v>
      </c>
      <c r="E1905" s="123" ph="1">
        <v>5</v>
      </c>
      <c r="G1905" s="13" t="s" ph="1">
        <v>4758</v>
      </c>
      <c r="H1905" s="13" t="s" ph="1">
        <v>1219</v>
      </c>
      <c r="I1905" s="13" t="s" ph="1">
        <v>7880</v>
      </c>
      <c r="K1905" s="13" t="s" ph="1">
        <v>7881</v>
      </c>
      <c r="L1905" s="13" t="s" ph="1">
        <v>3616</v>
      </c>
      <c r="M1905" s="14" t="str" ph="1">
        <f>IFERROR(INDEX([1]!_born[生没年],
MATCH(I1905,[1]!_born[作],0)),"")</f>
        <v/>
      </c>
      <c r="N1905" s="14" t="str" ph="1">
        <f>IFERROR(INDEX([1]!_born[生没年],
MATCH(K1905,[1]!_born[作],0)),"")</f>
        <v/>
      </c>
      <c r="O1905" s="13" t="s" ph="1">
        <v>7882</v>
      </c>
      <c r="R1905" s="16" t="s" ph="1">
        <v>1445</v>
      </c>
      <c r="T1905" s="13" t="s" ph="1">
        <v>7730</v>
      </c>
      <c r="U1905" s="16" ph="1">
        <v>37065</v>
      </c>
      <c r="V1905" s="17" ph="1">
        <f>1165*1.05</f>
        <v>1223.25</v>
      </c>
      <c r="X1905" s="13" t="s" ph="1">
        <v>3802</v>
      </c>
      <c r="Y1905" s="13" t="s" ph="1">
        <v>5206</v>
      </c>
    </row>
    <row r="1906" spans="1:25" ht="22.5" customHeight="1" ph="1" x14ac:dyDescent="0.35">
      <c r="C1906" s="13" t="s" ph="1">
        <v>7591</v>
      </c>
      <c r="G1906" s="13" t="s" ph="1">
        <v>7883</v>
      </c>
      <c r="H1906" s="13" t="s" ph="1">
        <v>1219</v>
      </c>
      <c r="I1906" s="13" t="s" ph="1">
        <v>4111</v>
      </c>
      <c r="M1906" s="14" t="str" ph="1">
        <f>IFERROR(INDEX([1]!_born[生没年],
MATCH(I1906,[1]!_born[作],0)),"")</f>
        <v/>
      </c>
      <c r="N1906" s="14" t="str" ph="1">
        <f>IFERROR(INDEX([1]!_born[生没年],
MATCH(K1906,[1]!_born[作],0)),"")</f>
        <v/>
      </c>
      <c r="O1906" s="13" t="s" ph="1">
        <v>7884</v>
      </c>
      <c r="T1906" s="13" t="s" ph="1">
        <v>7375</v>
      </c>
    </row>
    <row r="1907" spans="1:25" ht="22.5" customHeight="1" ph="1" x14ac:dyDescent="0.35">
      <c r="C1907" s="13" t="s" ph="1">
        <v>7591</v>
      </c>
      <c r="G1907" s="13" t="s" ph="1">
        <v>4758</v>
      </c>
      <c r="H1907" s="13" t="s" ph="1">
        <v>1219</v>
      </c>
      <c r="I1907" s="13" t="s" ph="1">
        <v>7885</v>
      </c>
      <c r="M1907" s="14" t="str" ph="1">
        <f>IFERROR(INDEX([1]!_born[生没年],
MATCH(I1907,[1]!_born[作],0)),"")</f>
        <v/>
      </c>
      <c r="N1907" s="14" t="str" ph="1">
        <f>IFERROR(INDEX([1]!_born[生没年],
MATCH(K1907,[1]!_born[作],0)),"")</f>
        <v/>
      </c>
      <c r="O1907" s="13" t="s" ph="1">
        <v>7885</v>
      </c>
      <c r="S1907" s="13" t="s" ph="1">
        <v>7886</v>
      </c>
      <c r="T1907" s="13" t="s" ph="1">
        <v>7730</v>
      </c>
      <c r="V1907" s="17" ph="1">
        <v>1000</v>
      </c>
    </row>
    <row r="1908" spans="1:25" ht="22.5" customHeight="1" ph="1" x14ac:dyDescent="0.35">
      <c r="C1908" s="13" t="s" ph="1">
        <v>7591</v>
      </c>
      <c r="G1908" s="13" t="s" ph="1">
        <v>4758</v>
      </c>
      <c r="H1908" s="13" t="s" ph="1">
        <v>1219</v>
      </c>
      <c r="I1908" s="13" t="s" ph="1">
        <v>7550</v>
      </c>
      <c r="M1908" s="14" t="str" ph="1">
        <f>IFERROR(INDEX([1]!_born[生没年],
MATCH(I1908,[1]!_born[作],0)),"")</f>
        <v/>
      </c>
      <c r="N1908" s="14" t="str" ph="1">
        <f>IFERROR(INDEX([1]!_born[生没年],
MATCH(K1908,[1]!_born[作],0)),"")</f>
        <v/>
      </c>
      <c r="O1908" s="13" t="s" ph="1">
        <v>7887</v>
      </c>
      <c r="T1908" s="13" t="s" ph="1">
        <v>7664</v>
      </c>
      <c r="U1908" s="16" ph="1">
        <v>36771</v>
      </c>
      <c r="V1908" s="17" ph="1">
        <f>419*1.05</f>
        <v>439.95000000000005</v>
      </c>
      <c r="W1908" s="17" ph="1">
        <f>419*1.05</f>
        <v>439.95000000000005</v>
      </c>
    </row>
    <row r="1909" spans="1:25" ht="22.5" customHeight="1" ph="1" x14ac:dyDescent="0.35">
      <c r="A1909" s="106" t="s" ph="1">
        <v>10055</v>
      </c>
      <c r="B1909" s="5" t="s" ph="1">
        <v>1448</v>
      </c>
      <c r="C1909" s="13" t="s" ph="1">
        <v>7591</v>
      </c>
      <c r="G1909" s="13" t="s" ph="1">
        <v>4758</v>
      </c>
      <c r="H1909" s="13" t="s" ph="1">
        <v>61</v>
      </c>
      <c r="I1909" s="13" t="s" ph="1">
        <v>10209</v>
      </c>
      <c r="M1909" s="14" t="str" ph="1">
        <f>IFERROR(INDEX([1]!_born[生没年],
MATCH(I1909,[1]!_born[作],0)),"")</f>
        <v/>
      </c>
      <c r="N1909" s="14" t="str" ph="1">
        <f>IFERROR(INDEX([1]!_born[生没年],
MATCH(K1909,[1]!_born[作],0)),"")</f>
        <v/>
      </c>
      <c r="O1909" s="13" t="s" ph="1">
        <v>10210</v>
      </c>
      <c r="R1909" s="16" t="s" ph="1">
        <v>10056</v>
      </c>
      <c r="T1909" s="13" t="s" ph="1">
        <v>10211</v>
      </c>
      <c r="U1909" s="16" t="s" ph="1">
        <v>10052</v>
      </c>
      <c r="V1909" s="17" ph="1">
        <f>600*1.1</f>
        <v>660</v>
      </c>
      <c r="W1909" s="17" ph="1">
        <f>600*1.1</f>
        <v>660</v>
      </c>
      <c r="Y1909" s="13" t="s" ph="1">
        <v>6627</v>
      </c>
    </row>
    <row r="1910" spans="1:25" ht="22.5" customHeight="1" ph="1" x14ac:dyDescent="0.35">
      <c r="A1910" s="106" t="s" ph="1">
        <v>10053</v>
      </c>
      <c r="B1910" s="5" t="s" ph="1">
        <v>1448</v>
      </c>
      <c r="C1910" s="13" t="s" ph="1">
        <v>7591</v>
      </c>
      <c r="G1910" s="13" t="s" ph="1">
        <v>4758</v>
      </c>
      <c r="H1910" s="13" t="s" ph="1">
        <v>61</v>
      </c>
      <c r="I1910" s="13" t="s" ph="1">
        <v>10212</v>
      </c>
      <c r="M1910" s="14" t="str" ph="1">
        <f>IFERROR(INDEX([1]!_born[生没年],
MATCH(I1910,[1]!_born[作],0)),"")</f>
        <v/>
      </c>
      <c r="N1910" s="14" t="str" ph="1">
        <f>IFERROR(INDEX([1]!_born[生没年],
MATCH(K1910,[1]!_born[作],0)),"")</f>
        <v/>
      </c>
      <c r="O1910" s="13" t="s" ph="1">
        <v>10213</v>
      </c>
      <c r="R1910" s="16" t="s" ph="1">
        <v>10054</v>
      </c>
      <c r="T1910" s="13" t="s" ph="1">
        <v>10214</v>
      </c>
      <c r="U1910" s="16" t="s" ph="1">
        <v>10052</v>
      </c>
      <c r="V1910" s="17" ph="1">
        <f>520*1.1</f>
        <v>572</v>
      </c>
      <c r="W1910" s="17" ph="1">
        <f>520*1.1</f>
        <v>572</v>
      </c>
      <c r="Y1910" s="13" t="s" ph="1">
        <v>6627</v>
      </c>
    </row>
    <row r="1911" spans="1:25" ht="22.5" customHeight="1" ph="1" x14ac:dyDescent="0.35">
      <c r="C1911" s="13" t="s" ph="1">
        <v>7591</v>
      </c>
      <c r="G1911" s="13" t="s" ph="1">
        <v>4758</v>
      </c>
      <c r="H1911" s="13" t="s" ph="1">
        <v>1219</v>
      </c>
      <c r="I1911" s="13" t="s" ph="1">
        <v>7888</v>
      </c>
      <c r="M1911" s="14" t="str" ph="1">
        <f>IFERROR(INDEX([1]!_born[生没年],
MATCH(I1911,[1]!_born[作],0)),"")</f>
        <v/>
      </c>
      <c r="N1911" s="14" t="str" ph="1">
        <f>IFERROR(INDEX([1]!_born[生没年],
MATCH(K1911,[1]!_born[作],0)),"")</f>
        <v/>
      </c>
      <c r="O1911" s="13" t="s" ph="1">
        <v>7889</v>
      </c>
      <c r="T1911" s="13" t="s" ph="1">
        <v>6340</v>
      </c>
    </row>
    <row r="1912" spans="1:25" ht="22.5" customHeight="1" ph="1" x14ac:dyDescent="0.35">
      <c r="C1912" s="13" t="s" ph="1">
        <v>7591</v>
      </c>
      <c r="G1912" s="13" t="s" ph="1">
        <v>4758</v>
      </c>
      <c r="H1912" s="13" t="s" ph="1">
        <v>1219</v>
      </c>
      <c r="I1912" s="13" t="s" ph="1">
        <v>7888</v>
      </c>
      <c r="M1912" s="14" t="str" ph="1">
        <f>IFERROR(INDEX([1]!_born[生没年],
MATCH(I1912,[1]!_born[作],0)),"")</f>
        <v/>
      </c>
      <c r="N1912" s="14" t="str" ph="1">
        <f>IFERROR(INDEX([1]!_born[生没年],
MATCH(K1912,[1]!_born[作],0)),"")</f>
        <v/>
      </c>
      <c r="O1912" s="13" t="s" ph="1">
        <v>7890</v>
      </c>
      <c r="T1912" s="13" t="s" ph="1">
        <v>5147</v>
      </c>
    </row>
    <row r="1913" spans="1:25" ht="22.5" customHeight="1" ph="1" x14ac:dyDescent="0.35">
      <c r="C1913" s="13" t="s" ph="1">
        <v>7591</v>
      </c>
      <c r="G1913" s="13" t="s" ph="1">
        <v>4758</v>
      </c>
      <c r="H1913" s="13" t="s" ph="1">
        <v>1219</v>
      </c>
      <c r="I1913" s="13" t="s" ph="1">
        <v>4859</v>
      </c>
      <c r="M1913" s="14" t="str" ph="1">
        <f>IFERROR(INDEX([1]!_born[生没年],
MATCH(I1913,[1]!_born[作],0)),"")</f>
        <v/>
      </c>
      <c r="N1913" s="14" t="str" ph="1">
        <f>IFERROR(INDEX([1]!_born[生没年],
MATCH(K1913,[1]!_born[作],0)),"")</f>
        <v/>
      </c>
      <c r="O1913" s="13" t="s" ph="1">
        <v>7891</v>
      </c>
      <c r="T1913" s="13" t="s" ph="1">
        <v>7614</v>
      </c>
    </row>
    <row r="1914" spans="1:25" ht="22.5" customHeight="1" ph="1" x14ac:dyDescent="0.35">
      <c r="C1914" s="13" t="s" ph="1">
        <v>7591</v>
      </c>
      <c r="G1914" s="13" t="s" ph="1">
        <v>4758</v>
      </c>
      <c r="H1914" s="13" t="s" ph="1">
        <v>1219</v>
      </c>
      <c r="I1914" s="13" t="s" ph="1">
        <v>4859</v>
      </c>
      <c r="M1914" s="14" t="str" ph="1">
        <f>IFERROR(INDEX([1]!_born[生没年],
MATCH(I1914,[1]!_born[作],0)),"")</f>
        <v/>
      </c>
      <c r="N1914" s="14" t="str" ph="1">
        <f>IFERROR(INDEX([1]!_born[生没年],
MATCH(K1914,[1]!_born[作],0)),"")</f>
        <v/>
      </c>
      <c r="O1914" s="13" t="s" ph="1">
        <v>7892</v>
      </c>
      <c r="T1914" s="13" t="s" ph="1">
        <v>7614</v>
      </c>
    </row>
    <row r="1915" spans="1:25" ht="22.5" customHeight="1" ph="1" x14ac:dyDescent="0.35">
      <c r="C1915" s="13" t="s" ph="1">
        <v>7591</v>
      </c>
      <c r="G1915" s="13" t="s" ph="1">
        <v>4758</v>
      </c>
      <c r="H1915" s="13" t="s" ph="1">
        <v>1219</v>
      </c>
      <c r="I1915" s="13" t="s" ph="1">
        <v>4859</v>
      </c>
      <c r="M1915" s="14" t="str" ph="1">
        <f>IFERROR(INDEX([1]!_born[生没年],
MATCH(I1915,[1]!_born[作],0)),"")</f>
        <v/>
      </c>
      <c r="N1915" s="14" t="str" ph="1">
        <f>IFERROR(INDEX([1]!_born[生没年],
MATCH(K1915,[1]!_born[作],0)),"")</f>
        <v/>
      </c>
      <c r="O1915" s="13" t="s" ph="1">
        <v>7893</v>
      </c>
      <c r="T1915" s="13" t="s" ph="1">
        <v>7614</v>
      </c>
    </row>
    <row r="1916" spans="1:25" ht="22.5" customHeight="1" ph="1" x14ac:dyDescent="0.35">
      <c r="C1916" s="13" t="s" ph="1">
        <v>7591</v>
      </c>
      <c r="G1916" s="13" t="s" ph="1">
        <v>4758</v>
      </c>
      <c r="H1916" s="13" t="s" ph="1">
        <v>1219</v>
      </c>
      <c r="I1916" s="13" t="s" ph="1">
        <v>4859</v>
      </c>
      <c r="M1916" s="14" t="str" ph="1">
        <f>IFERROR(INDEX([1]!_born[生没年],
MATCH(I1916,[1]!_born[作],0)),"")</f>
        <v/>
      </c>
      <c r="N1916" s="14" t="str" ph="1">
        <f>IFERROR(INDEX([1]!_born[生没年],
MATCH(K1916,[1]!_born[作],0)),"")</f>
        <v/>
      </c>
      <c r="O1916" s="13" t="s" ph="1">
        <v>7894</v>
      </c>
      <c r="T1916" s="13" t="s" ph="1">
        <v>7375</v>
      </c>
    </row>
    <row r="1917" spans="1:25" ht="22.5" customHeight="1" ph="1" x14ac:dyDescent="0.35">
      <c r="C1917" s="13" t="s" ph="1">
        <v>7591</v>
      </c>
      <c r="G1917" s="13" t="s" ph="1">
        <v>4758</v>
      </c>
      <c r="H1917" s="13" t="s" ph="1">
        <v>1219</v>
      </c>
      <c r="I1917" s="13" t="s" ph="1">
        <v>4859</v>
      </c>
      <c r="M1917" s="14" t="str" ph="1">
        <f>IFERROR(INDEX([1]!_born[生没年],
MATCH(I1917,[1]!_born[作],0)),"")</f>
        <v/>
      </c>
      <c r="N1917" s="14" t="str" ph="1">
        <f>IFERROR(INDEX([1]!_born[生没年],
MATCH(K1917,[1]!_born[作],0)),"")</f>
        <v/>
      </c>
      <c r="O1917" s="13" t="s" ph="1">
        <v>7895</v>
      </c>
      <c r="T1917" s="13" t="s" ph="1">
        <v>7375</v>
      </c>
    </row>
    <row r="1918" spans="1:25" ht="22.5" customHeight="1" ph="1" x14ac:dyDescent="0.35">
      <c r="C1918" s="13" t="s" ph="1">
        <v>7591</v>
      </c>
      <c r="G1918" s="13" t="s" ph="1">
        <v>4758</v>
      </c>
      <c r="H1918" s="13" t="s" ph="1">
        <v>1219</v>
      </c>
      <c r="I1918" s="13" t="s" ph="1">
        <v>4859</v>
      </c>
      <c r="M1918" s="14" t="str" ph="1">
        <f>IFERROR(INDEX([1]!_born[生没年],
MATCH(I1918,[1]!_born[作],0)),"")</f>
        <v/>
      </c>
      <c r="N1918" s="14" t="str" ph="1">
        <f>IFERROR(INDEX([1]!_born[生没年],
MATCH(K1918,[1]!_born[作],0)),"")</f>
        <v/>
      </c>
      <c r="O1918" s="13" t="s" ph="1">
        <v>7896</v>
      </c>
      <c r="T1918" s="13" t="s" ph="1">
        <v>7375</v>
      </c>
    </row>
    <row r="1919" spans="1:25" ht="22.5" customHeight="1" ph="1" x14ac:dyDescent="0.35">
      <c r="C1919" s="13" t="s" ph="1">
        <v>7591</v>
      </c>
      <c r="G1919" s="13" t="s" ph="1">
        <v>4758</v>
      </c>
      <c r="H1919" s="13" t="s" ph="1">
        <v>1219</v>
      </c>
      <c r="I1919" s="13" t="s" ph="1">
        <v>4859</v>
      </c>
      <c r="M1919" s="14" t="str" ph="1">
        <f>IFERROR(INDEX([1]!_born[生没年],
MATCH(I1919,[1]!_born[作],0)),"")</f>
        <v/>
      </c>
      <c r="N1919" s="14" t="str" ph="1">
        <f>IFERROR(INDEX([1]!_born[生没年],
MATCH(K1919,[1]!_born[作],0)),"")</f>
        <v/>
      </c>
      <c r="O1919" s="13" t="s" ph="1">
        <v>7897</v>
      </c>
      <c r="T1919" s="13" t="s" ph="1">
        <v>7664</v>
      </c>
    </row>
    <row r="1920" spans="1:25" ht="22.5" customHeight="1" ph="1" x14ac:dyDescent="0.35">
      <c r="C1920" s="13" t="s" ph="1">
        <v>7591</v>
      </c>
      <c r="G1920" s="13" t="s" ph="1">
        <v>4758</v>
      </c>
      <c r="H1920" s="13" t="s" ph="1">
        <v>1219</v>
      </c>
      <c r="I1920" s="13" t="s" ph="1">
        <v>4859</v>
      </c>
      <c r="M1920" s="14" t="str" ph="1">
        <f>IFERROR(INDEX([1]!_born[生没年],
MATCH(I1920,[1]!_born[作],0)),"")</f>
        <v/>
      </c>
      <c r="N1920" s="14" t="str" ph="1">
        <f>IFERROR(INDEX([1]!_born[生没年],
MATCH(K1920,[1]!_born[作],0)),"")</f>
        <v/>
      </c>
      <c r="O1920" s="13" t="s" ph="1">
        <v>7898</v>
      </c>
      <c r="T1920" s="13" t="s" ph="1">
        <v>7664</v>
      </c>
    </row>
    <row r="1921" spans="1:25" ht="22.5" customHeight="1" ph="1" x14ac:dyDescent="0.35">
      <c r="C1921" s="13" t="s" ph="1">
        <v>7591</v>
      </c>
      <c r="G1921" s="13" t="s" ph="1">
        <v>4758</v>
      </c>
      <c r="H1921" s="13" t="s" ph="1">
        <v>1219</v>
      </c>
      <c r="I1921" s="13" t="s" ph="1">
        <v>4859</v>
      </c>
      <c r="M1921" s="14" t="str" ph="1">
        <f>IFERROR(INDEX([1]!_born[生没年],
MATCH(I1921,[1]!_born[作],0)),"")</f>
        <v/>
      </c>
      <c r="N1921" s="14" t="str" ph="1">
        <f>IFERROR(INDEX([1]!_born[生没年],
MATCH(K1921,[1]!_born[作],0)),"")</f>
        <v/>
      </c>
      <c r="O1921" s="13" t="s" ph="1">
        <v>7899</v>
      </c>
      <c r="T1921" s="13" t="s" ph="1">
        <v>5147</v>
      </c>
    </row>
    <row r="1922" spans="1:25" ht="22.5" customHeight="1" ph="1" x14ac:dyDescent="0.35">
      <c r="C1922" s="13" t="s" ph="1">
        <v>7591</v>
      </c>
      <c r="G1922" s="13" t="s" ph="1">
        <v>4758</v>
      </c>
      <c r="H1922" s="13" t="s" ph="1">
        <v>1219</v>
      </c>
      <c r="I1922" s="13" t="s" ph="1">
        <v>4859</v>
      </c>
      <c r="M1922" s="14" t="str" ph="1">
        <f>IFERROR(INDEX([1]!_born[生没年],
MATCH(I1922,[1]!_born[作],0)),"")</f>
        <v/>
      </c>
      <c r="N1922" s="14" t="str" ph="1">
        <f>IFERROR(INDEX([1]!_born[生没年],
MATCH(K1922,[1]!_born[作],0)),"")</f>
        <v/>
      </c>
      <c r="O1922" s="13" t="s" ph="1">
        <v>7900</v>
      </c>
      <c r="T1922" s="13" t="s" ph="1">
        <v>5147</v>
      </c>
    </row>
    <row r="1923" spans="1:25" ht="22.5" customHeight="1" ph="1" x14ac:dyDescent="0.35">
      <c r="A1923" s="106" t="s" ph="1">
        <v>1446</v>
      </c>
      <c r="B1923" s="5" t="s" ph="1">
        <v>1444</v>
      </c>
      <c r="C1923" s="13" t="s" ph="1">
        <v>7591</v>
      </c>
      <c r="G1923" s="13" t="s" ph="1">
        <v>4758</v>
      </c>
      <c r="H1923" s="13" t="s" ph="1">
        <v>1219</v>
      </c>
      <c r="I1923" s="13" t="s" ph="1">
        <v>7901</v>
      </c>
      <c r="M1923" s="14" t="str" ph="1">
        <f>IFERROR(INDEX([1]!_born[生没年],
MATCH(I1923,[1]!_born[作],0)),"")</f>
        <v/>
      </c>
      <c r="N1923" s="14" t="str" ph="1">
        <f>IFERROR(INDEX([1]!_born[生没年],
MATCH(K1923,[1]!_born[作],0)),"")</f>
        <v/>
      </c>
      <c r="O1923" s="13" t="s" ph="1">
        <v>7902</v>
      </c>
      <c r="R1923" s="16" t="s" ph="1">
        <v>1374</v>
      </c>
      <c r="T1923" s="13" t="s" ph="1">
        <v>7375</v>
      </c>
      <c r="U1923" s="16" ph="1">
        <v>38549</v>
      </c>
      <c r="V1923" s="17" ph="1">
        <f>800*1.05</f>
        <v>840</v>
      </c>
      <c r="W1923" s="17" ph="1">
        <f>800*1.05</f>
        <v>840</v>
      </c>
      <c r="X1923" s="13" t="s" ph="1">
        <v>7903</v>
      </c>
    </row>
    <row r="1924" spans="1:25" ht="22.5" customHeight="1" ph="1" x14ac:dyDescent="0.35">
      <c r="C1924" s="13" t="s" ph="1">
        <v>7591</v>
      </c>
      <c r="G1924" s="13" t="s" ph="1">
        <v>4758</v>
      </c>
      <c r="H1924" s="13" t="s" ph="1">
        <v>1219</v>
      </c>
      <c r="I1924" s="13" t="s" ph="1">
        <v>4878</v>
      </c>
      <c r="M1924" s="14" t="str" ph="1">
        <f>IFERROR(INDEX([1]!_born[生没年],
MATCH(I1924,[1]!_born[作],0)),"")</f>
        <v/>
      </c>
      <c r="N1924" s="14" t="str" ph="1">
        <f>IFERROR(INDEX([1]!_born[生没年],
MATCH(K1924,[1]!_born[作],0)),"")</f>
        <v/>
      </c>
      <c r="O1924" s="13" t="s" ph="1">
        <v>7904</v>
      </c>
      <c r="T1924" s="13" t="s" ph="1">
        <v>7649</v>
      </c>
    </row>
    <row r="1925" spans="1:25" ht="22.5" customHeight="1" ph="1" x14ac:dyDescent="0.35">
      <c r="A1925" s="106" t="s" ph="1">
        <v>1447</v>
      </c>
      <c r="B1925" s="5" t="s" ph="1">
        <v>1448</v>
      </c>
      <c r="C1925" s="13" t="s" ph="1">
        <v>7591</v>
      </c>
      <c r="G1925" s="13" t="s" ph="1">
        <v>4758</v>
      </c>
      <c r="H1925" s="13" t="s" ph="1">
        <v>1219</v>
      </c>
      <c r="I1925" s="13" t="s" ph="1">
        <v>4881</v>
      </c>
      <c r="M1925" s="14" t="str" ph="1">
        <f>IFERROR(INDEX([1]!_born[生没年],
MATCH(I1925,[1]!_born[作],0)),"")</f>
        <v/>
      </c>
      <c r="N1925" s="14" t="str" ph="1">
        <f>IFERROR(INDEX([1]!_born[生没年],
MATCH(K1925,[1]!_born[作],0)),"")</f>
        <v/>
      </c>
      <c r="O1925" s="13" t="s" ph="1">
        <v>7905</v>
      </c>
      <c r="R1925" s="16" t="s" ph="1">
        <v>7906</v>
      </c>
      <c r="T1925" s="13" t="s" ph="1">
        <v>4890</v>
      </c>
      <c r="U1925" s="16" ph="1">
        <v>39140</v>
      </c>
      <c r="V1925" s="17" ph="1">
        <f>533*1.05</f>
        <v>559.65</v>
      </c>
      <c r="W1925" s="17" ph="1">
        <v>300</v>
      </c>
      <c r="X1925" s="13" t="s" ph="1">
        <v>76</v>
      </c>
    </row>
    <row r="1926" spans="1:25" ht="22.5" customHeight="1" ph="1" x14ac:dyDescent="0.35">
      <c r="A1926" s="106" t="s" ph="1">
        <v>1449</v>
      </c>
      <c r="B1926" s="5" t="s" ph="1">
        <v>1448</v>
      </c>
      <c r="C1926" s="13" t="s" ph="1">
        <v>7591</v>
      </c>
      <c r="G1926" s="13" t="s" ph="1">
        <v>4758</v>
      </c>
      <c r="H1926" s="13" t="s" ph="1">
        <v>1219</v>
      </c>
      <c r="I1926" s="13" t="s" ph="1">
        <v>4881</v>
      </c>
      <c r="M1926" s="14" t="str" ph="1">
        <f>IFERROR(INDEX([1]!_born[生没年],
MATCH(I1926,[1]!_born[作],0)),"")</f>
        <v/>
      </c>
      <c r="N1926" s="14" t="str" ph="1">
        <f>IFERROR(INDEX([1]!_born[生没年],
MATCH(K1926,[1]!_born[作],0)),"")</f>
        <v/>
      </c>
      <c r="O1926" s="13" t="s" ph="1">
        <v>7907</v>
      </c>
      <c r="R1926" s="16" t="s" ph="1">
        <v>7908</v>
      </c>
      <c r="T1926" s="13" t="s" ph="1">
        <v>7866</v>
      </c>
      <c r="U1926" s="16" ph="1">
        <v>39140</v>
      </c>
      <c r="V1926" s="17" ph="1">
        <f>400*1.05</f>
        <v>420</v>
      </c>
      <c r="W1926" s="17" ph="1">
        <v>250</v>
      </c>
      <c r="X1926" s="13" t="s" ph="1">
        <v>76</v>
      </c>
    </row>
    <row r="1927" spans="1:25" ht="22.5" customHeight="1" ph="1" x14ac:dyDescent="0.35">
      <c r="A1927" s="106" t="s" ph="1">
        <v>1450</v>
      </c>
      <c r="B1927" s="5" t="s" ph="1">
        <v>1448</v>
      </c>
      <c r="C1927" s="13" t="s" ph="1">
        <v>7591</v>
      </c>
      <c r="G1927" s="13" t="s" ph="1">
        <v>4758</v>
      </c>
      <c r="H1927" s="13" t="s" ph="1">
        <v>1219</v>
      </c>
      <c r="I1927" s="13" t="s" ph="1">
        <v>4881</v>
      </c>
      <c r="M1927" s="14" t="str" ph="1">
        <f>IFERROR(INDEX([1]!_born[生没年],
MATCH(I1927,[1]!_born[作],0)),"")</f>
        <v/>
      </c>
      <c r="N1927" s="14" t="str" ph="1">
        <f>IFERROR(INDEX([1]!_born[生没年],
MATCH(K1927,[1]!_born[作],0)),"")</f>
        <v/>
      </c>
      <c r="O1927" s="13" t="s" ph="1">
        <v>7909</v>
      </c>
      <c r="R1927" s="16" t="s" ph="1">
        <v>7910</v>
      </c>
      <c r="T1927" s="13" t="s" ph="1">
        <v>7866</v>
      </c>
      <c r="U1927" s="16" ph="1">
        <v>38547</v>
      </c>
      <c r="V1927" s="17" ph="1">
        <f>533*1.05</f>
        <v>559.65</v>
      </c>
      <c r="W1927" s="17" ph="1">
        <f>533*1.05</f>
        <v>559.65</v>
      </c>
      <c r="X1927" s="13" t="s" ph="1">
        <v>7911</v>
      </c>
    </row>
    <row r="1928" spans="1:25" ht="22.5" customHeight="1" ph="1" x14ac:dyDescent="0.35">
      <c r="A1928" s="106" t="s" ph="1">
        <v>1451</v>
      </c>
      <c r="B1928" s="5" t="s" ph="1">
        <v>1448</v>
      </c>
      <c r="C1928" s="13" t="s" ph="1">
        <v>7591</v>
      </c>
      <c r="G1928" s="13" t="s" ph="1">
        <v>4758</v>
      </c>
      <c r="H1928" s="13" t="s" ph="1">
        <v>1219</v>
      </c>
      <c r="I1928" s="13" t="s" ph="1">
        <v>4881</v>
      </c>
      <c r="M1928" s="14" t="str" ph="1">
        <f>IFERROR(INDEX([1]!_born[生没年],
MATCH(I1928,[1]!_born[作],0)),"")</f>
        <v/>
      </c>
      <c r="N1928" s="14" t="str" ph="1">
        <f>IFERROR(INDEX([1]!_born[生没年],
MATCH(K1928,[1]!_born[作],0)),"")</f>
        <v/>
      </c>
      <c r="O1928" s="13" t="s" ph="1">
        <v>7912</v>
      </c>
      <c r="R1928" s="16" t="s" ph="1">
        <v>7913</v>
      </c>
      <c r="T1928" s="13" t="s" ph="1">
        <v>5147</v>
      </c>
      <c r="U1928" s="16" t="s" ph="1">
        <v>1452</v>
      </c>
      <c r="V1928" s="17" ph="1">
        <f>438*1.05</f>
        <v>459.90000000000003</v>
      </c>
      <c r="W1928" s="17" ph="1">
        <f>438*1.05</f>
        <v>459.90000000000003</v>
      </c>
    </row>
    <row r="1929" spans="1:25" ht="22.5" customHeight="1" ph="1" x14ac:dyDescent="0.35">
      <c r="A1929" s="106" t="s" ph="1">
        <v>1453</v>
      </c>
      <c r="B1929" s="5" t="s" ph="1">
        <v>1444</v>
      </c>
      <c r="C1929" s="13" t="s" ph="1">
        <v>7591</v>
      </c>
      <c r="G1929" s="13" t="s" ph="1">
        <v>4758</v>
      </c>
      <c r="H1929" s="13" t="s" ph="1">
        <v>1219</v>
      </c>
      <c r="I1929" s="13" t="s" ph="1">
        <v>4881</v>
      </c>
      <c r="M1929" s="14" t="str" ph="1">
        <f>IFERROR(INDEX([1]!_born[生没年],
MATCH(I1929,[1]!_born[作],0)),"")</f>
        <v/>
      </c>
      <c r="N1929" s="14" t="str" ph="1">
        <f>IFERROR(INDEX([1]!_born[生没年],
MATCH(K1929,[1]!_born[作],0)),"")</f>
        <v/>
      </c>
      <c r="O1929" s="13" t="s" ph="1">
        <v>7914</v>
      </c>
      <c r="R1929" s="16" t="s" ph="1">
        <v>7915</v>
      </c>
      <c r="T1929" s="13" t="s" ph="1">
        <v>7375</v>
      </c>
      <c r="U1929" s="16" ph="1">
        <v>39287</v>
      </c>
      <c r="V1929" s="17" ph="1">
        <f>590*1.05</f>
        <v>619.5</v>
      </c>
      <c r="W1929" s="17" ph="1">
        <f>590*1.05</f>
        <v>619.5</v>
      </c>
      <c r="X1929" s="13" t="s" ph="1">
        <v>4656</v>
      </c>
    </row>
    <row r="1930" spans="1:25" ht="22.5" customHeight="1" ph="1" x14ac:dyDescent="0.35">
      <c r="A1930" s="106" t="s" ph="1">
        <v>2799</v>
      </c>
      <c r="B1930" s="5" t="s" ph="1">
        <v>2800</v>
      </c>
      <c r="C1930" s="13" t="s" ph="1">
        <v>7591</v>
      </c>
      <c r="G1930" s="13" t="s" ph="1">
        <v>4758</v>
      </c>
      <c r="H1930" s="13" t="s" ph="1">
        <v>61</v>
      </c>
      <c r="I1930" s="13" t="s" ph="1">
        <v>4881</v>
      </c>
      <c r="M1930" s="14" t="str" ph="1">
        <f>IFERROR(INDEX([1]!_born[生没年],
MATCH(I1930,[1]!_born[作],0)),"")</f>
        <v/>
      </c>
      <c r="N1930" s="14" t="str" ph="1">
        <f>IFERROR(INDEX([1]!_born[生没年],
MATCH(K1930,[1]!_born[作],0)),"")</f>
        <v/>
      </c>
      <c r="O1930" s="13" t="s" ph="1">
        <v>7916</v>
      </c>
      <c r="R1930" s="16" t="s" ph="1">
        <v>7917</v>
      </c>
      <c r="T1930" s="13" t="s" ph="1">
        <v>7375</v>
      </c>
      <c r="U1930" s="16" t="s" ph="1">
        <v>2797</v>
      </c>
      <c r="V1930" s="17" ph="1">
        <f>571*1.05</f>
        <v>599.55000000000007</v>
      </c>
      <c r="W1930" s="17" t="s" ph="1">
        <v>1225</v>
      </c>
      <c r="X1930" s="13" t="s" ph="1">
        <v>1225</v>
      </c>
    </row>
    <row r="1931" spans="1:25" ht="22.5" customHeight="1" ph="1" x14ac:dyDescent="0.35">
      <c r="A1931" s="106" t="s" ph="1">
        <v>2798</v>
      </c>
      <c r="B1931" s="5" t="s" ph="1">
        <v>1448</v>
      </c>
      <c r="C1931" s="13" t="s" ph="1">
        <v>7591</v>
      </c>
      <c r="G1931" s="13" t="s" ph="1">
        <v>4758</v>
      </c>
      <c r="H1931" s="13" t="s" ph="1">
        <v>61</v>
      </c>
      <c r="I1931" s="13" t="s" ph="1">
        <v>4881</v>
      </c>
      <c r="M1931" s="14" t="str" ph="1">
        <f>IFERROR(INDEX([1]!_born[生没年],
MATCH(I1931,[1]!_born[作],0)),"")</f>
        <v/>
      </c>
      <c r="N1931" s="14" t="str" ph="1">
        <f>IFERROR(INDEX([1]!_born[生没年],
MATCH(K1931,[1]!_born[作],0)),"")</f>
        <v/>
      </c>
      <c r="O1931" s="13" t="s" ph="1">
        <v>7918</v>
      </c>
      <c r="R1931" s="16" t="s" ph="1">
        <v>7919</v>
      </c>
      <c r="T1931" s="13" t="s" ph="1">
        <v>5147</v>
      </c>
      <c r="U1931" s="16" t="s" ph="1">
        <v>2797</v>
      </c>
      <c r="V1931" s="17" ph="1">
        <f>550*1.05</f>
        <v>577.5</v>
      </c>
      <c r="W1931" s="17" t="s" ph="1">
        <v>1225</v>
      </c>
      <c r="X1931" s="13" t="s" ph="1">
        <v>1225</v>
      </c>
    </row>
    <row r="1932" spans="1:25" ht="22.5" customHeight="1" ph="1" x14ac:dyDescent="0.35">
      <c r="A1932" s="106" t="s" ph="1">
        <v>2830</v>
      </c>
      <c r="B1932" s="5" t="s" ph="1">
        <v>1448</v>
      </c>
      <c r="C1932" s="13" t="s" ph="1">
        <v>7591</v>
      </c>
      <c r="G1932" s="13" t="s" ph="1">
        <v>4758</v>
      </c>
      <c r="H1932" s="13" t="s" ph="1">
        <v>61</v>
      </c>
      <c r="I1932" s="13" t="s" ph="1">
        <v>4881</v>
      </c>
      <c r="M1932" s="14" t="str" ph="1">
        <f>IFERROR(INDEX([1]!_born[生没年],
MATCH(I1932,[1]!_born[作],0)),"")</f>
        <v/>
      </c>
      <c r="N1932" s="14" t="str" ph="1">
        <f>IFERROR(INDEX([1]!_born[生没年],
MATCH(K1932,[1]!_born[作],0)),"")</f>
        <v/>
      </c>
      <c r="O1932" s="13" t="s" ph="1">
        <v>7920</v>
      </c>
      <c r="R1932" s="16" ph="1">
        <v>40658</v>
      </c>
      <c r="T1932" s="13" t="s" ph="1">
        <v>7864</v>
      </c>
      <c r="U1932" s="16" t="s" ph="1">
        <v>2797</v>
      </c>
      <c r="V1932" s="17" ph="1">
        <f>571*1.05</f>
        <v>599.55000000000007</v>
      </c>
      <c r="W1932" s="17" ph="1">
        <v>340</v>
      </c>
      <c r="X1932" s="13" t="s" ph="1">
        <v>1225</v>
      </c>
      <c r="Y1932" s="13" t="s" ph="1">
        <v>6627</v>
      </c>
    </row>
    <row r="1933" spans="1:25" ht="22.5" customHeight="1" ph="1" x14ac:dyDescent="0.35">
      <c r="A1933" s="106" t="s" ph="1">
        <v>2973</v>
      </c>
      <c r="B1933" s="5" t="s" ph="1">
        <v>1444</v>
      </c>
      <c r="C1933" s="13" t="s" ph="1">
        <v>7591</v>
      </c>
      <c r="G1933" s="13" t="s" ph="1">
        <v>4758</v>
      </c>
      <c r="H1933" s="13" t="s" ph="1">
        <v>61</v>
      </c>
      <c r="I1933" s="13" t="s" ph="1">
        <v>4881</v>
      </c>
      <c r="M1933" s="14" t="str" ph="1">
        <f>IFERROR(INDEX([1]!_born[生没年],
MATCH(I1933,[1]!_born[作],0)),"")</f>
        <v/>
      </c>
      <c r="N1933" s="14" t="str" ph="1">
        <f>IFERROR(INDEX([1]!_born[生没年],
MATCH(K1933,[1]!_born[作],0)),"")</f>
        <v/>
      </c>
      <c r="O1933" s="13" t="s" ph="1">
        <v>7921</v>
      </c>
      <c r="R1933" s="16" t="s" ph="1">
        <v>2974</v>
      </c>
      <c r="T1933" s="13" t="s" ph="1">
        <v>7375</v>
      </c>
      <c r="U1933" s="16" t="s" ph="1">
        <v>2966</v>
      </c>
      <c r="V1933" s="17" ph="1">
        <f>552*1.08</f>
        <v>596.16000000000008</v>
      </c>
      <c r="W1933" s="17" ph="1">
        <f>552*1.08</f>
        <v>596.16000000000008</v>
      </c>
      <c r="Y1933" s="13" t="s" ph="1">
        <v>6627</v>
      </c>
    </row>
    <row r="1934" spans="1:25" ht="22.5" customHeight="1" ph="1" x14ac:dyDescent="0.35">
      <c r="A1934" s="106" t="s" ph="1">
        <v>2972</v>
      </c>
      <c r="B1934" s="5" t="s" ph="1">
        <v>1444</v>
      </c>
      <c r="C1934" s="13" t="s" ph="1">
        <v>7591</v>
      </c>
      <c r="G1934" s="13" t="s" ph="1">
        <v>4758</v>
      </c>
      <c r="H1934" s="13" t="s" ph="1">
        <v>61</v>
      </c>
      <c r="I1934" s="13" t="s" ph="1">
        <v>4881</v>
      </c>
      <c r="M1934" s="14" t="str" ph="1">
        <f>IFERROR(INDEX([1]!_born[生没年],
MATCH(I1934,[1]!_born[作],0)),"")</f>
        <v/>
      </c>
      <c r="N1934" s="14" t="str" ph="1">
        <f>IFERROR(INDEX([1]!_born[生没年],
MATCH(K1934,[1]!_born[作],0)),"")</f>
        <v/>
      </c>
      <c r="O1934" s="13" t="s" ph="1">
        <v>7922</v>
      </c>
      <c r="R1934" s="16" t="s" ph="1">
        <v>2975</v>
      </c>
      <c r="T1934" s="13" t="s" ph="1">
        <v>7375</v>
      </c>
      <c r="U1934" s="16" t="s" ph="1">
        <v>2966</v>
      </c>
      <c r="V1934" s="17" ph="1">
        <f>457*1.08</f>
        <v>493.56000000000006</v>
      </c>
      <c r="W1934" s="17" ph="1">
        <f>457*1.08</f>
        <v>493.56000000000006</v>
      </c>
      <c r="Y1934" s="13" t="s" ph="1">
        <v>6627</v>
      </c>
    </row>
    <row r="1935" spans="1:25" ht="22.5" customHeight="1" ph="1" x14ac:dyDescent="0.35">
      <c r="A1935" s="106" t="s" ph="1">
        <v>10050</v>
      </c>
      <c r="B1935" s="5" t="s" ph="1">
        <v>1444</v>
      </c>
      <c r="C1935" s="13" t="s" ph="1">
        <v>7591</v>
      </c>
      <c r="G1935" s="13" t="s" ph="1">
        <v>4758</v>
      </c>
      <c r="H1935" s="13" t="s" ph="1">
        <v>61</v>
      </c>
      <c r="I1935" s="13" t="s" ph="1">
        <v>4881</v>
      </c>
      <c r="M1935" s="14" t="str" ph="1">
        <f>IFERROR(INDEX([1]!_born[生没年],
MATCH(I1935,[1]!_born[作],0)),"")</f>
        <v/>
      </c>
      <c r="N1935" s="14" t="str" ph="1">
        <f>IFERROR(INDEX([1]!_born[生没年],
MATCH(K1935,[1]!_born[作],0)),"")</f>
        <v/>
      </c>
      <c r="O1935" s="13" t="s" ph="1">
        <v>10215</v>
      </c>
      <c r="R1935" s="16" t="s" ph="1">
        <v>10051</v>
      </c>
      <c r="T1935" s="13" t="s" ph="1">
        <v>7375</v>
      </c>
      <c r="U1935" s="16" t="s" ph="1">
        <v>10052</v>
      </c>
      <c r="V1935" s="17" ph="1">
        <f>860*1.1</f>
        <v>946.00000000000011</v>
      </c>
      <c r="W1935" s="17" ph="1">
        <f>860*1.1</f>
        <v>946.00000000000011</v>
      </c>
      <c r="Y1935" s="13" t="s" ph="1">
        <v>6627</v>
      </c>
    </row>
    <row r="1936" spans="1:25" ht="22.5" customHeight="1" ph="1" x14ac:dyDescent="0.35">
      <c r="C1936" s="13" t="s" ph="1">
        <v>7591</v>
      </c>
      <c r="G1936" s="13" t="s" ph="1">
        <v>4758</v>
      </c>
      <c r="H1936" s="13" t="s" ph="1">
        <v>1219</v>
      </c>
      <c r="I1936" s="13" t="s" ph="1">
        <v>7923</v>
      </c>
      <c r="M1936" s="14" t="str" ph="1">
        <f>IFERROR(INDEX([1]!_born[生没年],
MATCH(I1936,[1]!_born[作],0)),"")</f>
        <v/>
      </c>
      <c r="N1936" s="14" t="str" ph="1">
        <f>IFERROR(INDEX([1]!_born[生没年],
MATCH(K1936,[1]!_born[作],0)),"")</f>
        <v/>
      </c>
      <c r="O1936" s="13" t="s" ph="1">
        <v>7924</v>
      </c>
      <c r="T1936" s="13" t="s" ph="1">
        <v>5147</v>
      </c>
    </row>
    <row r="1937" spans="3:25" ht="22.5" customHeight="1" ph="1" x14ac:dyDescent="0.35">
      <c r="C1937" s="13" t="s" ph="1">
        <v>7591</v>
      </c>
      <c r="G1937" s="13" t="s" ph="1">
        <v>4758</v>
      </c>
      <c r="H1937" s="13" t="s" ph="1">
        <v>1219</v>
      </c>
      <c r="I1937" s="13" t="s" ph="1">
        <v>7923</v>
      </c>
      <c r="M1937" s="14" t="str" ph="1">
        <f>IFERROR(INDEX([1]!_born[生没年],
MATCH(I1937,[1]!_born[作],0)),"")</f>
        <v/>
      </c>
      <c r="N1937" s="14" t="str" ph="1">
        <f>IFERROR(INDEX([1]!_born[生没年],
MATCH(K1937,[1]!_born[作],0)),"")</f>
        <v/>
      </c>
      <c r="O1937" s="13" t="s" ph="1">
        <v>7925</v>
      </c>
      <c r="T1937" s="13" t="s" ph="1">
        <v>5147</v>
      </c>
    </row>
    <row r="1938" spans="3:25" ht="22.5" customHeight="1" ph="1" x14ac:dyDescent="0.35">
      <c r="C1938" s="13" t="s" ph="1">
        <v>7591</v>
      </c>
      <c r="G1938" s="13" t="s" ph="1">
        <v>4758</v>
      </c>
      <c r="H1938" s="13" t="s" ph="1">
        <v>1219</v>
      </c>
      <c r="I1938" s="13" t="s" ph="1">
        <v>7923</v>
      </c>
      <c r="M1938" s="14" t="str" ph="1">
        <f>IFERROR(INDEX([1]!_born[生没年],
MATCH(I1938,[1]!_born[作],0)),"")</f>
        <v/>
      </c>
      <c r="N1938" s="14" t="str" ph="1">
        <f>IFERROR(INDEX([1]!_born[生没年],
MATCH(K1938,[1]!_born[作],0)),"")</f>
        <v/>
      </c>
      <c r="O1938" s="13" t="s" ph="1">
        <v>7926</v>
      </c>
      <c r="T1938" s="13" t="s" ph="1">
        <v>7614</v>
      </c>
    </row>
    <row r="1939" spans="3:25" ht="22.5" customHeight="1" ph="1" x14ac:dyDescent="0.35">
      <c r="C1939" s="13" t="s" ph="1">
        <v>7591</v>
      </c>
      <c r="G1939" s="13" t="s" ph="1">
        <v>4758</v>
      </c>
      <c r="H1939" s="13" t="s" ph="1">
        <v>1219</v>
      </c>
      <c r="I1939" s="13" t="s" ph="1">
        <v>7927</v>
      </c>
      <c r="M1939" s="14" t="str" ph="1">
        <f>IFERROR(INDEX([1]!_born[生没年],
MATCH(I1939,[1]!_born[作],0)),"")</f>
        <v/>
      </c>
      <c r="N1939" s="14" t="str" ph="1">
        <f>IFERROR(INDEX([1]!_born[生没年],
MATCH(K1939,[1]!_born[作],0)),"")</f>
        <v/>
      </c>
      <c r="O1939" s="13" t="s" ph="1">
        <v>7928</v>
      </c>
      <c r="T1939" s="13" t="s" ph="1">
        <v>7783</v>
      </c>
    </row>
    <row r="1940" spans="3:25" ht="22.5" customHeight="1" ph="1" x14ac:dyDescent="0.35">
      <c r="C1940" s="13" t="s" ph="1">
        <v>7591</v>
      </c>
      <c r="G1940" s="13" t="s" ph="1">
        <v>4758</v>
      </c>
      <c r="H1940" s="13" t="s" ph="1">
        <v>1219</v>
      </c>
      <c r="I1940" s="13" t="s" ph="1">
        <v>4898</v>
      </c>
      <c r="M1940" s="14" t="str" ph="1">
        <f>IFERROR(INDEX([1]!_born[生没年],
MATCH(I1940,[1]!_born[作],0)),"")</f>
        <v/>
      </c>
      <c r="N1940" s="14" t="str" ph="1">
        <f>IFERROR(INDEX([1]!_born[生没年],
MATCH(K1940,[1]!_born[作],0)),"")</f>
        <v/>
      </c>
      <c r="O1940" s="13" t="s" ph="1">
        <v>7929</v>
      </c>
      <c r="T1940" s="13" t="s" ph="1">
        <v>5147</v>
      </c>
      <c r="Y1940" s="13" t="s" ph="1">
        <v>4969</v>
      </c>
    </row>
    <row r="1941" spans="3:25" ht="22.5" customHeight="1" ph="1" x14ac:dyDescent="0.35">
      <c r="C1941" s="13" t="s" ph="1">
        <v>7591</v>
      </c>
      <c r="G1941" s="13" t="s" ph="1">
        <v>4758</v>
      </c>
      <c r="H1941" s="13" t="s" ph="1">
        <v>1219</v>
      </c>
      <c r="I1941" s="13" t="s" ph="1">
        <v>7930</v>
      </c>
      <c r="M1941" s="14" t="str" ph="1">
        <f>IFERROR(INDEX([1]!_born[生没年],
MATCH(I1941,[1]!_born[作],0)),"")</f>
        <v/>
      </c>
      <c r="N1941" s="14" t="str" ph="1">
        <f>IFERROR(INDEX([1]!_born[生没年],
MATCH(K1941,[1]!_born[作],0)),"")</f>
        <v/>
      </c>
      <c r="O1941" s="13" t="s" ph="1">
        <v>7931</v>
      </c>
      <c r="T1941" s="13" t="s" ph="1">
        <v>5147</v>
      </c>
    </row>
    <row r="1942" spans="3:25" ht="22.5" customHeight="1" ph="1" x14ac:dyDescent="0.35">
      <c r="C1942" s="13" t="s" ph="1">
        <v>7591</v>
      </c>
      <c r="G1942" s="13" t="s" ph="1">
        <v>4758</v>
      </c>
      <c r="H1942" s="13" t="s" ph="1">
        <v>1219</v>
      </c>
      <c r="I1942" s="13" t="s" ph="1">
        <v>7930</v>
      </c>
      <c r="M1942" s="14" t="str" ph="1">
        <f>IFERROR(INDEX([1]!_born[生没年],
MATCH(I1942,[1]!_born[作],0)),"")</f>
        <v/>
      </c>
      <c r="N1942" s="14" t="str" ph="1">
        <f>IFERROR(INDEX([1]!_born[生没年],
MATCH(K1942,[1]!_born[作],0)),"")</f>
        <v/>
      </c>
      <c r="O1942" s="13" t="s" ph="1">
        <v>7932</v>
      </c>
      <c r="T1942" s="13" t="s" ph="1">
        <v>5147</v>
      </c>
    </row>
    <row r="1943" spans="3:25" ht="22.5" customHeight="1" ph="1" x14ac:dyDescent="0.35">
      <c r="C1943" s="13" t="s" ph="1">
        <v>7591</v>
      </c>
      <c r="G1943" s="13" t="s" ph="1">
        <v>4758</v>
      </c>
      <c r="H1943" s="13" t="s" ph="1">
        <v>1219</v>
      </c>
      <c r="I1943" s="13" t="s" ph="1">
        <v>7930</v>
      </c>
      <c r="M1943" s="14" t="str" ph="1">
        <f>IFERROR(INDEX([1]!_born[生没年],
MATCH(I1943,[1]!_born[作],0)),"")</f>
        <v/>
      </c>
      <c r="N1943" s="14" t="str" ph="1">
        <f>IFERROR(INDEX([1]!_born[生没年],
MATCH(K1943,[1]!_born[作],0)),"")</f>
        <v/>
      </c>
      <c r="O1943" s="13" t="s" ph="1">
        <v>7933</v>
      </c>
      <c r="T1943" s="13" t="s" ph="1">
        <v>5147</v>
      </c>
    </row>
    <row r="1944" spans="3:25" ht="22.5" customHeight="1" ph="1" x14ac:dyDescent="0.35">
      <c r="C1944" s="13" t="s" ph="1">
        <v>7591</v>
      </c>
      <c r="G1944" s="13" t="s" ph="1">
        <v>4758</v>
      </c>
      <c r="H1944" s="13" t="s" ph="1">
        <v>1219</v>
      </c>
      <c r="I1944" s="13" t="s" ph="1">
        <v>7934</v>
      </c>
      <c r="M1944" s="14" t="str" ph="1">
        <f>IFERROR(INDEX([1]!_born[生没年],
MATCH(I1944,[1]!_born[作],0)),"")</f>
        <v/>
      </c>
      <c r="N1944" s="14" t="str" ph="1">
        <f>IFERROR(INDEX([1]!_born[生没年],
MATCH(K1944,[1]!_born[作],0)),"")</f>
        <v/>
      </c>
      <c r="O1944" s="13" t="s" ph="1">
        <v>7935</v>
      </c>
      <c r="T1944" s="13" t="s" ph="1">
        <v>7822</v>
      </c>
      <c r="U1944" s="16" ph="1">
        <v>37094</v>
      </c>
      <c r="V1944" s="17" ph="1">
        <v>780</v>
      </c>
      <c r="W1944" s="17" ph="1">
        <v>350</v>
      </c>
      <c r="X1944" s="13" t="s" ph="1">
        <v>4937</v>
      </c>
    </row>
    <row r="1945" spans="3:25" ht="22.5" customHeight="1" ph="1" x14ac:dyDescent="0.35">
      <c r="C1945" s="13" t="s" ph="1">
        <v>7591</v>
      </c>
      <c r="G1945" s="13" t="s" ph="1">
        <v>4758</v>
      </c>
      <c r="H1945" s="13" t="s" ph="1">
        <v>1219</v>
      </c>
      <c r="I1945" s="13" t="s" ph="1">
        <v>7936</v>
      </c>
      <c r="K1945" s="13" t="s" ph="1">
        <v>7937</v>
      </c>
      <c r="L1945" s="13" t="s" ph="1">
        <v>7150</v>
      </c>
      <c r="M1945" s="14" t="str" ph="1">
        <f>IFERROR(INDEX([1]!_born[生没年],
MATCH(I1945,[1]!_born[作],0)),"")</f>
        <v/>
      </c>
      <c r="N1945" s="14" t="str" ph="1">
        <f>IFERROR(INDEX([1]!_born[生没年],
MATCH(K1945,[1]!_born[作],0)),"")</f>
        <v/>
      </c>
      <c r="O1945" s="13" t="s" ph="1">
        <v>7938</v>
      </c>
      <c r="T1945" s="13" t="s" ph="1">
        <v>7939</v>
      </c>
      <c r="U1945" s="16" ph="1">
        <v>36982</v>
      </c>
      <c r="V1945" s="17" ph="1">
        <f>738*1.05</f>
        <v>774.9</v>
      </c>
      <c r="X1945" s="13" t="s" ph="1">
        <v>3802</v>
      </c>
    </row>
    <row r="1946" spans="3:25" ht="22.5" customHeight="1" ph="1" x14ac:dyDescent="0.35">
      <c r="C1946" s="13" t="s" ph="1">
        <v>7591</v>
      </c>
      <c r="G1946" s="13" t="s" ph="1">
        <v>3599</v>
      </c>
      <c r="H1946" s="13" t="s" ph="1">
        <v>1219</v>
      </c>
      <c r="I1946" s="13" t="s" ph="1">
        <v>7940</v>
      </c>
      <c r="M1946" s="14" t="str" ph="1">
        <f>IFERROR(INDEX([1]!_born[生没年],
MATCH(I1946,[1]!_born[作],0)),"")</f>
        <v/>
      </c>
      <c r="N1946" s="14" t="str" ph="1">
        <f>IFERROR(INDEX([1]!_born[生没年],
MATCH(K1946,[1]!_born[作],0)),"")</f>
        <v/>
      </c>
      <c r="O1946" s="13" t="s" ph="1">
        <v>7941</v>
      </c>
      <c r="T1946" s="13" t="s" ph="1">
        <v>5147</v>
      </c>
    </row>
    <row r="1947" spans="3:25" ht="22.5" customHeight="1" ph="1" x14ac:dyDescent="0.35">
      <c r="C1947" s="13" t="s" ph="1">
        <v>7591</v>
      </c>
      <c r="G1947" s="13" t="s" ph="1">
        <v>4758</v>
      </c>
      <c r="H1947" s="13" t="s" ph="1">
        <v>1219</v>
      </c>
      <c r="I1947" s="13" t="s" ph="1">
        <v>7942</v>
      </c>
      <c r="M1947" s="14" t="str" ph="1">
        <f>IFERROR(INDEX([1]!_born[生没年],
MATCH(I1947,[1]!_born[作],0)),"")</f>
        <v/>
      </c>
      <c r="N1947" s="14" t="str" ph="1">
        <f>IFERROR(INDEX([1]!_born[生没年],
MATCH(K1947,[1]!_born[作],0)),"")</f>
        <v/>
      </c>
      <c r="O1947" s="13" t="s" ph="1">
        <v>7943</v>
      </c>
      <c r="T1947" s="13" t="s" ph="1">
        <v>7375</v>
      </c>
      <c r="Y1947" s="13" t="s" ph="1">
        <v>7944</v>
      </c>
    </row>
    <row r="1948" spans="3:25" ht="22.5" customHeight="1" ph="1" x14ac:dyDescent="0.35">
      <c r="C1948" s="13" t="s" ph="1">
        <v>7591</v>
      </c>
      <c r="G1948" s="13" t="s" ph="1">
        <v>4758</v>
      </c>
      <c r="H1948" s="13" t="s" ph="1">
        <v>1219</v>
      </c>
      <c r="I1948" s="13" t="s" ph="1">
        <v>7945</v>
      </c>
      <c r="M1948" s="14" t="str" ph="1">
        <f>IFERROR(INDEX([1]!_born[生没年],
MATCH(I1948,[1]!_born[作],0)),"")</f>
        <v/>
      </c>
      <c r="N1948" s="14" t="str" ph="1">
        <f>IFERROR(INDEX([1]!_born[生没年],
MATCH(K1948,[1]!_born[作],0)),"")</f>
        <v/>
      </c>
      <c r="O1948" s="13" t="s" ph="1">
        <v>7946</v>
      </c>
      <c r="T1948" s="13" t="s" ph="1">
        <v>5147</v>
      </c>
    </row>
    <row r="1949" spans="3:25" ht="22.5" customHeight="1" ph="1" x14ac:dyDescent="0.35">
      <c r="C1949" s="13" t="s" ph="1">
        <v>7591</v>
      </c>
      <c r="G1949" s="13" t="s" ph="1">
        <v>4758</v>
      </c>
      <c r="H1949" s="13" t="s" ph="1">
        <v>1219</v>
      </c>
      <c r="I1949" s="13" t="s" ph="1">
        <v>7947</v>
      </c>
      <c r="M1949" s="14" t="str" ph="1">
        <f>IFERROR(INDEX([1]!_born[生没年],
MATCH(I1949,[1]!_born[作],0)),"")</f>
        <v/>
      </c>
      <c r="N1949" s="14" t="str" ph="1">
        <f>IFERROR(INDEX([1]!_born[生没年],
MATCH(K1949,[1]!_born[作],0)),"")</f>
        <v/>
      </c>
      <c r="O1949" s="13" t="s" ph="1">
        <v>7948</v>
      </c>
      <c r="T1949" s="13" t="s" ph="1">
        <v>7949</v>
      </c>
    </row>
    <row r="1950" spans="3:25" ht="22.5" customHeight="1" ph="1" x14ac:dyDescent="0.35">
      <c r="C1950" s="13" t="s" ph="1">
        <v>7591</v>
      </c>
      <c r="G1950" s="13" t="s" ph="1">
        <v>4758</v>
      </c>
      <c r="H1950" s="13" t="s" ph="1">
        <v>1219</v>
      </c>
      <c r="I1950" s="13" t="s" ph="1">
        <v>7950</v>
      </c>
      <c r="M1950" s="14" t="str" ph="1">
        <f>IFERROR(INDEX([1]!_born[生没年],
MATCH(I1950,[1]!_born[作],0)),"")</f>
        <v/>
      </c>
      <c r="N1950" s="14" t="str" ph="1">
        <f>IFERROR(INDEX([1]!_born[生没年],
MATCH(K1950,[1]!_born[作],0)),"")</f>
        <v/>
      </c>
      <c r="O1950" s="13" t="s" ph="1">
        <v>7951</v>
      </c>
      <c r="T1950" s="13" t="s" ph="1">
        <v>5147</v>
      </c>
    </row>
    <row r="1951" spans="3:25" ht="22.5" customHeight="1" ph="1" x14ac:dyDescent="0.35">
      <c r="C1951" s="13" t="s" ph="1">
        <v>7591</v>
      </c>
      <c r="G1951" s="13" t="s" ph="1">
        <v>4758</v>
      </c>
      <c r="H1951" s="13" t="s" ph="1">
        <v>1219</v>
      </c>
      <c r="I1951" s="13" t="s" ph="1">
        <v>7950</v>
      </c>
      <c r="M1951" s="14" t="str" ph="1">
        <f>IFERROR(INDEX([1]!_born[生没年],
MATCH(I1951,[1]!_born[作],0)),"")</f>
        <v/>
      </c>
      <c r="N1951" s="14" t="str" ph="1">
        <f>IFERROR(INDEX([1]!_born[生没年],
MATCH(K1951,[1]!_born[作],0)),"")</f>
        <v/>
      </c>
      <c r="O1951" s="13" t="s" ph="1">
        <v>7952</v>
      </c>
      <c r="T1951" s="13" t="s" ph="1">
        <v>5147</v>
      </c>
    </row>
    <row r="1952" spans="3:25" ht="22.5" customHeight="1" ph="1" x14ac:dyDescent="0.35">
      <c r="C1952" s="13" t="s" ph="1">
        <v>7591</v>
      </c>
      <c r="G1952" s="13" t="s" ph="1">
        <v>4911</v>
      </c>
      <c r="H1952" s="13" t="s" ph="1">
        <v>1219</v>
      </c>
      <c r="I1952" s="15" t="s" ph="1">
        <v>4912</v>
      </c>
      <c r="M1952" s="14" t="str" ph="1">
        <f>IFERROR(INDEX([1]!_born[生没年],
MATCH(I1952,[1]!_born[作],0)),"")</f>
        <v/>
      </c>
      <c r="N1952" s="14" t="str" ph="1">
        <f>IFERROR(INDEX([1]!_born[生没年],
MATCH(K1952,[1]!_born[作],0)),"")</f>
        <v/>
      </c>
      <c r="O1952" s="13" t="s" ph="1">
        <v>7953</v>
      </c>
      <c r="T1952" s="13" t="s" ph="1">
        <v>7649</v>
      </c>
    </row>
    <row r="1953" spans="3:20" ht="22.5" customHeight="1" ph="1" x14ac:dyDescent="0.35">
      <c r="C1953" s="13" t="s" ph="1">
        <v>7591</v>
      </c>
      <c r="G1953" s="13" t="s" ph="1">
        <v>4911</v>
      </c>
      <c r="H1953" s="13" t="s" ph="1">
        <v>1219</v>
      </c>
      <c r="I1953" s="15" t="s" ph="1">
        <v>4912</v>
      </c>
      <c r="M1953" s="14" t="str" ph="1">
        <f>IFERROR(INDEX([1]!_born[生没年],
MATCH(I1953,[1]!_born[作],0)),"")</f>
        <v/>
      </c>
      <c r="N1953" s="14" t="str" ph="1">
        <f>IFERROR(INDEX([1]!_born[生没年],
MATCH(K1953,[1]!_born[作],0)),"")</f>
        <v/>
      </c>
      <c r="O1953" s="13" t="s" ph="1">
        <v>7954</v>
      </c>
      <c r="T1953" s="13" t="s" ph="1">
        <v>7649</v>
      </c>
    </row>
    <row r="1954" spans="3:20" ht="22.5" customHeight="1" ph="1" x14ac:dyDescent="0.35">
      <c r="C1954" s="13" t="s" ph="1">
        <v>7591</v>
      </c>
      <c r="G1954" s="13" t="s" ph="1">
        <v>4911</v>
      </c>
      <c r="H1954" s="13" t="s" ph="1">
        <v>1219</v>
      </c>
      <c r="I1954" s="15" t="s" ph="1">
        <v>4912</v>
      </c>
      <c r="M1954" s="14" t="str" ph="1">
        <f>IFERROR(INDEX([1]!_born[生没年],
MATCH(I1954,[1]!_born[作],0)),"")</f>
        <v/>
      </c>
      <c r="N1954" s="14" t="str" ph="1">
        <f>IFERROR(INDEX([1]!_born[生没年],
MATCH(K1954,[1]!_born[作],0)),"")</f>
        <v/>
      </c>
      <c r="O1954" s="13" t="s" ph="1">
        <v>7955</v>
      </c>
      <c r="T1954" s="13" t="s" ph="1">
        <v>7649</v>
      </c>
    </row>
    <row r="1955" spans="3:20" ht="22.5" customHeight="1" ph="1" x14ac:dyDescent="0.35">
      <c r="C1955" s="13" t="s" ph="1">
        <v>7591</v>
      </c>
      <c r="G1955" s="13" t="s" ph="1">
        <v>4911</v>
      </c>
      <c r="H1955" s="13" t="s" ph="1">
        <v>1219</v>
      </c>
      <c r="I1955" s="15" t="s" ph="1">
        <v>4912</v>
      </c>
      <c r="M1955" s="14" t="str" ph="1">
        <f>IFERROR(INDEX([1]!_born[生没年],
MATCH(I1955,[1]!_born[作],0)),"")</f>
        <v/>
      </c>
      <c r="N1955" s="14" t="str" ph="1">
        <f>IFERROR(INDEX([1]!_born[生没年],
MATCH(K1955,[1]!_born[作],0)),"")</f>
        <v/>
      </c>
      <c r="O1955" s="13" t="s" ph="1">
        <v>7956</v>
      </c>
      <c r="T1955" s="13" t="s" ph="1">
        <v>7649</v>
      </c>
    </row>
    <row r="1956" spans="3:20" ht="22.5" customHeight="1" ph="1" x14ac:dyDescent="0.35">
      <c r="C1956" s="13" t="s" ph="1">
        <v>7591</v>
      </c>
      <c r="G1956" s="13" t="s" ph="1">
        <v>4911</v>
      </c>
      <c r="H1956" s="13" t="s" ph="1">
        <v>1219</v>
      </c>
      <c r="I1956" s="15" t="s" ph="1">
        <v>4912</v>
      </c>
      <c r="M1956" s="14" t="str" ph="1">
        <f>IFERROR(INDEX([1]!_born[生没年],
MATCH(I1956,[1]!_born[作],0)),"")</f>
        <v/>
      </c>
      <c r="N1956" s="14" t="str" ph="1">
        <f>IFERROR(INDEX([1]!_born[生没年],
MATCH(K1956,[1]!_born[作],0)),"")</f>
        <v/>
      </c>
      <c r="O1956" s="13" t="s" ph="1">
        <v>7957</v>
      </c>
      <c r="T1956" s="13" t="s" ph="1">
        <v>7649</v>
      </c>
    </row>
    <row r="1957" spans="3:20" ht="22.5" customHeight="1" ph="1" x14ac:dyDescent="0.35">
      <c r="C1957" s="13" t="s" ph="1">
        <v>7591</v>
      </c>
      <c r="G1957" s="13" t="s" ph="1">
        <v>4911</v>
      </c>
      <c r="H1957" s="13" t="s" ph="1">
        <v>1219</v>
      </c>
      <c r="I1957" s="15" t="s" ph="1">
        <v>4912</v>
      </c>
      <c r="M1957" s="14" t="str" ph="1">
        <f>IFERROR(INDEX([1]!_born[生没年],
MATCH(I1957,[1]!_born[作],0)),"")</f>
        <v/>
      </c>
      <c r="N1957" s="14" t="str" ph="1">
        <f>IFERROR(INDEX([1]!_born[生没年],
MATCH(K1957,[1]!_born[作],0)),"")</f>
        <v/>
      </c>
      <c r="O1957" s="13" t="s" ph="1">
        <v>7958</v>
      </c>
      <c r="T1957" s="13" t="s" ph="1">
        <v>7649</v>
      </c>
    </row>
    <row r="1958" spans="3:20" ht="22.5" customHeight="1" ph="1" x14ac:dyDescent="0.35">
      <c r="C1958" s="13" t="s" ph="1">
        <v>7591</v>
      </c>
      <c r="G1958" s="13" t="s" ph="1">
        <v>4911</v>
      </c>
      <c r="H1958" s="13" t="s" ph="1">
        <v>1219</v>
      </c>
      <c r="I1958" s="15" t="s" ph="1">
        <v>4912</v>
      </c>
      <c r="M1958" s="14" t="str" ph="1">
        <f>IFERROR(INDEX([1]!_born[生没年],
MATCH(I1958,[1]!_born[作],0)),"")</f>
        <v/>
      </c>
      <c r="N1958" s="14" t="str" ph="1">
        <f>IFERROR(INDEX([1]!_born[生没年],
MATCH(K1958,[1]!_born[作],0)),"")</f>
        <v/>
      </c>
      <c r="O1958" s="13" t="s" ph="1">
        <v>7959</v>
      </c>
      <c r="T1958" s="13" t="s" ph="1">
        <v>7649</v>
      </c>
    </row>
    <row r="1959" spans="3:20" ht="22.5" customHeight="1" ph="1" x14ac:dyDescent="0.35">
      <c r="C1959" s="13" t="s" ph="1">
        <v>7591</v>
      </c>
      <c r="G1959" s="13" t="s" ph="1">
        <v>4911</v>
      </c>
      <c r="H1959" s="13" t="s" ph="1">
        <v>1219</v>
      </c>
      <c r="I1959" s="15" t="s" ph="1">
        <v>4912</v>
      </c>
      <c r="M1959" s="14" t="str" ph="1">
        <f>IFERROR(INDEX([1]!_born[生没年],
MATCH(I1959,[1]!_born[作],0)),"")</f>
        <v/>
      </c>
      <c r="N1959" s="14" t="str" ph="1">
        <f>IFERROR(INDEX([1]!_born[生没年],
MATCH(K1959,[1]!_born[作],0)),"")</f>
        <v/>
      </c>
      <c r="O1959" s="13" t="s" ph="1">
        <v>7960</v>
      </c>
      <c r="T1959" s="13" t="s" ph="1">
        <v>7649</v>
      </c>
    </row>
    <row r="1960" spans="3:20" ht="22.5" customHeight="1" ph="1" x14ac:dyDescent="0.35">
      <c r="C1960" s="13" t="s" ph="1">
        <v>7591</v>
      </c>
      <c r="G1960" s="13" t="s" ph="1">
        <v>4911</v>
      </c>
      <c r="H1960" s="13" t="s" ph="1">
        <v>1219</v>
      </c>
      <c r="I1960" s="15" t="s" ph="1">
        <v>4912</v>
      </c>
      <c r="M1960" s="14" t="str" ph="1">
        <f>IFERROR(INDEX([1]!_born[生没年],
MATCH(I1960,[1]!_born[作],0)),"")</f>
        <v/>
      </c>
      <c r="N1960" s="14" t="str" ph="1">
        <f>IFERROR(INDEX([1]!_born[生没年],
MATCH(K1960,[1]!_born[作],0)),"")</f>
        <v/>
      </c>
      <c r="O1960" s="13" t="s" ph="1">
        <v>7961</v>
      </c>
      <c r="T1960" s="13" t="s" ph="1">
        <v>7649</v>
      </c>
    </row>
    <row r="1961" spans="3:20" ht="22.5" customHeight="1" ph="1" x14ac:dyDescent="0.35">
      <c r="C1961" s="13" t="s" ph="1">
        <v>7591</v>
      </c>
      <c r="G1961" s="13" t="s" ph="1">
        <v>4911</v>
      </c>
      <c r="H1961" s="13" t="s" ph="1">
        <v>1219</v>
      </c>
      <c r="I1961" s="15" t="s" ph="1">
        <v>4912</v>
      </c>
      <c r="M1961" s="14" t="str" ph="1">
        <f>IFERROR(INDEX([1]!_born[生没年],
MATCH(I1961,[1]!_born[作],0)),"")</f>
        <v/>
      </c>
      <c r="N1961" s="14" t="str" ph="1">
        <f>IFERROR(INDEX([1]!_born[生没年],
MATCH(K1961,[1]!_born[作],0)),"")</f>
        <v/>
      </c>
      <c r="O1961" s="13" t="s" ph="1">
        <v>7962</v>
      </c>
      <c r="T1961" s="13" t="s" ph="1">
        <v>7649</v>
      </c>
    </row>
    <row r="1962" spans="3:20" ht="22.5" customHeight="1" ph="1" x14ac:dyDescent="0.35">
      <c r="C1962" s="13" t="s" ph="1">
        <v>7591</v>
      </c>
      <c r="G1962" s="13" t="s" ph="1">
        <v>4911</v>
      </c>
      <c r="H1962" s="13" t="s" ph="1">
        <v>1219</v>
      </c>
      <c r="I1962" s="15" t="s" ph="1">
        <v>4912</v>
      </c>
      <c r="M1962" s="14" t="str" ph="1">
        <f>IFERROR(INDEX([1]!_born[生没年],
MATCH(I1962,[1]!_born[作],0)),"")</f>
        <v/>
      </c>
      <c r="N1962" s="14" t="str" ph="1">
        <f>IFERROR(INDEX([1]!_born[生没年],
MATCH(K1962,[1]!_born[作],0)),"")</f>
        <v/>
      </c>
      <c r="O1962" s="13" t="s" ph="1">
        <v>7963</v>
      </c>
      <c r="T1962" s="13" t="s" ph="1">
        <v>7649</v>
      </c>
    </row>
    <row r="1963" spans="3:20" ht="22.5" customHeight="1" ph="1" x14ac:dyDescent="0.35">
      <c r="C1963" s="13" t="s" ph="1">
        <v>7591</v>
      </c>
      <c r="G1963" s="13" t="s" ph="1">
        <v>4911</v>
      </c>
      <c r="H1963" s="13" t="s" ph="1">
        <v>1219</v>
      </c>
      <c r="I1963" s="15" t="s" ph="1">
        <v>4912</v>
      </c>
      <c r="M1963" s="14" t="str" ph="1">
        <f>IFERROR(INDEX([1]!_born[生没年],
MATCH(I1963,[1]!_born[作],0)),"")</f>
        <v/>
      </c>
      <c r="N1963" s="14" t="str" ph="1">
        <f>IFERROR(INDEX([1]!_born[生没年],
MATCH(K1963,[1]!_born[作],0)),"")</f>
        <v/>
      </c>
      <c r="O1963" s="13" t="s" ph="1">
        <v>7964</v>
      </c>
      <c r="T1963" s="13" t="s" ph="1">
        <v>7649</v>
      </c>
    </row>
    <row r="1964" spans="3:20" ht="22.5" customHeight="1" ph="1" x14ac:dyDescent="0.35">
      <c r="C1964" s="13" t="s" ph="1">
        <v>7591</v>
      </c>
      <c r="G1964" s="13" t="s" ph="1">
        <v>4911</v>
      </c>
      <c r="H1964" s="13" t="s" ph="1">
        <v>1219</v>
      </c>
      <c r="I1964" s="15" t="s" ph="1">
        <v>4912</v>
      </c>
      <c r="M1964" s="14" t="str" ph="1">
        <f>IFERROR(INDEX([1]!_born[生没年],
MATCH(I1964,[1]!_born[作],0)),"")</f>
        <v/>
      </c>
      <c r="N1964" s="14" t="str" ph="1">
        <f>IFERROR(INDEX([1]!_born[生没年],
MATCH(K1964,[1]!_born[作],0)),"")</f>
        <v/>
      </c>
      <c r="O1964" s="13" t="s" ph="1">
        <v>7965</v>
      </c>
      <c r="T1964" s="13" t="s" ph="1">
        <v>7649</v>
      </c>
    </row>
    <row r="1965" spans="3:20" ht="22.5" customHeight="1" ph="1" x14ac:dyDescent="0.35">
      <c r="C1965" s="13" t="s" ph="1">
        <v>7591</v>
      </c>
      <c r="G1965" s="13" t="s" ph="1">
        <v>4911</v>
      </c>
      <c r="H1965" s="13" t="s" ph="1">
        <v>1219</v>
      </c>
      <c r="I1965" s="15" t="s" ph="1">
        <v>4912</v>
      </c>
      <c r="M1965" s="14" t="str" ph="1">
        <f>IFERROR(INDEX([1]!_born[生没年],
MATCH(I1965,[1]!_born[作],0)),"")</f>
        <v/>
      </c>
      <c r="N1965" s="14" t="str" ph="1">
        <f>IFERROR(INDEX([1]!_born[生没年],
MATCH(K1965,[1]!_born[作],0)),"")</f>
        <v/>
      </c>
      <c r="O1965" s="13" t="s" ph="1">
        <v>7966</v>
      </c>
      <c r="T1965" s="13" t="s" ph="1">
        <v>7649</v>
      </c>
    </row>
    <row r="1966" spans="3:20" ht="22.5" customHeight="1" ph="1" x14ac:dyDescent="0.35">
      <c r="C1966" s="13" t="s" ph="1">
        <v>7591</v>
      </c>
      <c r="G1966" s="13" t="s" ph="1">
        <v>4911</v>
      </c>
      <c r="H1966" s="13" t="s" ph="1">
        <v>1219</v>
      </c>
      <c r="I1966" s="15" t="s" ph="1">
        <v>4912</v>
      </c>
      <c r="M1966" s="14" t="str" ph="1">
        <f>IFERROR(INDEX([1]!_born[生没年],
MATCH(I1966,[1]!_born[作],0)),"")</f>
        <v/>
      </c>
      <c r="N1966" s="14" t="str" ph="1">
        <f>IFERROR(INDEX([1]!_born[生没年],
MATCH(K1966,[1]!_born[作],0)),"")</f>
        <v/>
      </c>
      <c r="O1966" s="13" t="s" ph="1">
        <v>7964</v>
      </c>
      <c r="T1966" s="13" t="s" ph="1">
        <v>7649</v>
      </c>
    </row>
    <row r="1967" spans="3:20" ht="22.5" customHeight="1" ph="1" x14ac:dyDescent="0.35">
      <c r="C1967" s="13" t="s" ph="1">
        <v>7591</v>
      </c>
      <c r="G1967" s="13" t="s" ph="1">
        <v>4911</v>
      </c>
      <c r="H1967" s="13" t="s" ph="1">
        <v>1219</v>
      </c>
      <c r="I1967" s="15" t="s" ph="1">
        <v>4912</v>
      </c>
      <c r="M1967" s="14" t="str" ph="1">
        <f>IFERROR(INDEX([1]!_born[生没年],
MATCH(I1967,[1]!_born[作],0)),"")</f>
        <v/>
      </c>
      <c r="N1967" s="14" t="str" ph="1">
        <f>IFERROR(INDEX([1]!_born[生没年],
MATCH(K1967,[1]!_born[作],0)),"")</f>
        <v/>
      </c>
      <c r="O1967" s="13" t="s" ph="1">
        <v>7967</v>
      </c>
      <c r="T1967" s="13" t="s" ph="1">
        <v>7649</v>
      </c>
    </row>
    <row r="1968" spans="3:20" ht="22.5" customHeight="1" ph="1" x14ac:dyDescent="0.35">
      <c r="C1968" s="13" t="s" ph="1">
        <v>7591</v>
      </c>
      <c r="G1968" s="13" t="s" ph="1">
        <v>4911</v>
      </c>
      <c r="H1968" s="13" t="s" ph="1">
        <v>1219</v>
      </c>
      <c r="I1968" s="15" t="s" ph="1">
        <v>4912</v>
      </c>
      <c r="M1968" s="14" t="str" ph="1">
        <f>IFERROR(INDEX([1]!_born[生没年],
MATCH(I1968,[1]!_born[作],0)),"")</f>
        <v/>
      </c>
      <c r="N1968" s="14" t="str" ph="1">
        <f>IFERROR(INDEX([1]!_born[生没年],
MATCH(K1968,[1]!_born[作],0)),"")</f>
        <v/>
      </c>
      <c r="O1968" s="13" t="s" ph="1">
        <v>7968</v>
      </c>
      <c r="T1968" s="13" t="s" ph="1">
        <v>7649</v>
      </c>
    </row>
    <row r="1969" spans="1:24" ht="22.5" customHeight="1" ph="1" x14ac:dyDescent="0.35">
      <c r="C1969" s="13" t="s" ph="1">
        <v>7591</v>
      </c>
      <c r="G1969" s="13" t="s" ph="1">
        <v>4911</v>
      </c>
      <c r="H1969" s="13" t="s" ph="1">
        <v>1219</v>
      </c>
      <c r="I1969" s="15" t="s" ph="1">
        <v>4912</v>
      </c>
      <c r="M1969" s="14" t="str" ph="1">
        <f>IFERROR(INDEX([1]!_born[生没年],
MATCH(I1969,[1]!_born[作],0)),"")</f>
        <v/>
      </c>
      <c r="N1969" s="14" t="str" ph="1">
        <f>IFERROR(INDEX([1]!_born[生没年],
MATCH(K1969,[1]!_born[作],0)),"")</f>
        <v/>
      </c>
      <c r="O1969" s="13" t="s" ph="1">
        <v>7969</v>
      </c>
      <c r="T1969" s="13" t="s" ph="1">
        <v>7649</v>
      </c>
    </row>
    <row r="1970" spans="1:24" ht="22.5" customHeight="1" ph="1" x14ac:dyDescent="0.35">
      <c r="C1970" s="13" t="s" ph="1">
        <v>7591</v>
      </c>
      <c r="G1970" s="13" t="s" ph="1">
        <v>4911</v>
      </c>
      <c r="H1970" s="13" t="s" ph="1">
        <v>1219</v>
      </c>
      <c r="I1970" s="15" t="s" ph="1">
        <v>4912</v>
      </c>
      <c r="M1970" s="14" t="str" ph="1">
        <f>IFERROR(INDEX([1]!_born[生没年],
MATCH(I1970,[1]!_born[作],0)),"")</f>
        <v/>
      </c>
      <c r="N1970" s="14" t="str" ph="1">
        <f>IFERROR(INDEX([1]!_born[生没年],
MATCH(K1970,[1]!_born[作],0)),"")</f>
        <v/>
      </c>
      <c r="O1970" s="13" t="s" ph="1">
        <v>7970</v>
      </c>
      <c r="T1970" s="13" t="s" ph="1">
        <v>7649</v>
      </c>
    </row>
    <row r="1971" spans="1:24" ht="22.5" customHeight="1" ph="1" x14ac:dyDescent="0.35">
      <c r="C1971" s="13" t="s" ph="1">
        <v>7591</v>
      </c>
      <c r="G1971" s="13" t="s" ph="1">
        <v>4911</v>
      </c>
      <c r="H1971" s="13" t="s" ph="1">
        <v>1219</v>
      </c>
      <c r="I1971" s="15" t="s" ph="1">
        <v>4912</v>
      </c>
      <c r="M1971" s="14" t="str" ph="1">
        <f>IFERROR(INDEX([1]!_born[生没年],
MATCH(I1971,[1]!_born[作],0)),"")</f>
        <v/>
      </c>
      <c r="N1971" s="14" t="str" ph="1">
        <f>IFERROR(INDEX([1]!_born[生没年],
MATCH(K1971,[1]!_born[作],0)),"")</f>
        <v/>
      </c>
      <c r="O1971" s="13" t="s" ph="1">
        <v>7971</v>
      </c>
      <c r="T1971" s="13" t="s" ph="1">
        <v>7652</v>
      </c>
    </row>
    <row r="1972" spans="1:24" ht="22.5" customHeight="1" ph="1" x14ac:dyDescent="0.35">
      <c r="C1972" s="13" t="s" ph="1">
        <v>7591</v>
      </c>
      <c r="G1972" s="13" t="s" ph="1">
        <v>4911</v>
      </c>
      <c r="H1972" s="13" t="s" ph="1">
        <v>1219</v>
      </c>
      <c r="I1972" s="15" t="s" ph="1">
        <v>4912</v>
      </c>
      <c r="M1972" s="14" t="str" ph="1">
        <f>IFERROR(INDEX([1]!_born[生没年],
MATCH(I1972,[1]!_born[作],0)),"")</f>
        <v/>
      </c>
      <c r="N1972" s="14" t="str" ph="1">
        <f>IFERROR(INDEX([1]!_born[生没年],
MATCH(K1972,[1]!_born[作],0)),"")</f>
        <v/>
      </c>
      <c r="O1972" s="13" t="s" ph="1">
        <v>7972</v>
      </c>
      <c r="T1972" s="13" t="s" ph="1">
        <v>7652</v>
      </c>
    </row>
    <row r="1973" spans="1:24" ht="22.5" customHeight="1" ph="1" x14ac:dyDescent="0.35">
      <c r="C1973" s="13" t="s" ph="1">
        <v>7591</v>
      </c>
      <c r="G1973" s="13" t="s" ph="1">
        <v>4911</v>
      </c>
      <c r="H1973" s="13" t="s" ph="1">
        <v>1219</v>
      </c>
      <c r="I1973" s="15" t="s" ph="1">
        <v>4912</v>
      </c>
      <c r="M1973" s="14" t="str" ph="1">
        <f>IFERROR(INDEX([1]!_born[生没年],
MATCH(I1973,[1]!_born[作],0)),"")</f>
        <v/>
      </c>
      <c r="N1973" s="14" t="str" ph="1">
        <f>IFERROR(INDEX([1]!_born[生没年],
MATCH(K1973,[1]!_born[作],0)),"")</f>
        <v/>
      </c>
      <c r="O1973" s="13" t="s" ph="1">
        <v>7973</v>
      </c>
      <c r="T1973" s="13" t="s" ph="1">
        <v>7375</v>
      </c>
    </row>
    <row r="1974" spans="1:24" ht="22.5" customHeight="1" ph="1" x14ac:dyDescent="0.35">
      <c r="C1974" s="13" t="s" ph="1">
        <v>7591</v>
      </c>
      <c r="G1974" s="13" t="s" ph="1">
        <v>4911</v>
      </c>
      <c r="H1974" s="13" t="s" ph="1">
        <v>1219</v>
      </c>
      <c r="I1974" s="15" t="s" ph="1">
        <v>4912</v>
      </c>
      <c r="M1974" s="14" t="str" ph="1">
        <f>IFERROR(INDEX([1]!_born[生没年],
MATCH(I1974,[1]!_born[作],0)),"")</f>
        <v/>
      </c>
      <c r="N1974" s="14" t="str" ph="1">
        <f>IFERROR(INDEX([1]!_born[生没年],
MATCH(K1974,[1]!_born[作],0)),"")</f>
        <v/>
      </c>
      <c r="O1974" s="13" t="s" ph="1">
        <v>7974</v>
      </c>
      <c r="T1974" s="13" t="s" ph="1">
        <v>7375</v>
      </c>
    </row>
    <row r="1975" spans="1:24" ht="22.5" customHeight="1" ph="1" x14ac:dyDescent="0.35">
      <c r="C1975" s="13" t="s" ph="1">
        <v>7591</v>
      </c>
      <c r="G1975" s="13" t="s" ph="1">
        <v>4911</v>
      </c>
      <c r="H1975" s="13" t="s" ph="1">
        <v>1219</v>
      </c>
      <c r="I1975" s="15" t="s" ph="1">
        <v>4912</v>
      </c>
      <c r="M1975" s="14" t="str" ph="1">
        <f>IFERROR(INDEX([1]!_born[生没年],
MATCH(I1975,[1]!_born[作],0)),"")</f>
        <v/>
      </c>
      <c r="N1975" s="14" t="str" ph="1">
        <f>IFERROR(INDEX([1]!_born[生没年],
MATCH(K1975,[1]!_born[作],0)),"")</f>
        <v/>
      </c>
      <c r="O1975" s="13" t="s" ph="1">
        <v>587</v>
      </c>
      <c r="T1975" s="13" t="s" ph="1">
        <v>7375</v>
      </c>
    </row>
    <row r="1976" spans="1:24" ht="22.5" customHeight="1" ph="1" x14ac:dyDescent="0.35">
      <c r="C1976" s="13" t="s" ph="1">
        <v>7591</v>
      </c>
      <c r="G1976" s="13" t="s" ph="1">
        <v>4911</v>
      </c>
      <c r="H1976" s="13" t="s" ph="1">
        <v>1219</v>
      </c>
      <c r="I1976" s="15" t="s" ph="1">
        <v>4912</v>
      </c>
      <c r="M1976" s="14" t="str" ph="1">
        <f>IFERROR(INDEX([1]!_born[生没年],
MATCH(I1976,[1]!_born[作],0)),"")</f>
        <v/>
      </c>
      <c r="N1976" s="14" t="str" ph="1">
        <f>IFERROR(INDEX([1]!_born[生没年],
MATCH(K1976,[1]!_born[作],0)),"")</f>
        <v/>
      </c>
      <c r="O1976" s="13" t="s" ph="1">
        <v>7975</v>
      </c>
      <c r="T1976" s="13" t="s" ph="1">
        <v>7375</v>
      </c>
    </row>
    <row r="1977" spans="1:24" ht="22.5" customHeight="1" ph="1" x14ac:dyDescent="0.35">
      <c r="C1977" s="13" t="s" ph="1">
        <v>7591</v>
      </c>
      <c r="G1977" s="13" t="s" ph="1">
        <v>4911</v>
      </c>
      <c r="H1977" s="13" t="s" ph="1">
        <v>1219</v>
      </c>
      <c r="I1977" s="15" t="s" ph="1">
        <v>4912</v>
      </c>
      <c r="M1977" s="14" t="str" ph="1">
        <f>IFERROR(INDEX([1]!_born[生没年],
MATCH(I1977,[1]!_born[作],0)),"")</f>
        <v/>
      </c>
      <c r="N1977" s="14" t="str" ph="1">
        <f>IFERROR(INDEX([1]!_born[生没年],
MATCH(K1977,[1]!_born[作],0)),"")</f>
        <v/>
      </c>
      <c r="O1977" s="13" t="s" ph="1">
        <v>7976</v>
      </c>
      <c r="T1977" s="13" t="s" ph="1">
        <v>7375</v>
      </c>
    </row>
    <row r="1978" spans="1:24" ht="22.5" customHeight="1" ph="1" x14ac:dyDescent="0.35">
      <c r="C1978" s="13" t="s" ph="1">
        <v>7591</v>
      </c>
      <c r="G1978" s="13" t="s" ph="1">
        <v>4907</v>
      </c>
      <c r="H1978" s="13" t="s" ph="1">
        <v>1219</v>
      </c>
      <c r="I1978" s="15" t="s" ph="1">
        <v>4912</v>
      </c>
      <c r="J1978" s="13" t="s" ph="1">
        <v>3616</v>
      </c>
      <c r="M1978" s="14" t="str" ph="1">
        <f>IFERROR(INDEX([1]!_born[生没年],
MATCH(I1978,[1]!_born[作],0)),"")</f>
        <v/>
      </c>
      <c r="N1978" s="14" t="str" ph="1">
        <f>IFERROR(INDEX([1]!_born[生没年],
MATCH(K1978,[1]!_born[作],0)),"")</f>
        <v/>
      </c>
      <c r="O1978" s="13" t="s" ph="1">
        <v>7977</v>
      </c>
      <c r="T1978" s="13" t="s" ph="1">
        <v>7649</v>
      </c>
    </row>
    <row r="1979" spans="1:24" ht="22.5" customHeight="1" ph="1" x14ac:dyDescent="0.35">
      <c r="C1979" s="13" t="s" ph="1">
        <v>7591</v>
      </c>
      <c r="G1979" s="13" t="s" ph="1">
        <v>4907</v>
      </c>
      <c r="H1979" s="13" t="s" ph="1">
        <v>1219</v>
      </c>
      <c r="I1979" s="15" t="s" ph="1">
        <v>4912</v>
      </c>
      <c r="M1979" s="14" t="str" ph="1">
        <f>IFERROR(INDEX([1]!_born[生没年],
MATCH(I1979,[1]!_born[作],0)),"")</f>
        <v/>
      </c>
      <c r="N1979" s="14" t="str" ph="1">
        <f>IFERROR(INDEX([1]!_born[生没年],
MATCH(K1979,[1]!_born[作],0)),"")</f>
        <v/>
      </c>
      <c r="O1979" s="13" t="s" ph="1">
        <v>7978</v>
      </c>
      <c r="T1979" s="13" t="s" ph="1">
        <v>7649</v>
      </c>
    </row>
    <row r="1980" spans="1:24" ht="22.5" customHeight="1" ph="1" x14ac:dyDescent="0.35">
      <c r="C1980" s="13" t="s" ph="1">
        <v>7591</v>
      </c>
      <c r="G1980" s="13" t="s" ph="1">
        <v>4907</v>
      </c>
      <c r="H1980" s="13" t="s" ph="1">
        <v>1219</v>
      </c>
      <c r="I1980" s="15" t="s" ph="1">
        <v>4912</v>
      </c>
      <c r="M1980" s="14" t="str" ph="1">
        <f>IFERROR(INDEX([1]!_born[生没年],
MATCH(I1980,[1]!_born[作],0)),"")</f>
        <v/>
      </c>
      <c r="N1980" s="14" t="str" ph="1">
        <f>IFERROR(INDEX([1]!_born[生没年],
MATCH(K1980,[1]!_born[作],0)),"")</f>
        <v/>
      </c>
      <c r="O1980" s="13" t="s" ph="1">
        <v>7979</v>
      </c>
      <c r="T1980" s="13" t="s" ph="1">
        <v>7652</v>
      </c>
    </row>
    <row r="1981" spans="1:24" ht="22.5" customHeight="1" ph="1" x14ac:dyDescent="0.35">
      <c r="C1981" s="13" t="s" ph="1">
        <v>7591</v>
      </c>
      <c r="G1981" s="13" t="s" ph="1">
        <v>4907</v>
      </c>
      <c r="H1981" s="13" t="s" ph="1">
        <v>1219</v>
      </c>
      <c r="I1981" s="15" t="s" ph="1">
        <v>4912</v>
      </c>
      <c r="M1981" s="14" t="str" ph="1">
        <f>IFERROR(INDEX([1]!_born[生没年],
MATCH(I1981,[1]!_born[作],0)),"")</f>
        <v/>
      </c>
      <c r="N1981" s="14" t="str" ph="1">
        <f>IFERROR(INDEX([1]!_born[生没年],
MATCH(K1981,[1]!_born[作],0)),"")</f>
        <v/>
      </c>
      <c r="O1981" s="15" t="s" ph="1">
        <v>7980</v>
      </c>
      <c r="T1981" s="13" t="s" ph="1">
        <v>7652</v>
      </c>
    </row>
    <row r="1982" spans="1:24" ht="22.5" customHeight="1" ph="1" x14ac:dyDescent="0.35">
      <c r="C1982" s="13" t="s" ph="1">
        <v>7591</v>
      </c>
      <c r="G1982" s="13" t="s" ph="1">
        <v>4907</v>
      </c>
      <c r="H1982" s="13" t="s" ph="1">
        <v>1219</v>
      </c>
      <c r="I1982" s="15" t="s" ph="1">
        <v>4912</v>
      </c>
      <c r="M1982" s="14" t="str" ph="1">
        <f>IFERROR(INDEX([1]!_born[生没年],
MATCH(I1982,[1]!_born[作],0)),"")</f>
        <v/>
      </c>
      <c r="N1982" s="14" t="str" ph="1">
        <f>IFERROR(INDEX([1]!_born[生没年],
MATCH(K1982,[1]!_born[作],0)),"")</f>
        <v/>
      </c>
      <c r="O1982" s="13" t="s" ph="1">
        <v>7981</v>
      </c>
      <c r="T1982" s="13" t="s" ph="1">
        <v>7652</v>
      </c>
    </row>
    <row r="1983" spans="1:24" ht="22.5" customHeight="1" ph="1" x14ac:dyDescent="0.35">
      <c r="C1983" s="13" t="s" ph="1">
        <v>7591</v>
      </c>
      <c r="G1983" s="13" t="s" ph="1">
        <v>4907</v>
      </c>
      <c r="H1983" s="13" t="s" ph="1">
        <v>1219</v>
      </c>
      <c r="I1983" s="15" t="s" ph="1">
        <v>4912</v>
      </c>
      <c r="M1983" s="14" t="str" ph="1">
        <f>IFERROR(INDEX([1]!_born[生没年],
MATCH(I1983,[1]!_born[作],0)),"")</f>
        <v/>
      </c>
      <c r="N1983" s="14" t="str" ph="1">
        <f>IFERROR(INDEX([1]!_born[生没年],
MATCH(K1983,[1]!_born[作],0)),"")</f>
        <v/>
      </c>
      <c r="O1983" s="13" t="s" ph="1">
        <v>7982</v>
      </c>
      <c r="T1983" s="13" t="s" ph="1">
        <v>7866</v>
      </c>
    </row>
    <row r="1984" spans="1:24" ht="22.5" customHeight="1" ph="1" x14ac:dyDescent="0.35">
      <c r="A1984" s="106" t="s" ph="1">
        <v>1454</v>
      </c>
      <c r="B1984" s="5" t="s" ph="1">
        <v>1439</v>
      </c>
      <c r="C1984" s="13" t="s" ph="1">
        <v>7591</v>
      </c>
      <c r="G1984" s="13" t="s" ph="1">
        <v>4907</v>
      </c>
      <c r="H1984" s="13" t="s" ph="1">
        <v>1219</v>
      </c>
      <c r="I1984" s="15" t="s" ph="1">
        <v>4912</v>
      </c>
      <c r="J1984" s="13" t="s" ph="1">
        <v>4699</v>
      </c>
      <c r="M1984" s="14" t="str" ph="1">
        <f>IFERROR(INDEX([1]!_born[生没年],
MATCH(I1984,[1]!_born[作],0)),"")</f>
        <v/>
      </c>
      <c r="N1984" s="14" t="str" ph="1">
        <f>IFERROR(INDEX([1]!_born[生没年],
MATCH(K1984,[1]!_born[作],0)),"")</f>
        <v/>
      </c>
      <c r="O1984" s="13" t="s" ph="1">
        <v>7983</v>
      </c>
      <c r="T1984" s="13" t="s" ph="1">
        <v>7649</v>
      </c>
      <c r="U1984" s="16" ph="1">
        <v>38955</v>
      </c>
      <c r="V1984" s="17" ph="1">
        <f t="shared" ref="V1984:W1986" si="2">1200*1.05</f>
        <v>1260</v>
      </c>
      <c r="W1984" s="17" ph="1">
        <f t="shared" si="2"/>
        <v>1260</v>
      </c>
      <c r="X1984" s="13" t="s" ph="1">
        <v>7984</v>
      </c>
    </row>
    <row r="1985" spans="1:25" ht="22.5" customHeight="1" ph="1" x14ac:dyDescent="0.35">
      <c r="A1985" s="106" t="s" ph="1">
        <v>1455</v>
      </c>
      <c r="B1985" s="5" t="s" ph="1">
        <v>1439</v>
      </c>
      <c r="C1985" s="13" t="s" ph="1">
        <v>7591</v>
      </c>
      <c r="G1985" s="13" t="s" ph="1">
        <v>4907</v>
      </c>
      <c r="H1985" s="13" t="s" ph="1">
        <v>1219</v>
      </c>
      <c r="I1985" s="15" t="s" ph="1">
        <v>4912</v>
      </c>
      <c r="J1985" s="13" t="s" ph="1">
        <v>4699</v>
      </c>
      <c r="M1985" s="14" t="str" ph="1">
        <f>IFERROR(INDEX([1]!_born[生没年],
MATCH(I1985,[1]!_born[作],0)),"")</f>
        <v/>
      </c>
      <c r="N1985" s="14" t="str" ph="1">
        <f>IFERROR(INDEX([1]!_born[生没年],
MATCH(K1985,[1]!_born[作],0)),"")</f>
        <v/>
      </c>
      <c r="O1985" s="13" t="s" ph="1">
        <v>7985</v>
      </c>
      <c r="T1985" s="13" t="s" ph="1">
        <v>7649</v>
      </c>
      <c r="U1985" s="16" ph="1">
        <v>38955</v>
      </c>
      <c r="V1985" s="17" ph="1">
        <f t="shared" si="2"/>
        <v>1260</v>
      </c>
      <c r="W1985" s="17" ph="1">
        <f t="shared" si="2"/>
        <v>1260</v>
      </c>
      <c r="X1985" s="13" t="s" ph="1">
        <v>7984</v>
      </c>
    </row>
    <row r="1986" spans="1:25" ht="22.5" customHeight="1" ph="1" x14ac:dyDescent="0.35">
      <c r="A1986" s="106" t="s" ph="1">
        <v>1456</v>
      </c>
      <c r="B1986" s="5" t="s" ph="1">
        <v>1439</v>
      </c>
      <c r="C1986" s="13" t="s" ph="1">
        <v>7591</v>
      </c>
      <c r="G1986" s="13" t="s" ph="1">
        <v>4907</v>
      </c>
      <c r="H1986" s="13" t="s" ph="1">
        <v>1219</v>
      </c>
      <c r="I1986" s="15" t="s" ph="1">
        <v>4912</v>
      </c>
      <c r="J1986" s="13" t="s" ph="1">
        <v>4699</v>
      </c>
      <c r="M1986" s="14" t="str" ph="1">
        <f>IFERROR(INDEX([1]!_born[生没年],
MATCH(I1986,[1]!_born[作],0)),"")</f>
        <v/>
      </c>
      <c r="N1986" s="14" t="str" ph="1">
        <f>IFERROR(INDEX([1]!_born[生没年],
MATCH(K1986,[1]!_born[作],0)),"")</f>
        <v/>
      </c>
      <c r="O1986" s="13" t="s" ph="1">
        <v>7986</v>
      </c>
      <c r="T1986" s="13" t="s" ph="1">
        <v>7649</v>
      </c>
      <c r="U1986" s="16" ph="1">
        <v>38955</v>
      </c>
      <c r="V1986" s="17" ph="1">
        <f t="shared" si="2"/>
        <v>1260</v>
      </c>
      <c r="W1986" s="17" ph="1">
        <f t="shared" si="2"/>
        <v>1260</v>
      </c>
      <c r="X1986" s="13" t="s" ph="1">
        <v>7984</v>
      </c>
    </row>
    <row r="1987" spans="1:25" ht="22.5" customHeight="1" ph="1" x14ac:dyDescent="0.35">
      <c r="C1987" s="13" t="s" ph="1">
        <v>7591</v>
      </c>
      <c r="G1987" s="13" t="s" ph="1">
        <v>4907</v>
      </c>
      <c r="H1987" s="13" t="s" ph="1">
        <v>1457</v>
      </c>
      <c r="I1987" s="15" t="s" ph="1">
        <v>4908</v>
      </c>
      <c r="K1987" s="15" t="s" ph="1">
        <v>4912</v>
      </c>
      <c r="L1987" s="13" t="s" ph="1">
        <v>3628</v>
      </c>
      <c r="M1987" s="14" t="str" ph="1">
        <f>IFERROR(INDEX([1]!_born[生没年],
MATCH(I1987,[1]!_born[作],0)),"")</f>
        <v/>
      </c>
      <c r="N1987" s="14" t="str" ph="1">
        <f>IFERROR(INDEX([1]!_born[生没年],
MATCH(K1987,[1]!_born[作],0)),"")</f>
        <v/>
      </c>
      <c r="O1987" s="13" t="s" ph="1">
        <v>7987</v>
      </c>
      <c r="T1987" s="13" t="s" ph="1">
        <v>7375</v>
      </c>
    </row>
    <row r="1988" spans="1:25" ht="22.5" customHeight="1" ph="1" x14ac:dyDescent="0.35">
      <c r="C1988" s="13" t="s" ph="1">
        <v>7591</v>
      </c>
      <c r="G1988" s="13" t="s" ph="1">
        <v>4907</v>
      </c>
      <c r="H1988" s="13" t="s" ph="1">
        <v>1457</v>
      </c>
      <c r="I1988" s="15" t="s" ph="1">
        <v>4908</v>
      </c>
      <c r="K1988" s="15" t="s" ph="1">
        <v>4912</v>
      </c>
      <c r="L1988" s="13" t="s" ph="1">
        <v>3628</v>
      </c>
      <c r="M1988" s="14" t="str" ph="1">
        <f>IFERROR(INDEX([1]!_born[生没年],
MATCH(I1988,[1]!_born[作],0)),"")</f>
        <v/>
      </c>
      <c r="N1988" s="14" t="str" ph="1">
        <f>IFERROR(INDEX([1]!_born[生没年],
MATCH(K1988,[1]!_born[作],0)),"")</f>
        <v/>
      </c>
      <c r="O1988" s="13" t="s" ph="1">
        <v>7988</v>
      </c>
      <c r="T1988" s="13" t="s" ph="1">
        <v>7730</v>
      </c>
    </row>
    <row r="1989" spans="1:25" ht="22.5" customHeight="1" ph="1" x14ac:dyDescent="0.35">
      <c r="C1989" s="13" t="s" ph="1">
        <v>7591</v>
      </c>
      <c r="G1989" s="13" t="s" ph="1">
        <v>4907</v>
      </c>
      <c r="H1989" s="13" t="s" ph="1">
        <v>1457</v>
      </c>
      <c r="I1989" s="15" t="s" ph="1">
        <v>4908</v>
      </c>
      <c r="K1989" s="15" t="s" ph="1">
        <v>4912</v>
      </c>
      <c r="L1989" s="13" t="s" ph="1">
        <v>3628</v>
      </c>
      <c r="M1989" s="14" t="str" ph="1">
        <f>IFERROR(INDEX([1]!_born[生没年],
MATCH(I1989,[1]!_born[作],0)),"")</f>
        <v/>
      </c>
      <c r="N1989" s="14" t="str" ph="1">
        <f>IFERROR(INDEX([1]!_born[生没年],
MATCH(K1989,[1]!_born[作],0)),"")</f>
        <v/>
      </c>
      <c r="O1989" s="13" t="s" ph="1">
        <v>7989</v>
      </c>
      <c r="S1989" s="13" t="s" ph="1">
        <v>7990</v>
      </c>
      <c r="T1989" s="13" t="s" ph="1">
        <v>7649</v>
      </c>
    </row>
    <row r="1990" spans="1:25" ht="22.5" customHeight="1" ph="1" x14ac:dyDescent="0.35">
      <c r="C1990" s="13" t="s" ph="1">
        <v>7591</v>
      </c>
      <c r="G1990" s="13" t="s" ph="1">
        <v>4907</v>
      </c>
      <c r="H1990" s="13" t="s" ph="1">
        <v>1457</v>
      </c>
      <c r="I1990" s="15" t="s" ph="1">
        <v>4908</v>
      </c>
      <c r="K1990" s="15" t="s" ph="1">
        <v>4912</v>
      </c>
      <c r="L1990" s="13" t="s" ph="1">
        <v>3628</v>
      </c>
      <c r="M1990" s="14" t="str" ph="1">
        <f>IFERROR(INDEX([1]!_born[生没年],
MATCH(I1990,[1]!_born[作],0)),"")</f>
        <v/>
      </c>
      <c r="N1990" s="14" t="str" ph="1">
        <f>IFERROR(INDEX([1]!_born[生没年],
MATCH(K1990,[1]!_born[作],0)),"")</f>
        <v/>
      </c>
      <c r="O1990" s="13" t="s" ph="1">
        <v>7991</v>
      </c>
      <c r="S1990" s="13" t="s" ph="1">
        <v>7990</v>
      </c>
      <c r="T1990" s="13" t="s" ph="1">
        <v>7649</v>
      </c>
    </row>
    <row r="1991" spans="1:25" ht="22.5" customHeight="1" ph="1" x14ac:dyDescent="0.35">
      <c r="C1991" s="13" t="s" ph="1">
        <v>7591</v>
      </c>
      <c r="G1991" s="13" t="s" ph="1">
        <v>4907</v>
      </c>
      <c r="H1991" s="13" t="s" ph="1">
        <v>1457</v>
      </c>
      <c r="I1991" s="15" t="s" ph="1">
        <v>4908</v>
      </c>
      <c r="K1991" s="15" t="s" ph="1">
        <v>4912</v>
      </c>
      <c r="L1991" s="13" t="s" ph="1">
        <v>3628</v>
      </c>
      <c r="M1991" s="14" t="str" ph="1">
        <f>IFERROR(INDEX([1]!_born[生没年],
MATCH(I1991,[1]!_born[作],0)),"")</f>
        <v/>
      </c>
      <c r="N1991" s="14" t="str" ph="1">
        <f>IFERROR(INDEX([1]!_born[生没年],
MATCH(K1991,[1]!_born[作],0)),"")</f>
        <v/>
      </c>
      <c r="O1991" s="13" t="s" ph="1">
        <v>7992</v>
      </c>
      <c r="S1991" s="13" t="s" ph="1">
        <v>7990</v>
      </c>
      <c r="T1991" s="13" t="s" ph="1">
        <v>7649</v>
      </c>
      <c r="U1991" s="16" ph="1">
        <v>36779</v>
      </c>
      <c r="V1991" s="17" ph="1">
        <v>520</v>
      </c>
      <c r="W1991" s="17" ph="1">
        <v>300</v>
      </c>
    </row>
    <row r="1992" spans="1:25" ht="22.5" customHeight="1" ph="1" x14ac:dyDescent="0.35">
      <c r="C1992" s="13" t="s" ph="1">
        <v>7591</v>
      </c>
      <c r="G1992" s="13" t="s" ph="1">
        <v>4907</v>
      </c>
      <c r="H1992" s="13" t="s" ph="1">
        <v>1457</v>
      </c>
      <c r="I1992" s="15" t="s" ph="1">
        <v>4908</v>
      </c>
      <c r="K1992" s="15" t="s" ph="1">
        <v>4912</v>
      </c>
      <c r="L1992" s="13" t="s" ph="1">
        <v>3628</v>
      </c>
      <c r="M1992" s="14" t="str" ph="1">
        <f>IFERROR(INDEX([1]!_born[生没年],
MATCH(I1992,[1]!_born[作],0)),"")</f>
        <v/>
      </c>
      <c r="N1992" s="14" t="str" ph="1">
        <f>IFERROR(INDEX([1]!_born[生没年],
MATCH(K1992,[1]!_born[作],0)),"")</f>
        <v/>
      </c>
      <c r="O1992" s="13" t="s" ph="1">
        <v>7993</v>
      </c>
      <c r="T1992" s="13" t="s" ph="1">
        <v>7949</v>
      </c>
    </row>
    <row r="1993" spans="1:25" ht="22.5" customHeight="1" ph="1" x14ac:dyDescent="0.35">
      <c r="C1993" s="13" t="s" ph="1">
        <v>7591</v>
      </c>
      <c r="G1993" s="13" t="s" ph="1">
        <v>4907</v>
      </c>
      <c r="H1993" s="13" t="s" ph="1">
        <v>1457</v>
      </c>
      <c r="I1993" s="15" t="s" ph="1">
        <v>4908</v>
      </c>
      <c r="K1993" s="15" t="s" ph="1">
        <v>4912</v>
      </c>
      <c r="L1993" s="13" t="s" ph="1">
        <v>3628</v>
      </c>
      <c r="M1993" s="14" t="str" ph="1">
        <f>IFERROR(INDEX([1]!_born[生没年],
MATCH(I1993,[1]!_born[作],0)),"")</f>
        <v/>
      </c>
      <c r="N1993" s="14" t="str" ph="1">
        <f>IFERROR(INDEX([1]!_born[生没年],
MATCH(K1993,[1]!_born[作],0)),"")</f>
        <v/>
      </c>
      <c r="O1993" s="15" t="s" ph="1">
        <v>7994</v>
      </c>
      <c r="S1993" s="13" t="s" ph="1">
        <v>7990</v>
      </c>
      <c r="T1993" s="13" t="s" ph="1">
        <v>7649</v>
      </c>
    </row>
    <row r="1994" spans="1:25" ht="22.5" customHeight="1" ph="1" x14ac:dyDescent="0.35">
      <c r="C1994" s="13" t="s" ph="1">
        <v>7591</v>
      </c>
      <c r="D1994" s="123" ph="1">
        <v>1</v>
      </c>
      <c r="E1994" s="123" ph="1">
        <v>2</v>
      </c>
      <c r="G1994" s="13" t="s" ph="1">
        <v>4907</v>
      </c>
      <c r="H1994" s="13" t="s" ph="1">
        <v>1457</v>
      </c>
      <c r="I1994" s="15" t="s" ph="1">
        <v>4908</v>
      </c>
      <c r="K1994" s="15" t="s" ph="1">
        <v>4912</v>
      </c>
      <c r="L1994" s="13" t="s" ph="1">
        <v>3628</v>
      </c>
      <c r="M1994" s="14" t="str" ph="1">
        <f>IFERROR(INDEX([1]!_born[生没年],
MATCH(I1994,[1]!_born[作],0)),"")</f>
        <v/>
      </c>
      <c r="N1994" s="14" t="str" ph="1">
        <f>IFERROR(INDEX([1]!_born[生没年],
MATCH(K1994,[1]!_born[作],0)),"")</f>
        <v/>
      </c>
      <c r="O1994" s="13" t="s" ph="1">
        <v>7995</v>
      </c>
      <c r="S1994" s="13" t="s" ph="1">
        <v>7996</v>
      </c>
      <c r="T1994" s="13" t="s" ph="1">
        <v>7649</v>
      </c>
    </row>
    <row r="1995" spans="1:25" ht="22.5" customHeight="1" ph="1" x14ac:dyDescent="0.35">
      <c r="C1995" s="13" t="s" ph="1">
        <v>7591</v>
      </c>
      <c r="D1995" s="123" ph="1">
        <v>2</v>
      </c>
      <c r="E1995" s="123" ph="1">
        <v>2</v>
      </c>
      <c r="G1995" s="13" t="s" ph="1">
        <v>4907</v>
      </c>
      <c r="H1995" s="13" t="s" ph="1">
        <v>1457</v>
      </c>
      <c r="I1995" s="15" t="s" ph="1">
        <v>4908</v>
      </c>
      <c r="K1995" s="15" t="s" ph="1">
        <v>4912</v>
      </c>
      <c r="L1995" s="13" t="s" ph="1">
        <v>3628</v>
      </c>
      <c r="M1995" s="14" t="str" ph="1">
        <f>IFERROR(INDEX([1]!_born[生没年],
MATCH(I1995,[1]!_born[作],0)),"")</f>
        <v/>
      </c>
      <c r="N1995" s="14" t="str" ph="1">
        <f>IFERROR(INDEX([1]!_born[生没年],
MATCH(K1995,[1]!_born[作],0)),"")</f>
        <v/>
      </c>
      <c r="O1995" s="13" t="s" ph="1">
        <v>7995</v>
      </c>
      <c r="S1995" s="13" t="s" ph="1">
        <v>7996</v>
      </c>
      <c r="T1995" s="13" t="s" ph="1">
        <v>7649</v>
      </c>
    </row>
    <row r="1996" spans="1:25" ht="22.5" customHeight="1" ph="1" x14ac:dyDescent="0.35">
      <c r="A1996" s="106" t="s" ph="1">
        <v>1458</v>
      </c>
      <c r="B1996" s="5" t="s" ph="1">
        <v>1428</v>
      </c>
      <c r="C1996" s="13" t="s" ph="1">
        <v>7591</v>
      </c>
      <c r="G1996" s="13" t="s" ph="1">
        <v>4758</v>
      </c>
      <c r="H1996" s="13" t="s" ph="1">
        <v>1269</v>
      </c>
      <c r="I1996" s="13" t="s" ph="1">
        <v>249</v>
      </c>
      <c r="K1996" s="15" t="s" ph="1">
        <v>4912</v>
      </c>
      <c r="L1996" s="13" t="s" ph="1">
        <v>3628</v>
      </c>
      <c r="M1996" s="14" t="str" ph="1">
        <f>IFERROR(INDEX([1]!_born[生没年],
MATCH(I1996,[1]!_born[作],0)),"")</f>
        <v/>
      </c>
      <c r="N1996" s="14" t="str" ph="1">
        <f>IFERROR(INDEX([1]!_born[生没年],
MATCH(K1996,[1]!_born[作],0)),"")</f>
        <v/>
      </c>
      <c r="O1996" s="13" t="s" ph="1">
        <v>7997</v>
      </c>
      <c r="R1996" s="16" t="s" ph="1">
        <v>1459</v>
      </c>
      <c r="T1996" s="13" t="s" ph="1">
        <v>7649</v>
      </c>
      <c r="U1996" s="16" t="s" ph="1">
        <v>1460</v>
      </c>
      <c r="V1996" s="17" ph="1">
        <f>560*1.05</f>
        <v>588</v>
      </c>
      <c r="W1996" s="17" ph="1">
        <f>560*1.05</f>
        <v>588</v>
      </c>
      <c r="X1996" s="13" t="s" ph="1">
        <v>3802</v>
      </c>
    </row>
    <row r="1997" spans="1:25" ht="22.5" customHeight="1" ph="1" x14ac:dyDescent="0.35">
      <c r="A1997" s="106" t="s" ph="1">
        <v>1461</v>
      </c>
      <c r="B1997" s="5" t="s" ph="1">
        <v>1428</v>
      </c>
      <c r="C1997" s="13" t="s" ph="1">
        <v>7591</v>
      </c>
      <c r="G1997" s="13" t="s" ph="1">
        <v>4758</v>
      </c>
      <c r="H1997" s="13" t="s" ph="1">
        <v>1269</v>
      </c>
      <c r="I1997" s="13" t="s" ph="1">
        <v>338</v>
      </c>
      <c r="K1997" s="15" t="s" ph="1">
        <v>4912</v>
      </c>
      <c r="L1997" s="13" t="s" ph="1">
        <v>3628</v>
      </c>
      <c r="M1997" s="14" t="str" ph="1">
        <f>IFERROR(INDEX([1]!_born[生没年],
MATCH(I1997,[1]!_born[作],0)),"")</f>
        <v/>
      </c>
      <c r="N1997" s="14" t="str" ph="1">
        <f>IFERROR(INDEX([1]!_born[生没年],
MATCH(K1997,[1]!_born[作],0)),"")</f>
        <v/>
      </c>
      <c r="O1997" s="13" t="s" ph="1">
        <v>7998</v>
      </c>
      <c r="T1997" s="13" t="s" ph="1">
        <v>7649</v>
      </c>
      <c r="U1997" s="16" t="s" ph="1">
        <v>1460</v>
      </c>
      <c r="V1997" s="17" ph="1">
        <f>1100*1.05</f>
        <v>1155</v>
      </c>
      <c r="W1997" s="17" ph="1">
        <f>1100*1.05</f>
        <v>1155</v>
      </c>
      <c r="X1997" s="13" t="s" ph="1">
        <v>3802</v>
      </c>
    </row>
    <row r="1998" spans="1:25" ht="22.5" customHeight="1" ph="1" x14ac:dyDescent="0.35">
      <c r="C1998" s="13" t="s" ph="1">
        <v>7591</v>
      </c>
      <c r="G1998" s="13" t="s" ph="1">
        <v>7999</v>
      </c>
      <c r="H1998" s="13" t="s" ph="1">
        <v>1457</v>
      </c>
      <c r="I1998" s="15" t="s" ph="1">
        <v>616</v>
      </c>
      <c r="K1998" s="15" t="s" ph="1">
        <v>8000</v>
      </c>
      <c r="L1998" s="13" t="s" ph="1">
        <v>8001</v>
      </c>
      <c r="M1998" s="14" t="str" ph="1">
        <f>IFERROR(INDEX([1]!_born[生没年],
MATCH(I1998,[1]!_born[作],0)),"")</f>
        <v/>
      </c>
      <c r="N1998" s="14" t="str" ph="1">
        <f>IFERROR(INDEX([1]!_born[生没年],
MATCH(K1998,[1]!_born[作],0)),"")</f>
        <v/>
      </c>
      <c r="O1998" s="13" t="s" ph="1">
        <v>8002</v>
      </c>
      <c r="T1998" s="13" t="s" ph="1">
        <v>7652</v>
      </c>
      <c r="Y1998" s="13" t="s" ph="1">
        <v>8003</v>
      </c>
    </row>
    <row r="1999" spans="1:25" ht="22.5" customHeight="1" ph="1" x14ac:dyDescent="0.35">
      <c r="C1999" s="13" t="s" ph="1">
        <v>7591</v>
      </c>
      <c r="G1999" s="13" t="s" ph="1">
        <v>4907</v>
      </c>
      <c r="H1999" s="13" t="s" ph="1">
        <v>1457</v>
      </c>
      <c r="I1999" s="15" t="s" ph="1">
        <v>579</v>
      </c>
      <c r="K1999" s="15" t="s" ph="1">
        <v>4912</v>
      </c>
      <c r="L1999" s="13" t="s" ph="1">
        <v>3628</v>
      </c>
      <c r="M1999" s="14" t="str" ph="1">
        <f>IFERROR(INDEX([1]!_born[生没年],
MATCH(I1999,[1]!_born[作],0)),"")</f>
        <v/>
      </c>
      <c r="N1999" s="14" t="str" ph="1">
        <f>IFERROR(INDEX([1]!_born[生没年],
MATCH(K1999,[1]!_born[作],0)),"")</f>
        <v/>
      </c>
      <c r="O1999" s="13" t="s" ph="1">
        <v>8004</v>
      </c>
      <c r="T1999" s="13" t="s" ph="1">
        <v>7652</v>
      </c>
    </row>
    <row r="2000" spans="1:25" ht="22.5" customHeight="1" ph="1" x14ac:dyDescent="0.35">
      <c r="C2000" s="13" t="s" ph="1">
        <v>7591</v>
      </c>
      <c r="G2000" s="13" t="s" ph="1">
        <v>4758</v>
      </c>
      <c r="H2000" s="13" t="s" ph="1">
        <v>1219</v>
      </c>
      <c r="I2000" s="13" t="s" ph="1">
        <v>4914</v>
      </c>
      <c r="M2000" s="14" t="str" ph="1">
        <f>IFERROR(INDEX([1]!_born[生没年],
MATCH(I2000,[1]!_born[作],0)),"")</f>
        <v/>
      </c>
      <c r="N2000" s="14" t="str" ph="1">
        <f>IFERROR(INDEX([1]!_born[生没年],
MATCH(K2000,[1]!_born[作],0)),"")</f>
        <v/>
      </c>
      <c r="O2000" s="13" t="s" ph="1">
        <v>8005</v>
      </c>
      <c r="T2000" s="13" t="s" ph="1">
        <v>8006</v>
      </c>
      <c r="U2000" s="16" ph="1">
        <v>36795</v>
      </c>
      <c r="V2000" s="17" ph="1">
        <f>780*1.05</f>
        <v>819</v>
      </c>
      <c r="W2000" s="17" ph="1">
        <f>780*1.05</f>
        <v>819</v>
      </c>
    </row>
    <row r="2001" spans="1:25" ht="22.5" customHeight="1" ph="1" x14ac:dyDescent="0.35">
      <c r="C2001" s="13" t="s" ph="1">
        <v>7591</v>
      </c>
      <c r="G2001" s="13" t="s" ph="1">
        <v>4758</v>
      </c>
      <c r="H2001" s="13" t="s" ph="1">
        <v>1219</v>
      </c>
      <c r="I2001" s="13" t="s" ph="1">
        <v>4914</v>
      </c>
      <c r="M2001" s="14" t="str" ph="1">
        <f>IFERROR(INDEX([1]!_born[生没年],
MATCH(I2001,[1]!_born[作],0)),"")</f>
        <v/>
      </c>
      <c r="N2001" s="14" t="str" ph="1">
        <f>IFERROR(INDEX([1]!_born[生没年],
MATCH(K2001,[1]!_born[作],0)),"")</f>
        <v/>
      </c>
      <c r="O2001" s="13" t="s" ph="1">
        <v>8007</v>
      </c>
      <c r="T2001" s="13" t="s" ph="1">
        <v>7652</v>
      </c>
    </row>
    <row r="2002" spans="1:25" ht="22.5" customHeight="1" ph="1" x14ac:dyDescent="0.35">
      <c r="C2002" s="13" t="s" ph="1">
        <v>7591</v>
      </c>
      <c r="G2002" s="13" t="s" ph="1">
        <v>4758</v>
      </c>
      <c r="H2002" s="13" t="s" ph="1">
        <v>1219</v>
      </c>
      <c r="I2002" s="13" t="s" ph="1">
        <v>8008</v>
      </c>
      <c r="M2002" s="14" t="str" ph="1">
        <f>IFERROR(INDEX([1]!_born[生没年],
MATCH(I2002,[1]!_born[作],0)),"")</f>
        <v/>
      </c>
      <c r="N2002" s="14" t="str" ph="1">
        <f>IFERROR(INDEX([1]!_born[生没年],
MATCH(K2002,[1]!_born[作],0)),"")</f>
        <v/>
      </c>
      <c r="O2002" s="13" t="s" ph="1">
        <v>8009</v>
      </c>
      <c r="T2002" s="13" t="s" ph="1">
        <v>7780</v>
      </c>
      <c r="U2002" s="16" ph="1">
        <v>36771</v>
      </c>
      <c r="V2002" s="17" ph="1">
        <f>571*1.05</f>
        <v>599.55000000000007</v>
      </c>
      <c r="W2002" s="17" ph="1">
        <f>571*1.05</f>
        <v>599.55000000000007</v>
      </c>
    </row>
    <row r="2003" spans="1:25" ht="22.5" customHeight="1" ph="1" x14ac:dyDescent="0.35">
      <c r="A2003" s="106" t="s" ph="1">
        <v>2543</v>
      </c>
      <c r="B2003" s="5" t="s" ph="1">
        <v>2542</v>
      </c>
      <c r="C2003" s="13" t="s" ph="1">
        <v>7591</v>
      </c>
      <c r="G2003" s="13" t="s" ph="1">
        <v>1039</v>
      </c>
      <c r="H2003" s="13" t="s" ph="1">
        <v>716</v>
      </c>
      <c r="I2003" s="13" t="s" ph="1">
        <v>8010</v>
      </c>
      <c r="K2003" s="13" t="s" ph="1">
        <v>8011</v>
      </c>
      <c r="L2003" s="13" t="s" ph="1">
        <v>3628</v>
      </c>
      <c r="M2003" s="14" t="str" ph="1">
        <f>IFERROR(INDEX([1]!_born[生没年],
MATCH(I2003,[1]!_born[作],0)),"")</f>
        <v/>
      </c>
      <c r="N2003" s="14" t="str" ph="1">
        <f>IFERROR(INDEX([1]!_born[生没年],
MATCH(K2003,[1]!_born[作],0)),"")</f>
        <v/>
      </c>
      <c r="O2003" s="13" t="s" ph="1">
        <v>8012</v>
      </c>
      <c r="R2003" s="16" t="s" ph="1">
        <v>754</v>
      </c>
      <c r="T2003" s="13" t="s" ph="1">
        <v>7730</v>
      </c>
      <c r="U2003" s="16" ph="1">
        <v>40612</v>
      </c>
      <c r="V2003" s="17" ph="1">
        <f>950*1.5</f>
        <v>1425</v>
      </c>
      <c r="W2003" s="17" ph="1">
        <v>998</v>
      </c>
      <c r="X2003" s="13" t="s" ph="1">
        <v>2629</v>
      </c>
    </row>
    <row r="2004" spans="1:25" ht="22.5" customHeight="1" ph="1" x14ac:dyDescent="0.35">
      <c r="C2004" s="13" t="s" ph="1">
        <v>7591</v>
      </c>
      <c r="G2004" s="13" t="s" ph="1">
        <v>4758</v>
      </c>
      <c r="H2004" s="13" t="s" ph="1">
        <v>1219</v>
      </c>
      <c r="I2004" s="13" t="s" ph="1">
        <v>8013</v>
      </c>
      <c r="M2004" s="14" t="str" ph="1">
        <f>IFERROR(INDEX([1]!_born[生没年],
MATCH(I2004,[1]!_born[作],0)),"")</f>
        <v/>
      </c>
      <c r="N2004" s="14" t="str" ph="1">
        <f>IFERROR(INDEX([1]!_born[生没年],
MATCH(K2004,[1]!_born[作],0)),"")</f>
        <v/>
      </c>
      <c r="O2004" s="13" t="s" ph="1">
        <v>8014</v>
      </c>
      <c r="R2004" s="16" t="s" ph="1">
        <v>1349</v>
      </c>
      <c r="T2004" s="13" t="s" ph="1">
        <v>5147</v>
      </c>
      <c r="U2004" s="16" ph="1">
        <v>36541</v>
      </c>
      <c r="V2004" s="17" ph="1">
        <v>400</v>
      </c>
    </row>
    <row r="2005" spans="1:25" ht="22.5" customHeight="1" ph="1" x14ac:dyDescent="0.35">
      <c r="C2005" s="13" t="s" ph="1">
        <v>7591</v>
      </c>
      <c r="G2005" s="13" t="s" ph="1">
        <v>4758</v>
      </c>
      <c r="H2005" s="13" t="s" ph="1">
        <v>1219</v>
      </c>
      <c r="I2005" s="13" t="s" ph="1">
        <v>8013</v>
      </c>
      <c r="M2005" s="14" t="str" ph="1">
        <f>IFERROR(INDEX([1]!_born[生没年],
MATCH(I2005,[1]!_born[作],0)),"")</f>
        <v/>
      </c>
      <c r="N2005" s="14" t="str" ph="1">
        <f>IFERROR(INDEX([1]!_born[生没年],
MATCH(K2005,[1]!_born[作],0)),"")</f>
        <v/>
      </c>
      <c r="O2005" s="13" t="s" ph="1">
        <v>8015</v>
      </c>
      <c r="T2005" s="13" t="s" ph="1">
        <v>7614</v>
      </c>
    </row>
    <row r="2006" spans="1:25" ht="22.5" customHeight="1" ph="1" x14ac:dyDescent="0.35">
      <c r="C2006" s="13" t="s" ph="1">
        <v>7591</v>
      </c>
      <c r="D2006" s="123" ph="1">
        <v>2</v>
      </c>
      <c r="E2006" s="123" ph="1">
        <v>2</v>
      </c>
      <c r="G2006" s="13" t="s" ph="1">
        <v>4758</v>
      </c>
      <c r="H2006" s="13" t="s" ph="1">
        <v>1219</v>
      </c>
      <c r="I2006" s="13" t="s" ph="1">
        <v>8013</v>
      </c>
      <c r="M2006" s="14" t="str" ph="1">
        <f>IFERROR(INDEX([1]!_born[生没年],
MATCH(I2006,[1]!_born[作],0)),"")</f>
        <v/>
      </c>
      <c r="N2006" s="14" t="str" ph="1">
        <f>IFERROR(INDEX([1]!_born[生没年],
MATCH(K2006,[1]!_born[作],0)),"")</f>
        <v/>
      </c>
      <c r="O2006" s="13" t="s" ph="1">
        <v>8016</v>
      </c>
      <c r="S2006" s="13" t="s" ph="1">
        <v>8017</v>
      </c>
      <c r="T2006" s="13" t="s" ph="1">
        <v>7664</v>
      </c>
    </row>
    <row r="2007" spans="1:25" ht="22.5" customHeight="1" ph="1" x14ac:dyDescent="0.35">
      <c r="C2007" s="13" t="s" ph="1">
        <v>7591</v>
      </c>
      <c r="G2007" s="13" t="s" ph="1">
        <v>4758</v>
      </c>
      <c r="H2007" s="13" t="s" ph="1">
        <v>1219</v>
      </c>
      <c r="I2007" s="13" t="s" ph="1">
        <v>8018</v>
      </c>
      <c r="M2007" s="14" t="str" ph="1">
        <f>IFERROR(INDEX([1]!_born[生没年],
MATCH(I2007,[1]!_born[作],0)),"")</f>
        <v/>
      </c>
      <c r="N2007" s="14" t="str" ph="1">
        <f>IFERROR(INDEX([1]!_born[生没年],
MATCH(K2007,[1]!_born[作],0)),"")</f>
        <v/>
      </c>
      <c r="O2007" s="13" t="s" ph="1">
        <v>8019</v>
      </c>
      <c r="T2007" s="13" t="s" ph="1">
        <v>5147</v>
      </c>
    </row>
    <row r="2008" spans="1:25" ht="22.5" customHeight="1" ph="1" x14ac:dyDescent="0.35">
      <c r="A2008" s="106" t="s" ph="1">
        <v>1462</v>
      </c>
      <c r="B2008" s="5" t="s" ph="1">
        <v>1448</v>
      </c>
      <c r="C2008" s="13" t="s" ph="1">
        <v>7591</v>
      </c>
      <c r="G2008" s="13" t="s" ph="1">
        <v>4758</v>
      </c>
      <c r="H2008" s="13" t="s" ph="1">
        <v>1219</v>
      </c>
      <c r="I2008" s="13" t="s" ph="1">
        <v>8020</v>
      </c>
      <c r="M2008" s="14" t="str" ph="1">
        <f>IFERROR(INDEX([1]!_born[生没年],
MATCH(I2008,[1]!_born[作],0)),"")</f>
        <v/>
      </c>
      <c r="N2008" s="14" t="str" ph="1">
        <f>IFERROR(INDEX([1]!_born[生没年],
MATCH(K2008,[1]!_born[作],0)),"")</f>
        <v/>
      </c>
      <c r="O2008" s="13" t="s" ph="1">
        <v>8021</v>
      </c>
      <c r="T2008" s="13" t="s" ph="1">
        <v>8022</v>
      </c>
      <c r="U2008" s="16" ph="1">
        <v>38423</v>
      </c>
      <c r="V2008" s="17" ph="1">
        <v>340</v>
      </c>
      <c r="W2008" s="17" ph="1">
        <v>200</v>
      </c>
    </row>
    <row r="2009" spans="1:25" s="19" customFormat="1" ht="22.5" customHeight="1" ph="1" x14ac:dyDescent="0.35">
      <c r="A2009" s="107" ph="1"/>
      <c r="B2009" s="18" ph="1"/>
      <c r="C2009" s="19" t="s" ph="1">
        <v>8023</v>
      </c>
      <c r="D2009" s="124" ph="1">
        <v>1</v>
      </c>
      <c r="E2009" s="124" ph="1">
        <v>2</v>
      </c>
      <c r="G2009" s="19" t="s" ph="1">
        <v>4831</v>
      </c>
      <c r="H2009" s="19" t="s" ph="1">
        <v>1219</v>
      </c>
      <c r="I2009" s="23" t="s" ph="1">
        <v>8024</v>
      </c>
      <c r="K2009" s="23" ph="1"/>
      <c r="L2009" s="23" ph="1"/>
      <c r="M2009" s="27" t="str" ph="1">
        <f>IFERROR(INDEX([1]!_born[生没年],
MATCH(I2009,[1]!_born[作],0)),"")</f>
        <v/>
      </c>
      <c r="N2009" s="27" t="str" ph="1">
        <f>IFERROR(INDEX([1]!_born[生没年],
MATCH(K2009,[1]!_born[作],0)),"")</f>
        <v/>
      </c>
      <c r="O2009" s="23" t="s" ph="1">
        <v>8025</v>
      </c>
      <c r="R2009" s="20" ph="1"/>
      <c r="S2009" s="19" t="s" ph="1">
        <v>8026</v>
      </c>
      <c r="T2009" s="19" t="s" ph="1">
        <v>8027</v>
      </c>
      <c r="U2009" s="20" t="s" ph="1">
        <v>1217</v>
      </c>
      <c r="V2009" s="21" ph="1"/>
      <c r="W2009" s="21" ph="1"/>
      <c r="Y2009" s="19" t="s" ph="1">
        <v>4617</v>
      </c>
    </row>
    <row r="2010" spans="1:25" s="19" customFormat="1" ht="22.5" customHeight="1" ph="1" x14ac:dyDescent="0.35">
      <c r="A2010" s="107" ph="1"/>
      <c r="B2010" s="18" ph="1"/>
      <c r="C2010" s="19" t="s" ph="1">
        <v>8023</v>
      </c>
      <c r="D2010" s="124" ph="1">
        <v>2</v>
      </c>
      <c r="E2010" s="124" ph="1">
        <v>2</v>
      </c>
      <c r="G2010" s="19" t="s" ph="1">
        <v>4831</v>
      </c>
      <c r="H2010" s="19" t="s" ph="1">
        <v>1219</v>
      </c>
      <c r="I2010" s="23" t="s" ph="1">
        <v>8024</v>
      </c>
      <c r="K2010" s="23" ph="1"/>
      <c r="L2010" s="23" ph="1"/>
      <c r="M2010" s="27" t="str" ph="1">
        <f>IFERROR(INDEX([1]!_born[生没年],
MATCH(I2010,[1]!_born[作],0)),"")</f>
        <v/>
      </c>
      <c r="N2010" s="27" t="str" ph="1">
        <f>IFERROR(INDEX([1]!_born[生没年],
MATCH(K2010,[1]!_born[作],0)),"")</f>
        <v/>
      </c>
      <c r="O2010" s="23" t="s" ph="1">
        <v>8025</v>
      </c>
      <c r="R2010" s="20" ph="1"/>
      <c r="S2010" s="19" t="s" ph="1">
        <v>8026</v>
      </c>
      <c r="T2010" s="19" t="s" ph="1">
        <v>8027</v>
      </c>
      <c r="U2010" s="20" t="s" ph="1">
        <v>1217</v>
      </c>
      <c r="V2010" s="21" ph="1"/>
      <c r="W2010" s="21" ph="1"/>
      <c r="Y2010" s="19" t="s" ph="1">
        <v>4617</v>
      </c>
    </row>
    <row r="2011" spans="1:25" ht="22.5" customHeight="1" ph="1" x14ac:dyDescent="0.35">
      <c r="C2011" s="13" t="s" ph="1">
        <v>7591</v>
      </c>
      <c r="D2011" s="123" ph="1">
        <v>1</v>
      </c>
      <c r="E2011" s="123" ph="1">
        <v>2</v>
      </c>
      <c r="G2011" s="13" t="s" ph="1">
        <v>4758</v>
      </c>
      <c r="H2011" s="13" t="s" ph="1">
        <v>1219</v>
      </c>
      <c r="I2011" s="15" t="s" ph="1">
        <v>8028</v>
      </c>
      <c r="J2011" s="19" ph="1"/>
      <c r="M2011" s="14" t="str" ph="1">
        <f>IFERROR(INDEX([1]!_born[生没年],
MATCH(I2011,[1]!_born[作],0)),"")</f>
        <v/>
      </c>
      <c r="N2011" s="14" t="str" ph="1">
        <f>IFERROR(INDEX([1]!_born[生没年],
MATCH(K2011,[1]!_born[作],0)),"")</f>
        <v/>
      </c>
      <c r="O2011" s="15" t="s" ph="1">
        <v>8029</v>
      </c>
      <c r="S2011" s="13" t="s" ph="1">
        <v>8030</v>
      </c>
      <c r="T2011" s="13" t="s" ph="1">
        <v>8006</v>
      </c>
      <c r="U2011" s="16" t="s" ph="1">
        <v>1217</v>
      </c>
      <c r="V2011" s="17" ph="1">
        <f>950*2</f>
        <v>1900</v>
      </c>
    </row>
    <row r="2012" spans="1:25" ht="22.5" customHeight="1" ph="1" x14ac:dyDescent="0.35">
      <c r="C2012" s="13" t="s" ph="1">
        <v>7591</v>
      </c>
      <c r="D2012" s="123" ph="1">
        <v>2</v>
      </c>
      <c r="E2012" s="123" ph="1">
        <v>2</v>
      </c>
      <c r="G2012" s="13" t="s" ph="1">
        <v>4758</v>
      </c>
      <c r="H2012" s="13" t="s" ph="1">
        <v>1219</v>
      </c>
      <c r="I2012" s="15" t="s" ph="1">
        <v>8028</v>
      </c>
      <c r="J2012" s="19" ph="1"/>
      <c r="M2012" s="14" t="str" ph="1">
        <f>IFERROR(INDEX([1]!_born[生没年],
MATCH(I2012,[1]!_born[作],0)),"")</f>
        <v/>
      </c>
      <c r="N2012" s="14" t="str" ph="1">
        <f>IFERROR(INDEX([1]!_born[生没年],
MATCH(K2012,[1]!_born[作],0)),"")</f>
        <v/>
      </c>
      <c r="O2012" s="15" t="s" ph="1">
        <v>8029</v>
      </c>
      <c r="S2012" s="13" t="s" ph="1">
        <v>8030</v>
      </c>
      <c r="T2012" s="13" t="s" ph="1">
        <v>8006</v>
      </c>
      <c r="U2012" s="16" t="s" ph="1">
        <v>1217</v>
      </c>
      <c r="V2012" s="17" ph="1">
        <f>950*2</f>
        <v>1900</v>
      </c>
    </row>
    <row r="2013" spans="1:25" s="19" customFormat="1" ht="22.5" customHeight="1" ph="1" x14ac:dyDescent="0.35">
      <c r="A2013" s="107" ph="1"/>
      <c r="B2013" s="18" ph="1"/>
      <c r="C2013" s="19" t="s" ph="1">
        <v>8023</v>
      </c>
      <c r="D2013" s="124" ph="1"/>
      <c r="E2013" s="124" ph="1"/>
      <c r="G2013" s="19" t="s" ph="1">
        <v>4831</v>
      </c>
      <c r="H2013" s="19" t="s" ph="1">
        <v>1219</v>
      </c>
      <c r="I2013" s="19" t="s" ph="1">
        <v>8031</v>
      </c>
      <c r="M2013" s="27" t="str" ph="1">
        <f>IFERROR(INDEX([1]!_born[生没年],
MATCH(I2013,[1]!_born[作],0)),"")</f>
        <v/>
      </c>
      <c r="N2013" s="27" t="str" ph="1">
        <f>IFERROR(INDEX([1]!_born[生没年],
MATCH(K2013,[1]!_born[作],0)),"")</f>
        <v/>
      </c>
      <c r="O2013" s="19" t="s" ph="1">
        <v>8032</v>
      </c>
      <c r="R2013" s="20" ph="1"/>
      <c r="T2013" s="19" t="s" ph="1">
        <v>8027</v>
      </c>
      <c r="U2013" s="20" t="s" ph="1">
        <v>1217</v>
      </c>
      <c r="V2013" s="21" ph="1">
        <v>520</v>
      </c>
      <c r="W2013" s="21" ph="1"/>
      <c r="Y2013" s="19" t="s" ph="1">
        <v>4617</v>
      </c>
    </row>
    <row r="2014" spans="1:25" s="19" customFormat="1" ht="22.5" customHeight="1" ph="1" x14ac:dyDescent="0.35">
      <c r="A2014" s="107" ph="1"/>
      <c r="B2014" s="18" ph="1"/>
      <c r="C2014" s="19" t="s" ph="1">
        <v>8023</v>
      </c>
      <c r="D2014" s="124" ph="1"/>
      <c r="E2014" s="124" ph="1"/>
      <c r="G2014" s="19" t="s" ph="1">
        <v>4831</v>
      </c>
      <c r="H2014" s="19" t="s" ph="1">
        <v>1219</v>
      </c>
      <c r="I2014" s="19" t="s" ph="1">
        <v>8031</v>
      </c>
      <c r="M2014" s="27" t="str" ph="1">
        <f>IFERROR(INDEX([1]!_born[生没年],
MATCH(I2014,[1]!_born[作],0)),"")</f>
        <v/>
      </c>
      <c r="N2014" s="27" t="str" ph="1">
        <f>IFERROR(INDEX([1]!_born[生没年],
MATCH(K2014,[1]!_born[作],0)),"")</f>
        <v/>
      </c>
      <c r="O2014" s="19" t="s" ph="1">
        <v>8033</v>
      </c>
      <c r="R2014" s="20" ph="1"/>
      <c r="T2014" s="19" t="s" ph="1">
        <v>8027</v>
      </c>
      <c r="U2014" s="20" t="s" ph="1">
        <v>1217</v>
      </c>
      <c r="V2014" s="21" ph="1">
        <v>521</v>
      </c>
      <c r="W2014" s="21" ph="1"/>
      <c r="Y2014" s="19" t="s" ph="1">
        <v>4617</v>
      </c>
    </row>
    <row r="2015" spans="1:25" ht="22.5" customHeight="1" ph="1" x14ac:dyDescent="0.35">
      <c r="C2015" s="13" t="s" ph="1">
        <v>7591</v>
      </c>
      <c r="G2015" s="13" t="s" ph="1">
        <v>4758</v>
      </c>
      <c r="H2015" s="13" t="s" ph="1">
        <v>1219</v>
      </c>
      <c r="I2015" s="13" t="s" ph="1">
        <v>4928</v>
      </c>
      <c r="M2015" s="14" t="str" ph="1">
        <f>IFERROR(INDEX([1]!_born[生没年],
MATCH(I2015,[1]!_born[作],0)),"")</f>
        <v/>
      </c>
      <c r="N2015" s="14" t="str" ph="1">
        <f>IFERROR(INDEX([1]!_born[生没年],
MATCH(K2015,[1]!_born[作],0)),"")</f>
        <v/>
      </c>
      <c r="O2015" s="13" t="s" ph="1">
        <v>8034</v>
      </c>
      <c r="T2015" s="13" t="s" ph="1">
        <v>5147</v>
      </c>
      <c r="Y2015" s="13" t="s" ph="1">
        <v>8035</v>
      </c>
    </row>
    <row r="2016" spans="1:25" ht="22.5" customHeight="1" ph="1" x14ac:dyDescent="0.35">
      <c r="C2016" s="13" t="s" ph="1">
        <v>7591</v>
      </c>
      <c r="G2016" s="13" t="s" ph="1">
        <v>4758</v>
      </c>
      <c r="H2016" s="13" t="s" ph="1">
        <v>1219</v>
      </c>
      <c r="I2016" s="13" t="s" ph="1">
        <v>8036</v>
      </c>
      <c r="M2016" s="14" t="str" ph="1">
        <f>IFERROR(INDEX([1]!_born[生没年],
MATCH(I2016,[1]!_born[作],0)),"")</f>
        <v/>
      </c>
      <c r="N2016" s="14" t="str" ph="1">
        <f>IFERROR(INDEX([1]!_born[生没年],
MATCH(K2016,[1]!_born[作],0)),"")</f>
        <v/>
      </c>
      <c r="O2016" s="13" t="s" ph="1">
        <v>8037</v>
      </c>
      <c r="T2016" s="13" t="s" ph="1">
        <v>7783</v>
      </c>
    </row>
    <row r="2017" spans="1:25" ht="22.5" customHeight="1" ph="1" x14ac:dyDescent="0.35">
      <c r="C2017" s="13" t="s" ph="1">
        <v>7591</v>
      </c>
      <c r="G2017" s="13" t="s" ph="1">
        <v>4758</v>
      </c>
      <c r="H2017" s="13" t="s" ph="1">
        <v>1219</v>
      </c>
      <c r="I2017" s="13" t="s" ph="1">
        <v>8038</v>
      </c>
      <c r="M2017" s="14" t="str" ph="1">
        <f>IFERROR(INDEX([1]!_born[生没年],
MATCH(I2017,[1]!_born[作],0)),"")</f>
        <v/>
      </c>
      <c r="N2017" s="14" t="str" ph="1">
        <f>IFERROR(INDEX([1]!_born[生没年],
MATCH(K2017,[1]!_born[作],0)),"")</f>
        <v/>
      </c>
      <c r="O2017" s="13" t="s" ph="1">
        <v>8039</v>
      </c>
      <c r="T2017" s="13" t="s" ph="1">
        <v>5147</v>
      </c>
      <c r="V2017" s="17" ph="1">
        <v>220</v>
      </c>
    </row>
    <row r="2018" spans="1:25" ht="22.5" customHeight="1" ph="1" x14ac:dyDescent="0.35">
      <c r="C2018" s="13" t="s" ph="1">
        <v>7591</v>
      </c>
      <c r="G2018" s="13" t="s" ph="1">
        <v>4758</v>
      </c>
      <c r="H2018" s="13" t="s" ph="1">
        <v>1219</v>
      </c>
      <c r="I2018" s="13" t="s" ph="1">
        <v>8038</v>
      </c>
      <c r="M2018" s="14" t="str" ph="1">
        <f>IFERROR(INDEX([1]!_born[生没年],
MATCH(I2018,[1]!_born[作],0)),"")</f>
        <v/>
      </c>
      <c r="N2018" s="14" t="str" ph="1">
        <f>IFERROR(INDEX([1]!_born[生没年],
MATCH(K2018,[1]!_born[作],0)),"")</f>
        <v/>
      </c>
      <c r="O2018" s="15" t="s" ph="1">
        <v>8040</v>
      </c>
      <c r="T2018" s="13" t="s" ph="1">
        <v>5147</v>
      </c>
      <c r="V2018" s="17" ph="1">
        <v>120</v>
      </c>
    </row>
    <row r="2019" spans="1:25" ht="22.5" customHeight="1" ph="1" x14ac:dyDescent="0.35">
      <c r="C2019" s="13" t="s" ph="1">
        <v>7591</v>
      </c>
      <c r="G2019" s="13" t="s" ph="1">
        <v>4758</v>
      </c>
      <c r="H2019" s="13" t="s" ph="1">
        <v>1219</v>
      </c>
      <c r="I2019" s="13" t="s" ph="1">
        <v>8038</v>
      </c>
      <c r="M2019" s="14" t="str" ph="1">
        <f>IFERROR(INDEX([1]!_born[生没年],
MATCH(I2019,[1]!_born[作],0)),"")</f>
        <v/>
      </c>
      <c r="N2019" s="14" t="str" ph="1">
        <f>IFERROR(INDEX([1]!_born[生没年],
MATCH(K2019,[1]!_born[作],0)),"")</f>
        <v/>
      </c>
      <c r="O2019" s="13" t="s" ph="1">
        <v>8041</v>
      </c>
      <c r="R2019" s="16" t="s" ph="1">
        <v>1463</v>
      </c>
      <c r="S2019" s="13" t="s" ph="1">
        <v>8042</v>
      </c>
      <c r="T2019" s="13" t="s" ph="1">
        <v>5147</v>
      </c>
      <c r="V2019" s="17" ph="1">
        <v>280</v>
      </c>
    </row>
    <row r="2020" spans="1:25" ht="22.5" customHeight="1" ph="1" x14ac:dyDescent="0.35">
      <c r="C2020" s="13" t="s" ph="1">
        <v>7591</v>
      </c>
      <c r="G2020" s="13" t="s" ph="1">
        <v>4758</v>
      </c>
      <c r="H2020" s="13" t="s" ph="1">
        <v>1219</v>
      </c>
      <c r="I2020" s="13" t="s" ph="1">
        <v>8038</v>
      </c>
      <c r="M2020" s="14" t="str" ph="1">
        <f>IFERROR(INDEX([1]!_born[生没年],
MATCH(I2020,[1]!_born[作],0)),"")</f>
        <v/>
      </c>
      <c r="N2020" s="14" t="str" ph="1">
        <f>IFERROR(INDEX([1]!_born[生没年],
MATCH(K2020,[1]!_born[作],0)),"")</f>
        <v/>
      </c>
      <c r="O2020" s="15" t="s" ph="1">
        <v>8043</v>
      </c>
      <c r="R2020" s="16" t="s" ph="1">
        <v>1295</v>
      </c>
      <c r="T2020" s="13" t="s" ph="1">
        <v>5147</v>
      </c>
      <c r="V2020" s="17" ph="1">
        <v>520</v>
      </c>
    </row>
    <row r="2021" spans="1:25" ht="22.5" customHeight="1" ph="1" x14ac:dyDescent="0.35">
      <c r="C2021" s="13" t="s" ph="1">
        <v>7591</v>
      </c>
      <c r="G2021" s="13" t="s" ph="1">
        <v>4758</v>
      </c>
      <c r="H2021" s="13" t="s" ph="1">
        <v>1219</v>
      </c>
      <c r="I2021" s="13" t="s" ph="1">
        <v>8038</v>
      </c>
      <c r="M2021" s="14" t="str" ph="1">
        <f>IFERROR(INDEX([1]!_born[生没年],
MATCH(I2021,[1]!_born[作],0)),"")</f>
        <v/>
      </c>
      <c r="N2021" s="14" t="str" ph="1">
        <f>IFERROR(INDEX([1]!_born[生没年],
MATCH(K2021,[1]!_born[作],0)),"")</f>
        <v/>
      </c>
      <c r="O2021" s="15" t="s" ph="1">
        <v>8044</v>
      </c>
      <c r="T2021" s="13" t="s" ph="1">
        <v>5147</v>
      </c>
      <c r="V2021" s="17" ph="1">
        <v>140</v>
      </c>
      <c r="W2021" s="17" ph="1">
        <v>50</v>
      </c>
    </row>
    <row r="2022" spans="1:25" ht="22.5" customHeight="1" ph="1" x14ac:dyDescent="0.35">
      <c r="C2022" s="13" t="s" ph="1">
        <v>7591</v>
      </c>
      <c r="G2022" s="13" t="s" ph="1">
        <v>4758</v>
      </c>
      <c r="H2022" s="13" t="s" ph="1">
        <v>1219</v>
      </c>
      <c r="I2022" s="13" t="s" ph="1">
        <v>8038</v>
      </c>
      <c r="M2022" s="14" t="str" ph="1">
        <f>IFERROR(INDEX([1]!_born[生没年],
MATCH(I2022,[1]!_born[作],0)),"")</f>
        <v/>
      </c>
      <c r="N2022" s="14" t="str" ph="1">
        <f>IFERROR(INDEX([1]!_born[生没年],
MATCH(K2022,[1]!_born[作],0)),"")</f>
        <v/>
      </c>
      <c r="O2022" s="13" t="s" ph="1">
        <v>8045</v>
      </c>
      <c r="R2022" s="16" t="s" ph="1">
        <v>1406</v>
      </c>
      <c r="T2022" s="13" t="s" ph="1">
        <v>7375</v>
      </c>
      <c r="V2022" s="17" ph="1">
        <v>920</v>
      </c>
    </row>
    <row r="2023" spans="1:25" ht="22.5" customHeight="1" ph="1" x14ac:dyDescent="0.35">
      <c r="C2023" s="13" t="s" ph="1">
        <v>7591</v>
      </c>
      <c r="G2023" s="13" t="s" ph="1">
        <v>4758</v>
      </c>
      <c r="H2023" s="13" t="s" ph="1">
        <v>1219</v>
      </c>
      <c r="I2023" s="13" t="s" ph="1">
        <v>8038</v>
      </c>
      <c r="M2023" s="14" t="str" ph="1">
        <f>IFERROR(INDEX([1]!_born[生没年],
MATCH(I2023,[1]!_born[作],0)),"")</f>
        <v/>
      </c>
      <c r="N2023" s="14" t="str" ph="1">
        <f>IFERROR(INDEX([1]!_born[生没年],
MATCH(K2023,[1]!_born[作],0)),"")</f>
        <v/>
      </c>
      <c r="O2023" s="13" t="s" ph="1">
        <v>8046</v>
      </c>
      <c r="R2023" s="16" t="s" ph="1">
        <v>1464</v>
      </c>
      <c r="T2023" s="13" t="s" ph="1">
        <v>7375</v>
      </c>
      <c r="U2023" s="16" ph="1">
        <v>37700</v>
      </c>
      <c r="V2023" s="17" ph="1">
        <f>781*1.05</f>
        <v>820.05000000000007</v>
      </c>
    </row>
    <row r="2024" spans="1:25" ht="22.5" customHeight="1" ph="1" x14ac:dyDescent="0.35">
      <c r="C2024" s="13" t="s" ph="1">
        <v>7591</v>
      </c>
      <c r="G2024" s="13" t="s" ph="1">
        <v>4758</v>
      </c>
      <c r="H2024" s="13" t="s" ph="1">
        <v>1219</v>
      </c>
      <c r="I2024" s="13" t="s" ph="1">
        <v>8038</v>
      </c>
      <c r="M2024" s="14" t="str" ph="1">
        <f>IFERROR(INDEX([1]!_born[生没年],
MATCH(I2024,[1]!_born[作],0)),"")</f>
        <v/>
      </c>
      <c r="N2024" s="14" t="str" ph="1">
        <f>IFERROR(INDEX([1]!_born[生没年],
MATCH(K2024,[1]!_born[作],0)),"")</f>
        <v/>
      </c>
      <c r="O2024" s="13" t="s" ph="1">
        <v>8047</v>
      </c>
      <c r="R2024" s="16" t="s" ph="1">
        <v>8048</v>
      </c>
      <c r="T2024" s="13" t="s" ph="1">
        <v>7375</v>
      </c>
      <c r="U2024" s="16" ph="1">
        <v>37556</v>
      </c>
      <c r="V2024" s="17" ph="1">
        <v>320</v>
      </c>
      <c r="W2024" s="17" ph="1">
        <v>1000</v>
      </c>
      <c r="X2024" s="13" t="s" ph="1">
        <v>5082</v>
      </c>
      <c r="Y2024" s="13" t="s" ph="1">
        <v>7680</v>
      </c>
    </row>
    <row r="2025" spans="1:25" ht="22.5" customHeight="1" ph="1" x14ac:dyDescent="0.35">
      <c r="C2025" s="13" t="s" ph="1">
        <v>7591</v>
      </c>
      <c r="G2025" s="13" t="s" ph="1">
        <v>4758</v>
      </c>
      <c r="H2025" s="13" t="s" ph="1">
        <v>1219</v>
      </c>
      <c r="I2025" s="13" t="s" ph="1">
        <v>8049</v>
      </c>
      <c r="M2025" s="14" t="str" ph="1">
        <f>IFERROR(INDEX([1]!_born[生没年],
MATCH(I2025,[1]!_born[作],0)),"")</f>
        <v/>
      </c>
      <c r="N2025" s="14" t="str" ph="1">
        <f>IFERROR(INDEX([1]!_born[生没年],
MATCH(K2025,[1]!_born[作],0)),"")</f>
        <v/>
      </c>
      <c r="O2025" s="13" t="s" ph="1">
        <v>8050</v>
      </c>
      <c r="T2025" s="13" t="s" ph="1">
        <v>7649</v>
      </c>
      <c r="U2025" s="16" t="s" ph="1">
        <v>1217</v>
      </c>
    </row>
    <row r="2026" spans="1:25" ht="22.5" customHeight="1" ph="1" x14ac:dyDescent="0.35">
      <c r="A2026" s="106" t="s" ph="1">
        <v>2985</v>
      </c>
      <c r="B2026" s="5" t="s" ph="1">
        <v>1448</v>
      </c>
      <c r="C2026" s="13" t="s" ph="1">
        <v>7591</v>
      </c>
      <c r="G2026" s="13" t="s" ph="1">
        <v>4758</v>
      </c>
      <c r="H2026" s="13" t="s" ph="1">
        <v>61</v>
      </c>
      <c r="I2026" s="13" t="s" ph="1">
        <v>8051</v>
      </c>
      <c r="M2026" s="14" t="str" ph="1">
        <f>IFERROR(INDEX([1]!_born[生没年],
MATCH(I2026,[1]!_born[作],0)),"")</f>
        <v/>
      </c>
      <c r="N2026" s="14" t="str" ph="1">
        <f>IFERROR(INDEX([1]!_born[生没年],
MATCH(K2026,[1]!_born[作],0)),"")</f>
        <v/>
      </c>
      <c r="O2026" s="13" t="s" ph="1">
        <v>8052</v>
      </c>
      <c r="R2026" s="16" t="s" ph="1">
        <v>8053</v>
      </c>
      <c r="T2026" s="13" t="s" ph="1">
        <v>5147</v>
      </c>
      <c r="U2026" s="16" t="s" ph="1">
        <v>2966</v>
      </c>
      <c r="V2026" s="17" ph="1">
        <v>440</v>
      </c>
      <c r="W2026" s="17" ph="1">
        <v>108</v>
      </c>
      <c r="Y2026" s="13" t="s" ph="1">
        <v>8054</v>
      </c>
    </row>
    <row r="2027" spans="1:25" ht="22.5" customHeight="1" ph="1" x14ac:dyDescent="0.35">
      <c r="C2027" s="13" t="s" ph="1">
        <v>7591</v>
      </c>
      <c r="D2027" s="123" ph="1">
        <v>1</v>
      </c>
      <c r="E2027" s="123" ph="1">
        <v>5</v>
      </c>
      <c r="G2027" s="13" t="s" ph="1">
        <v>4758</v>
      </c>
      <c r="H2027" s="13" t="s" ph="1">
        <v>1465</v>
      </c>
      <c r="I2027" s="13" t="s" ph="1">
        <v>8055</v>
      </c>
      <c r="K2027" s="13" t="s" ph="1">
        <v>8056</v>
      </c>
      <c r="L2027" s="13" t="s" ph="1">
        <v>3628</v>
      </c>
      <c r="M2027" s="14" t="str" ph="1">
        <f>IFERROR(INDEX([1]!_born[生没年],
MATCH(I2027,[1]!_born[作],0)),"")</f>
        <v/>
      </c>
      <c r="N2027" s="14" t="str" ph="1">
        <f>IFERROR(INDEX([1]!_born[生没年],
MATCH(K2027,[1]!_born[作],0)),"")</f>
        <v/>
      </c>
      <c r="O2027" s="13" t="s" ph="1">
        <v>8057</v>
      </c>
      <c r="T2027" s="13" t="s" ph="1">
        <v>7375</v>
      </c>
      <c r="U2027" s="16" ph="1">
        <v>36817</v>
      </c>
      <c r="V2027" s="17" ph="1">
        <f>757*1.05</f>
        <v>794.85</v>
      </c>
      <c r="W2027" s="17" ph="1">
        <f>757*1.05</f>
        <v>794.85</v>
      </c>
    </row>
    <row r="2028" spans="1:25" ht="22.5" customHeight="1" ph="1" x14ac:dyDescent="0.35">
      <c r="C2028" s="13" t="s" ph="1">
        <v>7591</v>
      </c>
      <c r="D2028" s="123" ph="1">
        <v>2</v>
      </c>
      <c r="E2028" s="123" ph="1">
        <v>5</v>
      </c>
      <c r="G2028" s="13" t="s" ph="1">
        <v>4758</v>
      </c>
      <c r="H2028" s="13" t="s" ph="1">
        <v>1465</v>
      </c>
      <c r="I2028" s="13" t="s" ph="1">
        <v>8055</v>
      </c>
      <c r="K2028" s="13" t="s" ph="1">
        <v>8056</v>
      </c>
      <c r="L2028" s="13" t="s" ph="1">
        <v>3628</v>
      </c>
      <c r="M2028" s="14" t="str" ph="1">
        <f>IFERROR(INDEX([1]!_born[生没年],
MATCH(I2028,[1]!_born[作],0)),"")</f>
        <v/>
      </c>
      <c r="N2028" s="14" t="str" ph="1">
        <f>IFERROR(INDEX([1]!_born[生没年],
MATCH(K2028,[1]!_born[作],0)),"")</f>
        <v/>
      </c>
      <c r="O2028" s="13" t="s" ph="1">
        <v>8058</v>
      </c>
      <c r="T2028" s="13" t="s" ph="1">
        <v>7375</v>
      </c>
      <c r="U2028" s="16" ph="1">
        <v>36817</v>
      </c>
      <c r="V2028" s="17" ph="1">
        <f>819*1.05</f>
        <v>859.95</v>
      </c>
      <c r="W2028" s="17" ph="1">
        <f>819*1.05</f>
        <v>859.95</v>
      </c>
    </row>
    <row r="2029" spans="1:25" ht="22.5" customHeight="1" ph="1" x14ac:dyDescent="0.35">
      <c r="C2029" s="13" t="s" ph="1">
        <v>7591</v>
      </c>
      <c r="D2029" s="123" ph="1">
        <v>3</v>
      </c>
      <c r="E2029" s="123" ph="1">
        <v>5</v>
      </c>
      <c r="G2029" s="13" t="s" ph="1">
        <v>4758</v>
      </c>
      <c r="H2029" s="13" t="s" ph="1">
        <v>1465</v>
      </c>
      <c r="I2029" s="13" t="s" ph="1">
        <v>8055</v>
      </c>
      <c r="K2029" s="13" t="s" ph="1">
        <v>8056</v>
      </c>
      <c r="L2029" s="13" t="s" ph="1">
        <v>3628</v>
      </c>
      <c r="M2029" s="14" t="str" ph="1">
        <f>IFERROR(INDEX([1]!_born[生没年],
MATCH(I2029,[1]!_born[作],0)),"")</f>
        <v/>
      </c>
      <c r="N2029" s="14" t="str" ph="1">
        <f>IFERROR(INDEX([1]!_born[生没年],
MATCH(K2029,[1]!_born[作],0)),"")</f>
        <v/>
      </c>
      <c r="O2029" s="13" t="s" ph="1">
        <v>8059</v>
      </c>
      <c r="T2029" s="13" t="s" ph="1">
        <v>7375</v>
      </c>
      <c r="U2029" s="16" ph="1">
        <v>36817</v>
      </c>
      <c r="V2029" s="17" ph="1">
        <f>838*1.05</f>
        <v>879.90000000000009</v>
      </c>
      <c r="W2029" s="17" ph="1">
        <f>838*1.05</f>
        <v>879.90000000000009</v>
      </c>
    </row>
    <row r="2030" spans="1:25" ht="22.5" customHeight="1" ph="1" x14ac:dyDescent="0.35">
      <c r="C2030" s="13" t="s" ph="1">
        <v>7591</v>
      </c>
      <c r="D2030" s="123" ph="1">
        <v>4</v>
      </c>
      <c r="E2030" s="123" ph="1">
        <v>5</v>
      </c>
      <c r="G2030" s="13" t="s" ph="1">
        <v>4758</v>
      </c>
      <c r="H2030" s="13" t="s" ph="1">
        <v>1465</v>
      </c>
      <c r="I2030" s="13" t="s" ph="1">
        <v>8055</v>
      </c>
      <c r="K2030" s="13" t="s" ph="1">
        <v>8056</v>
      </c>
      <c r="L2030" s="13" t="s" ph="1">
        <v>3628</v>
      </c>
      <c r="M2030" s="14" t="str" ph="1">
        <f>IFERROR(INDEX([1]!_born[生没年],
MATCH(I2030,[1]!_born[作],0)),"")</f>
        <v/>
      </c>
      <c r="N2030" s="14" t="str" ph="1">
        <f>IFERROR(INDEX([1]!_born[生没年],
MATCH(K2030,[1]!_born[作],0)),"")</f>
        <v/>
      </c>
      <c r="O2030" s="13" t="s" ph="1">
        <v>8060</v>
      </c>
      <c r="T2030" s="13" t="s" ph="1">
        <v>7375</v>
      </c>
      <c r="U2030" s="16" ph="1">
        <v>36817</v>
      </c>
      <c r="V2030" s="17" ph="1">
        <f>914*1.05</f>
        <v>959.7</v>
      </c>
      <c r="W2030" s="17" ph="1">
        <f>914*1.05</f>
        <v>959.7</v>
      </c>
    </row>
    <row r="2031" spans="1:25" ht="22.5" customHeight="1" ph="1" x14ac:dyDescent="0.35">
      <c r="C2031" s="13" t="s" ph="1">
        <v>7591</v>
      </c>
      <c r="G2031" s="13" t="s" ph="1">
        <v>4758</v>
      </c>
      <c r="H2031" s="13" t="s" ph="1">
        <v>1219</v>
      </c>
      <c r="I2031" s="13" t="s" ph="1">
        <v>8056</v>
      </c>
      <c r="M2031" s="14" t="str" ph="1">
        <f>IFERROR(INDEX([1]!_born[生没年],
MATCH(I2031,[1]!_born[作],0)),"")</f>
        <v/>
      </c>
      <c r="N2031" s="14" t="str" ph="1">
        <f>IFERROR(INDEX([1]!_born[生没年],
MATCH(K2031,[1]!_born[作],0)),"")</f>
        <v/>
      </c>
      <c r="O2031" s="13" t="s" ph="1">
        <v>8061</v>
      </c>
      <c r="T2031" s="13" t="s" ph="1">
        <v>5147</v>
      </c>
    </row>
    <row r="2032" spans="1:25" ht="22.5" customHeight="1" ph="1" x14ac:dyDescent="0.35">
      <c r="C2032" s="13" t="s" ph="1">
        <v>7591</v>
      </c>
      <c r="G2032" s="13" t="s" ph="1">
        <v>4758</v>
      </c>
      <c r="H2032" s="13" t="s" ph="1">
        <v>1219</v>
      </c>
      <c r="I2032" s="13" t="s" ph="1">
        <v>8056</v>
      </c>
      <c r="M2032" s="14" t="str" ph="1">
        <f>IFERROR(INDEX([1]!_born[生没年],
MATCH(I2032,[1]!_born[作],0)),"")</f>
        <v/>
      </c>
      <c r="N2032" s="14" t="str" ph="1">
        <f>IFERROR(INDEX([1]!_born[生没年],
MATCH(K2032,[1]!_born[作],0)),"")</f>
        <v/>
      </c>
      <c r="O2032" s="13" t="s" ph="1">
        <v>8062</v>
      </c>
      <c r="T2032" s="13" t="s" ph="1">
        <v>5147</v>
      </c>
    </row>
    <row r="2033" spans="3:25" ht="22.5" customHeight="1" ph="1" x14ac:dyDescent="0.35">
      <c r="C2033" s="13" t="s" ph="1">
        <v>7591</v>
      </c>
      <c r="G2033" s="13" t="s" ph="1">
        <v>4758</v>
      </c>
      <c r="H2033" s="13" t="s" ph="1">
        <v>1219</v>
      </c>
      <c r="I2033" s="13" t="s" ph="1">
        <v>8056</v>
      </c>
      <c r="M2033" s="14" t="str" ph="1">
        <f>IFERROR(INDEX([1]!_born[生没年],
MATCH(I2033,[1]!_born[作],0)),"")</f>
        <v/>
      </c>
      <c r="N2033" s="14" t="str" ph="1">
        <f>IFERROR(INDEX([1]!_born[生没年],
MATCH(K2033,[1]!_born[作],0)),"")</f>
        <v/>
      </c>
      <c r="O2033" s="13" t="s" ph="1">
        <v>8063</v>
      </c>
      <c r="T2033" s="13" t="s" ph="1">
        <v>5147</v>
      </c>
    </row>
    <row r="2034" spans="3:25" ht="22.5" customHeight="1" ph="1" x14ac:dyDescent="0.35">
      <c r="C2034" s="13" t="s" ph="1">
        <v>7591</v>
      </c>
      <c r="G2034" s="13" t="s" ph="1">
        <v>4758</v>
      </c>
      <c r="H2034" s="13" t="s" ph="1">
        <v>1219</v>
      </c>
      <c r="I2034" s="13" t="s" ph="1">
        <v>8056</v>
      </c>
      <c r="M2034" s="14" t="str" ph="1">
        <f>IFERROR(INDEX([1]!_born[生没年],
MATCH(I2034,[1]!_born[作],0)),"")</f>
        <v/>
      </c>
      <c r="N2034" s="14" t="str" ph="1">
        <f>IFERROR(INDEX([1]!_born[生没年],
MATCH(K2034,[1]!_born[作],0)),"")</f>
        <v/>
      </c>
      <c r="O2034" s="13" t="s" ph="1">
        <v>8064</v>
      </c>
      <c r="T2034" s="13" t="s" ph="1">
        <v>5147</v>
      </c>
    </row>
    <row r="2035" spans="3:25" ht="22.5" customHeight="1" ph="1" x14ac:dyDescent="0.35">
      <c r="C2035" s="13" t="s" ph="1">
        <v>7591</v>
      </c>
      <c r="G2035" s="13" t="s" ph="1">
        <v>4758</v>
      </c>
      <c r="H2035" s="13" t="s" ph="1">
        <v>1219</v>
      </c>
      <c r="I2035" s="13" t="s" ph="1">
        <v>8056</v>
      </c>
      <c r="M2035" s="14" t="str" ph="1">
        <f>IFERROR(INDEX([1]!_born[生没年],
MATCH(I2035,[1]!_born[作],0)),"")</f>
        <v/>
      </c>
      <c r="N2035" s="14" t="str" ph="1">
        <f>IFERROR(INDEX([1]!_born[生没年],
MATCH(K2035,[1]!_born[作],0)),"")</f>
        <v/>
      </c>
      <c r="O2035" s="13" t="s" ph="1">
        <v>8065</v>
      </c>
      <c r="T2035" s="13" t="s" ph="1">
        <v>5147</v>
      </c>
    </row>
    <row r="2036" spans="3:25" ht="22.5" customHeight="1" ph="1" x14ac:dyDescent="0.35">
      <c r="C2036" s="13" t="s" ph="1">
        <v>7591</v>
      </c>
      <c r="G2036" s="13" t="s" ph="1">
        <v>4758</v>
      </c>
      <c r="H2036" s="13" t="s" ph="1">
        <v>1219</v>
      </c>
      <c r="I2036" s="13" t="s" ph="1">
        <v>8056</v>
      </c>
      <c r="M2036" s="14" t="str" ph="1">
        <f>IFERROR(INDEX([1]!_born[生没年],
MATCH(I2036,[1]!_born[作],0)),"")</f>
        <v/>
      </c>
      <c r="N2036" s="14" t="str" ph="1">
        <f>IFERROR(INDEX([1]!_born[生没年],
MATCH(K2036,[1]!_born[作],0)),"")</f>
        <v/>
      </c>
      <c r="O2036" s="13" t="s" ph="1">
        <v>8066</v>
      </c>
      <c r="T2036" s="13" t="s" ph="1">
        <v>5147</v>
      </c>
    </row>
    <row r="2037" spans="3:25" ht="22.5" customHeight="1" ph="1" x14ac:dyDescent="0.35">
      <c r="C2037" s="13" t="s" ph="1">
        <v>7591</v>
      </c>
      <c r="G2037" s="13" t="s" ph="1">
        <v>4758</v>
      </c>
      <c r="H2037" s="13" t="s" ph="1">
        <v>1219</v>
      </c>
      <c r="I2037" s="13" t="s" ph="1">
        <v>8056</v>
      </c>
      <c r="M2037" s="14" t="str" ph="1">
        <f>IFERROR(INDEX([1]!_born[生没年],
MATCH(I2037,[1]!_born[作],0)),"")</f>
        <v/>
      </c>
      <c r="N2037" s="14" t="str" ph="1">
        <f>IFERROR(INDEX([1]!_born[生没年],
MATCH(K2037,[1]!_born[作],0)),"")</f>
        <v/>
      </c>
      <c r="O2037" s="13" t="s" ph="1">
        <v>8067</v>
      </c>
      <c r="T2037" s="13" t="s" ph="1">
        <v>5147</v>
      </c>
    </row>
    <row r="2038" spans="3:25" ht="22.5" customHeight="1" ph="1" x14ac:dyDescent="0.35">
      <c r="C2038" s="13" t="s" ph="1">
        <v>7591</v>
      </c>
      <c r="G2038" s="13" t="s" ph="1">
        <v>4758</v>
      </c>
      <c r="H2038" s="13" t="s" ph="1">
        <v>1219</v>
      </c>
      <c r="I2038" s="13" t="s" ph="1">
        <v>8056</v>
      </c>
      <c r="M2038" s="14" t="str" ph="1">
        <f>IFERROR(INDEX([1]!_born[生没年],
MATCH(I2038,[1]!_born[作],0)),"")</f>
        <v/>
      </c>
      <c r="N2038" s="14" t="str" ph="1">
        <f>IFERROR(INDEX([1]!_born[生没年],
MATCH(K2038,[1]!_born[作],0)),"")</f>
        <v/>
      </c>
      <c r="O2038" s="13" t="s" ph="1">
        <v>8068</v>
      </c>
      <c r="T2038" s="13" t="s" ph="1">
        <v>7375</v>
      </c>
    </row>
    <row r="2039" spans="3:25" ht="22.5" customHeight="1" ph="1" x14ac:dyDescent="0.35">
      <c r="C2039" s="13" t="s" ph="1">
        <v>7591</v>
      </c>
      <c r="G2039" s="13" t="s" ph="1">
        <v>3599</v>
      </c>
      <c r="H2039" s="13" t="s" ph="1">
        <v>1219</v>
      </c>
      <c r="I2039" s="13" t="s" ph="1">
        <v>8056</v>
      </c>
      <c r="M2039" s="14" t="str" ph="1">
        <f>IFERROR(INDEX([1]!_born[生没年],
MATCH(I2039,[1]!_born[作],0)),"")</f>
        <v/>
      </c>
      <c r="N2039" s="14" t="str" ph="1">
        <f>IFERROR(INDEX([1]!_born[生没年],
MATCH(K2039,[1]!_born[作],0)),"")</f>
        <v/>
      </c>
      <c r="O2039" s="13" t="s" ph="1">
        <v>8069</v>
      </c>
      <c r="T2039" s="13" t="s" ph="1">
        <v>7847</v>
      </c>
    </row>
    <row r="2040" spans="3:25" ht="22.5" customHeight="1" ph="1" x14ac:dyDescent="0.35">
      <c r="C2040" s="13" t="s" ph="1">
        <v>7591</v>
      </c>
      <c r="G2040" s="13" t="s" ph="1">
        <v>4907</v>
      </c>
      <c r="H2040" s="13" t="s" ph="1">
        <v>1219</v>
      </c>
      <c r="I2040" s="13" t="s" ph="1">
        <v>8070</v>
      </c>
      <c r="M2040" s="14" t="str" ph="1">
        <f>IFERROR(INDEX([1]!_born[生没年],
MATCH(I2040,[1]!_born[作],0)),"")</f>
        <v/>
      </c>
      <c r="N2040" s="14" t="str" ph="1">
        <f>IFERROR(INDEX([1]!_born[生没年],
MATCH(K2040,[1]!_born[作],0)),"")</f>
        <v/>
      </c>
      <c r="O2040" s="13" t="s" ph="1">
        <v>8071</v>
      </c>
      <c r="S2040" s="13" t="s" ph="1">
        <v>8072</v>
      </c>
      <c r="T2040" s="13" t="s" ph="1">
        <v>4890</v>
      </c>
      <c r="U2040" s="16" ph="1">
        <v>36471</v>
      </c>
      <c r="V2040" s="17" ph="1">
        <f>686*1.05</f>
        <v>720.30000000000007</v>
      </c>
    </row>
    <row r="2041" spans="3:25" ht="22.5" customHeight="1" ph="1" x14ac:dyDescent="0.35">
      <c r="C2041" s="13" t="s" ph="1">
        <v>7591</v>
      </c>
      <c r="G2041" s="13" t="s" ph="1">
        <v>4758</v>
      </c>
      <c r="H2041" s="13" t="s" ph="1">
        <v>1219</v>
      </c>
      <c r="I2041" s="13" t="s" ph="1">
        <v>4938</v>
      </c>
      <c r="M2041" s="14" t="str" ph="1">
        <f>IFERROR(INDEX([1]!_born[生没年],
MATCH(I2041,[1]!_born[作],0)),"")</f>
        <v/>
      </c>
      <c r="N2041" s="14" t="str" ph="1">
        <f>IFERROR(INDEX([1]!_born[生没年],
MATCH(K2041,[1]!_born[作],0)),"")</f>
        <v/>
      </c>
      <c r="O2041" s="13" t="s" ph="1">
        <v>8073</v>
      </c>
      <c r="T2041" s="13" t="s" ph="1">
        <v>5147</v>
      </c>
    </row>
    <row r="2042" spans="3:25" ht="22.5" customHeight="1" ph="1" x14ac:dyDescent="0.35">
      <c r="C2042" s="13" t="s" ph="1">
        <v>7591</v>
      </c>
      <c r="G2042" s="13" t="s" ph="1">
        <v>4758</v>
      </c>
      <c r="H2042" s="13" t="s" ph="1">
        <v>1219</v>
      </c>
      <c r="I2042" s="13" t="s" ph="1">
        <v>4938</v>
      </c>
      <c r="M2042" s="14" t="str" ph="1">
        <f>IFERROR(INDEX([1]!_born[生没年],
MATCH(I2042,[1]!_born[作],0)),"")</f>
        <v/>
      </c>
      <c r="N2042" s="14" t="str" ph="1">
        <f>IFERROR(INDEX([1]!_born[生没年],
MATCH(K2042,[1]!_born[作],0)),"")</f>
        <v/>
      </c>
      <c r="O2042" s="13" t="s" ph="1">
        <v>8074</v>
      </c>
      <c r="T2042" s="13" t="s" ph="1">
        <v>7949</v>
      </c>
    </row>
    <row r="2043" spans="3:25" ht="22.5" customHeight="1" ph="1" x14ac:dyDescent="0.35">
      <c r="C2043" s="13" t="s" ph="1">
        <v>7591</v>
      </c>
      <c r="G2043" s="13" t="s" ph="1">
        <v>4758</v>
      </c>
      <c r="H2043" s="13" t="s" ph="1">
        <v>1219</v>
      </c>
      <c r="I2043" s="13" t="s" ph="1">
        <v>4938</v>
      </c>
      <c r="M2043" s="14" t="str" ph="1">
        <f>IFERROR(INDEX([1]!_born[生没年],
MATCH(I2043,[1]!_born[作],0)),"")</f>
        <v/>
      </c>
      <c r="N2043" s="14" t="str" ph="1">
        <f>IFERROR(INDEX([1]!_born[生没年],
MATCH(K2043,[1]!_born[作],0)),"")</f>
        <v/>
      </c>
      <c r="O2043" s="13" t="s" ph="1">
        <v>8075</v>
      </c>
      <c r="T2043" s="13" t="s" ph="1">
        <v>7614</v>
      </c>
      <c r="U2043" s="16" t="s" ph="1">
        <v>1217</v>
      </c>
      <c r="V2043" s="17" ph="1">
        <v>320</v>
      </c>
      <c r="W2043" s="17" ph="1">
        <v>220</v>
      </c>
    </row>
    <row r="2044" spans="3:25" ht="22.5" customHeight="1" ph="1" x14ac:dyDescent="0.35">
      <c r="C2044" s="13" t="s" ph="1">
        <v>7591</v>
      </c>
      <c r="G2044" s="13" t="s" ph="1">
        <v>4758</v>
      </c>
      <c r="H2044" s="13" t="s" ph="1">
        <v>1219</v>
      </c>
      <c r="I2044" s="13" t="s" ph="1">
        <v>8076</v>
      </c>
      <c r="M2044" s="14" t="str" ph="1">
        <f>IFERROR(INDEX([1]!_born[生没年],
MATCH(I2044,[1]!_born[作],0)),"")</f>
        <v/>
      </c>
      <c r="N2044" s="14" t="str" ph="1">
        <f>IFERROR(INDEX([1]!_born[生没年],
MATCH(K2044,[1]!_born[作],0)),"")</f>
        <v/>
      </c>
      <c r="O2044" s="13" t="s" ph="1">
        <v>8077</v>
      </c>
      <c r="T2044" s="13" t="s" ph="1">
        <v>7599</v>
      </c>
    </row>
    <row r="2045" spans="3:25" ht="22.5" customHeight="1" ph="1" x14ac:dyDescent="0.35">
      <c r="C2045" s="13" t="s" ph="1">
        <v>7591</v>
      </c>
      <c r="G2045" s="13" t="s" ph="1">
        <v>4758</v>
      </c>
      <c r="H2045" s="13" t="s" ph="1">
        <v>1219</v>
      </c>
      <c r="I2045" s="13" t="s" ph="1">
        <v>8076</v>
      </c>
      <c r="M2045" s="14" t="str" ph="1">
        <f>IFERROR(INDEX([1]!_born[生没年],
MATCH(I2045,[1]!_born[作],0)),"")</f>
        <v/>
      </c>
      <c r="N2045" s="14" t="str" ph="1">
        <f>IFERROR(INDEX([1]!_born[生没年],
MATCH(K2045,[1]!_born[作],0)),"")</f>
        <v/>
      </c>
      <c r="O2045" s="13" t="s" ph="1">
        <v>8078</v>
      </c>
      <c r="T2045" s="13" t="s" ph="1">
        <v>7599</v>
      </c>
    </row>
    <row r="2046" spans="3:25" ht="22.5" customHeight="1" ph="1" x14ac:dyDescent="0.35">
      <c r="C2046" s="13" t="s" ph="1">
        <v>7591</v>
      </c>
      <c r="G2046" s="13" t="s" ph="1">
        <v>4758</v>
      </c>
      <c r="H2046" s="13" t="s" ph="1">
        <v>1219</v>
      </c>
      <c r="I2046" s="13" t="s" ph="1">
        <v>8079</v>
      </c>
      <c r="M2046" s="14" t="str" ph="1">
        <f>IFERROR(INDEX([1]!_born[生没年],
MATCH(I2046,[1]!_born[作],0)),"")</f>
        <v/>
      </c>
      <c r="N2046" s="14" t="str" ph="1">
        <f>IFERROR(INDEX([1]!_born[生没年],
MATCH(K2046,[1]!_born[作],0)),"")</f>
        <v/>
      </c>
      <c r="O2046" s="13" t="s" ph="1">
        <v>8080</v>
      </c>
      <c r="T2046" s="13" t="s" ph="1">
        <v>5147</v>
      </c>
      <c r="Y2046" s="13" t="s" ph="1">
        <v>8081</v>
      </c>
    </row>
    <row r="2047" spans="3:25" ht="22.5" customHeight="1" ph="1" x14ac:dyDescent="0.35">
      <c r="C2047" s="13" t="s" ph="1">
        <v>7591</v>
      </c>
      <c r="G2047" s="13" t="s" ph="1">
        <v>4758</v>
      </c>
      <c r="H2047" s="13" t="s" ph="1">
        <v>1219</v>
      </c>
      <c r="I2047" s="13" t="s" ph="1">
        <v>8082</v>
      </c>
      <c r="M2047" s="14" t="str" ph="1">
        <f>IFERROR(INDEX([1]!_born[生没年],
MATCH(I2047,[1]!_born[作],0)),"")</f>
        <v/>
      </c>
      <c r="N2047" s="14" t="str" ph="1">
        <f>IFERROR(INDEX([1]!_born[生没年],
MATCH(K2047,[1]!_born[作],0)),"")</f>
        <v/>
      </c>
      <c r="O2047" s="13" t="s" ph="1">
        <v>8083</v>
      </c>
      <c r="T2047" s="13" t="s" ph="1">
        <v>7649</v>
      </c>
    </row>
    <row r="2048" spans="3:25" ht="22.5" customHeight="1" ph="1" x14ac:dyDescent="0.35">
      <c r="C2048" s="13" t="s" ph="1">
        <v>7591</v>
      </c>
      <c r="G2048" s="13" t="s" ph="1">
        <v>4758</v>
      </c>
      <c r="H2048" s="13" t="s" ph="1">
        <v>1219</v>
      </c>
      <c r="I2048" s="13" t="s" ph="1">
        <v>8084</v>
      </c>
      <c r="M2048" s="14" t="str" ph="1">
        <f>IFERROR(INDEX([1]!_born[生没年],
MATCH(I2048,[1]!_born[作],0)),"")</f>
        <v/>
      </c>
      <c r="N2048" s="14" t="str" ph="1">
        <f>IFERROR(INDEX([1]!_born[生没年],
MATCH(K2048,[1]!_born[作],0)),"")</f>
        <v/>
      </c>
      <c r="O2048" s="13" t="s" ph="1">
        <v>8085</v>
      </c>
      <c r="T2048" s="13" t="s" ph="1">
        <v>7614</v>
      </c>
    </row>
    <row r="2049" spans="1:25" ht="22.5" customHeight="1" ph="1" x14ac:dyDescent="0.35">
      <c r="C2049" s="13" t="s" ph="1">
        <v>7591</v>
      </c>
      <c r="G2049" s="13" t="s" ph="1">
        <v>4758</v>
      </c>
      <c r="H2049" s="13" t="s" ph="1">
        <v>1219</v>
      </c>
      <c r="I2049" s="13" t="s" ph="1">
        <v>8084</v>
      </c>
      <c r="M2049" s="14" t="str" ph="1">
        <f>IFERROR(INDEX([1]!_born[生没年],
MATCH(I2049,[1]!_born[作],0)),"")</f>
        <v/>
      </c>
      <c r="N2049" s="14" t="str" ph="1">
        <f>IFERROR(INDEX([1]!_born[生没年],
MATCH(K2049,[1]!_born[作],0)),"")</f>
        <v/>
      </c>
      <c r="O2049" s="13" t="s" ph="1">
        <v>8086</v>
      </c>
      <c r="R2049" s="16" t="s" ph="1">
        <v>8087</v>
      </c>
      <c r="T2049" s="13" t="s" ph="1">
        <v>8088</v>
      </c>
      <c r="U2049" s="16" ph="1">
        <v>37556</v>
      </c>
      <c r="V2049" s="17" ph="1">
        <v>490</v>
      </c>
      <c r="W2049" s="17" ph="1">
        <v>1000</v>
      </c>
      <c r="X2049" s="13" t="s" ph="1">
        <v>5082</v>
      </c>
      <c r="Y2049" s="13" t="s" ph="1">
        <v>7680</v>
      </c>
    </row>
    <row r="2050" spans="1:25" ht="22.5" customHeight="1" ph="1" x14ac:dyDescent="0.35">
      <c r="C2050" s="13" t="s" ph="1">
        <v>7591</v>
      </c>
      <c r="G2050" s="13" t="s" ph="1">
        <v>4758</v>
      </c>
      <c r="H2050" s="13" t="s" ph="1">
        <v>1219</v>
      </c>
      <c r="I2050" s="13" t="s" ph="1">
        <v>8089</v>
      </c>
      <c r="M2050" s="14" t="str" ph="1">
        <f>IFERROR(INDEX([1]!_born[生没年],
MATCH(I2050,[1]!_born[作],0)),"")</f>
        <v/>
      </c>
      <c r="N2050" s="14" t="str" ph="1">
        <f>IFERROR(INDEX([1]!_born[生没年],
MATCH(K2050,[1]!_born[作],0)),"")</f>
        <v/>
      </c>
      <c r="O2050" s="13" t="s" ph="1">
        <v>8090</v>
      </c>
      <c r="T2050" s="13" t="s" ph="1">
        <v>7783</v>
      </c>
    </row>
    <row r="2051" spans="1:25" ht="22.5" customHeight="1" ph="1" x14ac:dyDescent="0.35">
      <c r="C2051" s="13" t="s" ph="1">
        <v>7591</v>
      </c>
      <c r="G2051" s="13" t="s" ph="1">
        <v>4758</v>
      </c>
      <c r="H2051" s="13" t="s" ph="1">
        <v>1219</v>
      </c>
      <c r="I2051" s="13" t="s" ph="1">
        <v>8091</v>
      </c>
      <c r="M2051" s="14" t="str" ph="1">
        <f>IFERROR(INDEX([1]!_born[生没年],
MATCH(I2051,[1]!_born[作],0)),"")</f>
        <v/>
      </c>
      <c r="N2051" s="14" t="str" ph="1">
        <f>IFERROR(INDEX([1]!_born[生没年],
MATCH(K2051,[1]!_born[作],0)),"")</f>
        <v/>
      </c>
      <c r="O2051" s="13" t="s" ph="1">
        <v>8092</v>
      </c>
      <c r="T2051" s="13" t="s" ph="1">
        <v>7783</v>
      </c>
    </row>
    <row r="2052" spans="1:25" ht="22.5" customHeight="1" ph="1" x14ac:dyDescent="0.35">
      <c r="C2052" s="13" t="s" ph="1">
        <v>7591</v>
      </c>
      <c r="D2052" s="123" ph="1">
        <v>1</v>
      </c>
      <c r="E2052" s="123" ph="1">
        <v>5</v>
      </c>
      <c r="G2052" s="13" t="s" ph="1">
        <v>4758</v>
      </c>
      <c r="H2052" s="13" t="s" ph="1">
        <v>1219</v>
      </c>
      <c r="I2052" s="13" t="s" ph="1">
        <v>8093</v>
      </c>
      <c r="M2052" s="14" t="str" ph="1">
        <f>IFERROR(INDEX([1]!_born[生没年],
MATCH(I2052,[1]!_born[作],0)),"")</f>
        <v/>
      </c>
      <c r="N2052" s="14" t="str" ph="1">
        <f>IFERROR(INDEX([1]!_born[生没年],
MATCH(K2052,[1]!_born[作],0)),"")</f>
        <v/>
      </c>
      <c r="O2052" s="13" t="s" ph="1">
        <v>8094</v>
      </c>
      <c r="R2052" s="16" t="s" ph="1">
        <v>1379</v>
      </c>
      <c r="T2052" s="13" t="s" ph="1">
        <v>8072</v>
      </c>
      <c r="U2052" s="16" ph="1">
        <v>37272</v>
      </c>
      <c r="V2052" s="17" ph="1">
        <f>648*5*1.05</f>
        <v>3402</v>
      </c>
      <c r="X2052" s="13" t="s" ph="1">
        <v>3802</v>
      </c>
    </row>
    <row r="2053" spans="1:25" ht="22.5" customHeight="1" ph="1" x14ac:dyDescent="0.35">
      <c r="C2053" s="13" t="s" ph="1">
        <v>7591</v>
      </c>
      <c r="D2053" s="123" ph="1">
        <v>2</v>
      </c>
      <c r="E2053" s="123" ph="1">
        <v>5</v>
      </c>
      <c r="G2053" s="13" t="s" ph="1">
        <v>4758</v>
      </c>
      <c r="H2053" s="13" t="s" ph="1">
        <v>1219</v>
      </c>
      <c r="I2053" s="13" t="s" ph="1">
        <v>8093</v>
      </c>
      <c r="M2053" s="14" t="str" ph="1">
        <f>IFERROR(INDEX([1]!_born[生没年],
MATCH(I2053,[1]!_born[作],0)),"")</f>
        <v/>
      </c>
      <c r="N2053" s="14" t="str" ph="1">
        <f>IFERROR(INDEX([1]!_born[生没年],
MATCH(K2053,[1]!_born[作],0)),"")</f>
        <v/>
      </c>
      <c r="O2053" s="13" t="s" ph="1">
        <v>8094</v>
      </c>
      <c r="R2053" s="16" t="s" ph="1">
        <v>1379</v>
      </c>
      <c r="T2053" s="13" t="s" ph="1">
        <v>8072</v>
      </c>
      <c r="U2053" s="16" ph="1">
        <v>37272</v>
      </c>
      <c r="V2053" s="17" ph="1">
        <f>648*5*1.05</f>
        <v>3402</v>
      </c>
      <c r="X2053" s="13" t="s" ph="1">
        <v>3802</v>
      </c>
    </row>
    <row r="2054" spans="1:25" ht="22.5" customHeight="1" ph="1" x14ac:dyDescent="0.35">
      <c r="C2054" s="13" t="s" ph="1">
        <v>7591</v>
      </c>
      <c r="D2054" s="123" ph="1">
        <v>3</v>
      </c>
      <c r="E2054" s="123" ph="1">
        <v>5</v>
      </c>
      <c r="G2054" s="13" t="s" ph="1">
        <v>4758</v>
      </c>
      <c r="H2054" s="13" t="s" ph="1">
        <v>1219</v>
      </c>
      <c r="I2054" s="13" t="s" ph="1">
        <v>8093</v>
      </c>
      <c r="M2054" s="14" t="str" ph="1">
        <f>IFERROR(INDEX([1]!_born[生没年],
MATCH(I2054,[1]!_born[作],0)),"")</f>
        <v/>
      </c>
      <c r="N2054" s="14" t="str" ph="1">
        <f>IFERROR(INDEX([1]!_born[生没年],
MATCH(K2054,[1]!_born[作],0)),"")</f>
        <v/>
      </c>
      <c r="O2054" s="13" t="s" ph="1">
        <v>8094</v>
      </c>
      <c r="R2054" s="16" t="s" ph="1">
        <v>1379</v>
      </c>
      <c r="T2054" s="13" t="s" ph="1">
        <v>8072</v>
      </c>
      <c r="U2054" s="16" ph="1">
        <v>37272</v>
      </c>
      <c r="V2054" s="17" ph="1">
        <f>648*5*1.05</f>
        <v>3402</v>
      </c>
      <c r="X2054" s="13" t="s" ph="1">
        <v>3802</v>
      </c>
    </row>
    <row r="2055" spans="1:25" ht="22.5" customHeight="1" ph="1" x14ac:dyDescent="0.35">
      <c r="C2055" s="13" t="s" ph="1">
        <v>7591</v>
      </c>
      <c r="D2055" s="123" ph="1">
        <v>4</v>
      </c>
      <c r="E2055" s="123" ph="1">
        <v>5</v>
      </c>
      <c r="G2055" s="13" t="s" ph="1">
        <v>4758</v>
      </c>
      <c r="H2055" s="13" t="s" ph="1">
        <v>1219</v>
      </c>
      <c r="I2055" s="13" t="s" ph="1">
        <v>8093</v>
      </c>
      <c r="M2055" s="14" t="str" ph="1">
        <f>IFERROR(INDEX([1]!_born[生没年],
MATCH(I2055,[1]!_born[作],0)),"")</f>
        <v/>
      </c>
      <c r="N2055" s="14" t="str" ph="1">
        <f>IFERROR(INDEX([1]!_born[生没年],
MATCH(K2055,[1]!_born[作],0)),"")</f>
        <v/>
      </c>
      <c r="O2055" s="13" t="s" ph="1">
        <v>8094</v>
      </c>
      <c r="R2055" s="16" t="s" ph="1">
        <v>1379</v>
      </c>
      <c r="T2055" s="13" t="s" ph="1">
        <v>8072</v>
      </c>
      <c r="U2055" s="16" ph="1">
        <v>37272</v>
      </c>
      <c r="V2055" s="17" ph="1">
        <f>648*5*1.05</f>
        <v>3402</v>
      </c>
      <c r="X2055" s="13" t="s" ph="1">
        <v>3802</v>
      </c>
    </row>
    <row r="2056" spans="1:25" ht="22.5" customHeight="1" ph="1" x14ac:dyDescent="0.35">
      <c r="C2056" s="13" t="s" ph="1">
        <v>7591</v>
      </c>
      <c r="D2056" s="123" ph="1">
        <v>5</v>
      </c>
      <c r="E2056" s="123" ph="1">
        <v>5</v>
      </c>
      <c r="G2056" s="13" t="s" ph="1">
        <v>4758</v>
      </c>
      <c r="H2056" s="13" t="s" ph="1">
        <v>1219</v>
      </c>
      <c r="I2056" s="13" t="s" ph="1">
        <v>8093</v>
      </c>
      <c r="M2056" s="14" t="str" ph="1">
        <f>IFERROR(INDEX([1]!_born[生没年],
MATCH(I2056,[1]!_born[作],0)),"")</f>
        <v/>
      </c>
      <c r="N2056" s="14" t="str" ph="1">
        <f>IFERROR(INDEX([1]!_born[生没年],
MATCH(K2056,[1]!_born[作],0)),"")</f>
        <v/>
      </c>
      <c r="O2056" s="13" t="s" ph="1">
        <v>8094</v>
      </c>
      <c r="R2056" s="16" t="s" ph="1">
        <v>1379</v>
      </c>
      <c r="T2056" s="13" t="s" ph="1">
        <v>8072</v>
      </c>
      <c r="U2056" s="16" ph="1">
        <v>37272</v>
      </c>
      <c r="V2056" s="17" ph="1">
        <f>648*5*1.05</f>
        <v>3402</v>
      </c>
      <c r="X2056" s="13" t="s" ph="1">
        <v>3802</v>
      </c>
    </row>
    <row r="2057" spans="1:25" ht="22.5" customHeight="1" ph="1" x14ac:dyDescent="0.35">
      <c r="A2057" s="106" t="s" ph="1">
        <v>2976</v>
      </c>
      <c r="B2057" s="5" t="s" ph="1">
        <v>1448</v>
      </c>
      <c r="C2057" s="13" t="s" ph="1">
        <v>7591</v>
      </c>
      <c r="G2057" s="13" t="s" ph="1">
        <v>4758</v>
      </c>
      <c r="H2057" s="13" t="s" ph="1">
        <v>61</v>
      </c>
      <c r="I2057" s="13" t="s" ph="1">
        <v>8095</v>
      </c>
      <c r="M2057" s="14" t="str" ph="1">
        <f>IFERROR(INDEX([1]!_born[生没年],
MATCH(I2057,[1]!_born[作],0)),"")</f>
        <v/>
      </c>
      <c r="N2057" s="14" t="str" ph="1">
        <f>IFERROR(INDEX([1]!_born[生没年],
MATCH(K2057,[1]!_born[作],0)),"")</f>
        <v/>
      </c>
      <c r="O2057" s="13" t="s" ph="1">
        <v>8096</v>
      </c>
      <c r="R2057" s="16" t="s" ph="1">
        <v>1070</v>
      </c>
      <c r="T2057" s="13" t="s" ph="1">
        <v>8097</v>
      </c>
      <c r="U2057" s="16" t="s" ph="1">
        <v>2966</v>
      </c>
      <c r="V2057" s="17" ph="1">
        <f>686*1.08</f>
        <v>740.88</v>
      </c>
      <c r="W2057" s="17" ph="1">
        <f>686*1.08</f>
        <v>740.88</v>
      </c>
      <c r="Y2057" s="13" t="s" ph="1">
        <v>6627</v>
      </c>
    </row>
    <row r="2058" spans="1:25" ht="22.5" customHeight="1" ph="1" x14ac:dyDescent="0.35">
      <c r="A2058" s="106" t="s" ph="1">
        <v>10047</v>
      </c>
      <c r="B2058" s="5" t="s" ph="1">
        <v>1448</v>
      </c>
      <c r="C2058" s="13" t="s" ph="1">
        <v>7591</v>
      </c>
      <c r="G2058" s="13" t="s" ph="1">
        <v>4758</v>
      </c>
      <c r="H2058" s="13" t="s" ph="1">
        <v>61</v>
      </c>
      <c r="I2058" s="13" t="s" ph="1">
        <v>8095</v>
      </c>
      <c r="M2058" s="14" t="str" ph="1">
        <f>IFERROR(INDEX([1]!_born[生没年],
MATCH(I2058,[1]!_born[作],0)),"")</f>
        <v/>
      </c>
      <c r="N2058" s="14" t="str" ph="1">
        <f>IFERROR(INDEX([1]!_born[生没年],
MATCH(K2058,[1]!_born[作],0)),"")</f>
        <v/>
      </c>
      <c r="O2058" s="13" t="s" ph="1">
        <v>10216</v>
      </c>
      <c r="R2058" s="16" t="s" ph="1">
        <v>10049</v>
      </c>
      <c r="T2058" s="13" t="s" ph="1">
        <v>5147</v>
      </c>
      <c r="U2058" s="16" t="s" ph="1">
        <v>10048</v>
      </c>
      <c r="V2058" s="17" ph="1">
        <f>590*1.1</f>
        <v>649</v>
      </c>
      <c r="W2058" s="17" ph="1">
        <v>110</v>
      </c>
      <c r="X2058" s="13" t="s" ph="1">
        <v>1692</v>
      </c>
      <c r="Y2058" s="13" t="s" ph="1">
        <v>6627</v>
      </c>
    </row>
    <row r="2059" spans="1:25" ht="22.5" customHeight="1" ph="1" x14ac:dyDescent="0.35">
      <c r="C2059" s="13" t="s" ph="1">
        <v>7591</v>
      </c>
      <c r="G2059" s="13" t="s" ph="1">
        <v>4758</v>
      </c>
      <c r="H2059" s="13" t="s" ph="1">
        <v>1219</v>
      </c>
      <c r="I2059" s="13" t="s" ph="1">
        <v>8098</v>
      </c>
      <c r="M2059" s="14" t="str" ph="1">
        <f>IFERROR(INDEX([1]!_born[生没年],
MATCH(I2059,[1]!_born[作],0)),"")</f>
        <v/>
      </c>
      <c r="N2059" s="14" t="str" ph="1">
        <f>IFERROR(INDEX([1]!_born[生没年],
MATCH(K2059,[1]!_born[作],0)),"")</f>
        <v/>
      </c>
      <c r="O2059" s="13" t="s" ph="1">
        <v>8099</v>
      </c>
      <c r="R2059" s="16" t="s" ph="1">
        <v>1466</v>
      </c>
      <c r="T2059" s="13" t="s" ph="1">
        <v>7375</v>
      </c>
      <c r="U2059" s="16" ph="1">
        <v>37556</v>
      </c>
      <c r="V2059" s="17" ph="1">
        <v>280</v>
      </c>
      <c r="W2059" s="17" ph="1">
        <v>1000</v>
      </c>
      <c r="X2059" s="13" t="s" ph="1">
        <v>5082</v>
      </c>
      <c r="Y2059" s="13" t="s" ph="1">
        <v>7680</v>
      </c>
    </row>
    <row r="2060" spans="1:25" ht="22.5" customHeight="1" ph="1" x14ac:dyDescent="0.35">
      <c r="C2060" s="13" t="s" ph="1">
        <v>7591</v>
      </c>
      <c r="G2060" s="13" t="s" ph="1">
        <v>4758</v>
      </c>
      <c r="H2060" s="13" t="s" ph="1">
        <v>1219</v>
      </c>
      <c r="I2060" s="13" t="s" ph="1">
        <v>8100</v>
      </c>
      <c r="M2060" s="14" t="str" ph="1">
        <f>IFERROR(INDEX([1]!_born[生没年],
MATCH(I2060,[1]!_born[作],0)),"")</f>
        <v/>
      </c>
      <c r="N2060" s="14" t="str" ph="1">
        <f>IFERROR(INDEX([1]!_born[生没年],
MATCH(K2060,[1]!_born[作],0)),"")</f>
        <v/>
      </c>
      <c r="O2060" s="13" t="s" ph="1">
        <v>8101</v>
      </c>
      <c r="T2060" s="13" t="s" ph="1">
        <v>7949</v>
      </c>
    </row>
    <row r="2061" spans="1:25" ht="22.5" customHeight="1" ph="1" x14ac:dyDescent="0.35">
      <c r="C2061" s="13" t="s" ph="1">
        <v>7591</v>
      </c>
      <c r="G2061" s="13" t="s" ph="1">
        <v>4758</v>
      </c>
      <c r="H2061" s="13" t="s" ph="1">
        <v>1219</v>
      </c>
      <c r="I2061" s="13" t="s" ph="1">
        <v>8100</v>
      </c>
      <c r="M2061" s="14" t="str" ph="1">
        <f>IFERROR(INDEX([1]!_born[生没年],
MATCH(I2061,[1]!_born[作],0)),"")</f>
        <v/>
      </c>
      <c r="N2061" s="14" t="str" ph="1">
        <f>IFERROR(INDEX([1]!_born[生没年],
MATCH(K2061,[1]!_born[作],0)),"")</f>
        <v/>
      </c>
      <c r="O2061" s="13" t="s" ph="1">
        <v>8102</v>
      </c>
      <c r="T2061" s="13" t="s" ph="1">
        <v>7949</v>
      </c>
    </row>
    <row r="2062" spans="1:25" ht="22.5" customHeight="1" ph="1" x14ac:dyDescent="0.35">
      <c r="C2062" s="13" t="s" ph="1">
        <v>7591</v>
      </c>
      <c r="G2062" s="13" t="s" ph="1">
        <v>4758</v>
      </c>
      <c r="H2062" s="13" t="s" ph="1">
        <v>1219</v>
      </c>
      <c r="I2062" s="13" t="s" ph="1">
        <v>8100</v>
      </c>
      <c r="M2062" s="14" t="str" ph="1">
        <f>IFERROR(INDEX([1]!_born[生没年],
MATCH(I2062,[1]!_born[作],0)),"")</f>
        <v/>
      </c>
      <c r="N2062" s="14" t="str" ph="1">
        <f>IFERROR(INDEX([1]!_born[生没年],
MATCH(K2062,[1]!_born[作],0)),"")</f>
        <v/>
      </c>
      <c r="O2062" s="13" t="s" ph="1">
        <v>8103</v>
      </c>
      <c r="T2062" s="13" t="s" ph="1">
        <v>5147</v>
      </c>
    </row>
    <row r="2063" spans="1:25" ht="22.5" customHeight="1" ph="1" x14ac:dyDescent="0.35">
      <c r="C2063" s="13" t="s" ph="1">
        <v>7591</v>
      </c>
      <c r="G2063" s="13" t="s" ph="1">
        <v>4758</v>
      </c>
      <c r="H2063" s="13" t="s" ph="1">
        <v>1219</v>
      </c>
      <c r="I2063" s="13" t="s" ph="1">
        <v>8100</v>
      </c>
      <c r="M2063" s="14" t="str" ph="1">
        <f>IFERROR(INDEX([1]!_born[生没年],
MATCH(I2063,[1]!_born[作],0)),"")</f>
        <v/>
      </c>
      <c r="N2063" s="14" t="str" ph="1">
        <f>IFERROR(INDEX([1]!_born[生没年],
MATCH(K2063,[1]!_born[作],0)),"")</f>
        <v/>
      </c>
      <c r="O2063" s="13" t="s" ph="1">
        <v>8104</v>
      </c>
      <c r="T2063" s="13" t="s" ph="1">
        <v>5147</v>
      </c>
    </row>
    <row r="2064" spans="1:25" ht="22.5" customHeight="1" ph="1" x14ac:dyDescent="0.35">
      <c r="C2064" s="13" t="s" ph="1">
        <v>7591</v>
      </c>
      <c r="G2064" s="13" t="s" ph="1">
        <v>4758</v>
      </c>
      <c r="H2064" s="13" t="s" ph="1">
        <v>1219</v>
      </c>
      <c r="I2064" s="13" t="s" ph="1">
        <v>8100</v>
      </c>
      <c r="M2064" s="14" t="str" ph="1">
        <f>IFERROR(INDEX([1]!_born[生没年],
MATCH(I2064,[1]!_born[作],0)),"")</f>
        <v/>
      </c>
      <c r="N2064" s="14" t="str" ph="1">
        <f>IFERROR(INDEX([1]!_born[生没年],
MATCH(K2064,[1]!_born[作],0)),"")</f>
        <v/>
      </c>
      <c r="O2064" s="13" t="s" ph="1">
        <v>8105</v>
      </c>
      <c r="T2064" s="13" t="s" ph="1">
        <v>5147</v>
      </c>
    </row>
    <row r="2065" spans="1:24" ht="22.5" customHeight="1" ph="1" x14ac:dyDescent="0.35">
      <c r="C2065" s="13" t="s" ph="1">
        <v>7591</v>
      </c>
      <c r="G2065" s="13" t="s" ph="1">
        <v>4758</v>
      </c>
      <c r="H2065" s="13" t="s" ph="1">
        <v>1219</v>
      </c>
      <c r="I2065" s="13" t="s" ph="1">
        <v>8106</v>
      </c>
      <c r="M2065" s="14" t="str" ph="1">
        <f>IFERROR(INDEX([1]!_born[生没年],
MATCH(I2065,[1]!_born[作],0)),"")</f>
        <v/>
      </c>
      <c r="N2065" s="14" t="str" ph="1">
        <f>IFERROR(INDEX([1]!_born[生没年],
MATCH(K2065,[1]!_born[作],0)),"")</f>
        <v/>
      </c>
      <c r="O2065" s="13" t="s" ph="1">
        <v>8107</v>
      </c>
      <c r="T2065" s="13" t="s" ph="1">
        <v>5147</v>
      </c>
    </row>
    <row r="2066" spans="1:24" ht="22.5" customHeight="1" ph="1" x14ac:dyDescent="0.35">
      <c r="C2066" s="13" t="s" ph="1">
        <v>7591</v>
      </c>
      <c r="G2066" s="13" t="s" ph="1">
        <v>4758</v>
      </c>
      <c r="H2066" s="13" t="s" ph="1">
        <v>1219</v>
      </c>
      <c r="I2066" s="13" t="s" ph="1">
        <v>8108</v>
      </c>
      <c r="M2066" s="14" t="str" ph="1">
        <f>IFERROR(INDEX([1]!_born[生没年],
MATCH(I2066,[1]!_born[作],0)),"")</f>
        <v/>
      </c>
      <c r="N2066" s="14" t="str" ph="1">
        <f>IFERROR(INDEX([1]!_born[生没年],
MATCH(K2066,[1]!_born[作],0)),"")</f>
        <v/>
      </c>
      <c r="O2066" s="13" t="s" ph="1">
        <v>8109</v>
      </c>
      <c r="T2066" s="13" t="s" ph="1">
        <v>7614</v>
      </c>
    </row>
    <row r="2067" spans="1:24" ht="22.5" customHeight="1" ph="1" x14ac:dyDescent="0.35">
      <c r="C2067" s="13" t="s" ph="1">
        <v>7591</v>
      </c>
      <c r="G2067" s="13" t="s" ph="1">
        <v>4758</v>
      </c>
      <c r="H2067" s="13" t="s" ph="1">
        <v>1219</v>
      </c>
      <c r="I2067" s="13" t="s" ph="1">
        <v>8110</v>
      </c>
      <c r="M2067" s="14" t="str" ph="1">
        <f>IFERROR(INDEX([1]!_born[生没年],
MATCH(I2067,[1]!_born[作],0)),"")</f>
        <v/>
      </c>
      <c r="N2067" s="14" t="str" ph="1">
        <f>IFERROR(INDEX([1]!_born[生没年],
MATCH(K2067,[1]!_born[作],0)),"")</f>
        <v/>
      </c>
      <c r="O2067" s="13" t="s" ph="1">
        <v>8111</v>
      </c>
      <c r="T2067" s="13" t="s" ph="1">
        <v>5147</v>
      </c>
    </row>
    <row r="2068" spans="1:24" ht="22.5" customHeight="1" ph="1" x14ac:dyDescent="0.35">
      <c r="C2068" s="13" t="s" ph="1">
        <v>7591</v>
      </c>
      <c r="G2068" s="13" t="s" ph="1">
        <v>4758</v>
      </c>
      <c r="H2068" s="13" t="s" ph="1">
        <v>1219</v>
      </c>
      <c r="I2068" s="13" t="s" ph="1">
        <v>8112</v>
      </c>
      <c r="M2068" s="14" t="str" ph="1">
        <f>IFERROR(INDEX([1]!_born[生没年],
MATCH(I2068,[1]!_born[作],0)),"")</f>
        <v/>
      </c>
      <c r="N2068" s="14" t="str" ph="1">
        <f>IFERROR(INDEX([1]!_born[生没年],
MATCH(K2068,[1]!_born[作],0)),"")</f>
        <v/>
      </c>
      <c r="O2068" s="13" t="s" ph="1">
        <v>8113</v>
      </c>
      <c r="T2068" s="13" t="s" ph="1">
        <v>7870</v>
      </c>
      <c r="U2068" s="16" ph="1">
        <v>36817</v>
      </c>
      <c r="V2068" s="17" ph="1">
        <f>800*1.05</f>
        <v>840</v>
      </c>
      <c r="W2068" s="17" ph="1">
        <f>800*1.05</f>
        <v>840</v>
      </c>
    </row>
    <row r="2069" spans="1:24" ht="22.5" customHeight="1" ph="1" x14ac:dyDescent="0.35">
      <c r="C2069" s="13" t="s" ph="1">
        <v>7591</v>
      </c>
      <c r="G2069" s="13" t="s" ph="1">
        <v>4758</v>
      </c>
      <c r="H2069" s="13" t="s" ph="1">
        <v>1219</v>
      </c>
      <c r="I2069" s="13" t="s" ph="1">
        <v>4956</v>
      </c>
      <c r="M2069" s="14" t="str" ph="1">
        <f>IFERROR(INDEX([1]!_born[生没年],
MATCH(I2069,[1]!_born[作],0)),"")</f>
        <v/>
      </c>
      <c r="N2069" s="14" t="str" ph="1">
        <f>IFERROR(INDEX([1]!_born[生没年],
MATCH(K2069,[1]!_born[作],0)),"")</f>
        <v/>
      </c>
      <c r="O2069" s="13" t="s" ph="1">
        <v>8114</v>
      </c>
      <c r="T2069" s="13" t="s" ph="1">
        <v>5147</v>
      </c>
    </row>
    <row r="2070" spans="1:24" ht="22.5" customHeight="1" ph="1" x14ac:dyDescent="0.35">
      <c r="C2070" s="13" t="s" ph="1">
        <v>7591</v>
      </c>
      <c r="G2070" s="13" t="s" ph="1">
        <v>4758</v>
      </c>
      <c r="H2070" s="13" t="s" ph="1">
        <v>1219</v>
      </c>
      <c r="I2070" s="13" t="s" ph="1">
        <v>4956</v>
      </c>
      <c r="M2070" s="14" t="str" ph="1">
        <f>IFERROR(INDEX([1]!_born[生没年],
MATCH(I2070,[1]!_born[作],0)),"")</f>
        <v/>
      </c>
      <c r="N2070" s="14" t="str" ph="1">
        <f>IFERROR(INDEX([1]!_born[生没年],
MATCH(K2070,[1]!_born[作],0)),"")</f>
        <v/>
      </c>
      <c r="O2070" s="13" t="s" ph="1">
        <v>8115</v>
      </c>
      <c r="T2070" s="13" t="s" ph="1">
        <v>5147</v>
      </c>
    </row>
    <row r="2071" spans="1:24" ht="22.5" customHeight="1" ph="1" x14ac:dyDescent="0.35">
      <c r="C2071" s="13" t="s" ph="1">
        <v>7591</v>
      </c>
      <c r="G2071" s="13" t="s" ph="1">
        <v>4758</v>
      </c>
      <c r="H2071" s="13" t="s" ph="1">
        <v>1219</v>
      </c>
      <c r="I2071" s="13" t="s" ph="1">
        <v>4956</v>
      </c>
      <c r="M2071" s="14" t="str" ph="1">
        <f>IFERROR(INDEX([1]!_born[生没年],
MATCH(I2071,[1]!_born[作],0)),"")</f>
        <v/>
      </c>
      <c r="N2071" s="14" t="str" ph="1">
        <f>IFERROR(INDEX([1]!_born[生没年],
MATCH(K2071,[1]!_born[作],0)),"")</f>
        <v/>
      </c>
      <c r="O2071" s="13" t="s" ph="1">
        <v>8116</v>
      </c>
      <c r="T2071" s="13" t="s" ph="1">
        <v>5147</v>
      </c>
    </row>
    <row r="2072" spans="1:24" ht="22.5" customHeight="1" ph="1" x14ac:dyDescent="0.35">
      <c r="C2072" s="13" t="s" ph="1">
        <v>7591</v>
      </c>
      <c r="G2072" s="13" t="s" ph="1">
        <v>4758</v>
      </c>
      <c r="H2072" s="13" t="s" ph="1">
        <v>1219</v>
      </c>
      <c r="I2072" s="13" t="s" ph="1">
        <v>4956</v>
      </c>
      <c r="M2072" s="14" t="str" ph="1">
        <f>IFERROR(INDEX([1]!_born[生没年],
MATCH(I2072,[1]!_born[作],0)),"")</f>
        <v/>
      </c>
      <c r="N2072" s="14" t="str" ph="1">
        <f>IFERROR(INDEX([1]!_born[生没年],
MATCH(K2072,[1]!_born[作],0)),"")</f>
        <v/>
      </c>
      <c r="O2072" s="13" t="s" ph="1">
        <v>8117</v>
      </c>
      <c r="T2072" s="13" t="s" ph="1">
        <v>5147</v>
      </c>
    </row>
    <row r="2073" spans="1:24" ht="22.5" customHeight="1" ph="1" x14ac:dyDescent="0.35">
      <c r="C2073" s="13" t="s" ph="1">
        <v>7591</v>
      </c>
      <c r="G2073" s="13" t="s" ph="1">
        <v>4758</v>
      </c>
      <c r="H2073" s="13" t="s" ph="1">
        <v>1219</v>
      </c>
      <c r="I2073" s="13" t="s" ph="1">
        <v>4956</v>
      </c>
      <c r="M2073" s="14" t="str" ph="1">
        <f>IFERROR(INDEX([1]!_born[生没年],
MATCH(I2073,[1]!_born[作],0)),"")</f>
        <v/>
      </c>
      <c r="N2073" s="14" t="str" ph="1">
        <f>IFERROR(INDEX([1]!_born[生没年],
MATCH(K2073,[1]!_born[作],0)),"")</f>
        <v/>
      </c>
      <c r="O2073" s="13" t="s" ph="1">
        <v>8118</v>
      </c>
      <c r="T2073" s="13" t="s" ph="1">
        <v>5147</v>
      </c>
    </row>
    <row r="2074" spans="1:24" ht="22.5" customHeight="1" ph="1" x14ac:dyDescent="0.35">
      <c r="C2074" s="13" t="s" ph="1">
        <v>7591</v>
      </c>
      <c r="G2074" s="13" t="s" ph="1">
        <v>4758</v>
      </c>
      <c r="H2074" s="13" t="s" ph="1">
        <v>1219</v>
      </c>
      <c r="I2074" s="13" t="s" ph="1">
        <v>4956</v>
      </c>
      <c r="M2074" s="14" t="str" ph="1">
        <f>IFERROR(INDEX([1]!_born[生没年],
MATCH(I2074,[1]!_born[作],0)),"")</f>
        <v/>
      </c>
      <c r="N2074" s="14" t="str" ph="1">
        <f>IFERROR(INDEX([1]!_born[生没年],
MATCH(K2074,[1]!_born[作],0)),"")</f>
        <v/>
      </c>
      <c r="O2074" s="13" t="s" ph="1">
        <v>8119</v>
      </c>
      <c r="T2074" s="13" t="s" ph="1">
        <v>5147</v>
      </c>
    </row>
    <row r="2075" spans="1:24" ht="22.5" customHeight="1" ph="1" x14ac:dyDescent="0.35">
      <c r="C2075" s="13" t="s" ph="1">
        <v>7591</v>
      </c>
      <c r="G2075" s="13" t="s" ph="1">
        <v>4758</v>
      </c>
      <c r="H2075" s="13" t="s" ph="1">
        <v>61</v>
      </c>
      <c r="I2075" s="13" t="s" ph="1">
        <v>4956</v>
      </c>
      <c r="M2075" s="14" t="str" ph="1">
        <f>IFERROR(INDEX([1]!_born[生没年],
MATCH(I2075,[1]!_born[作],0)),"")</f>
        <v/>
      </c>
      <c r="N2075" s="14" t="str" ph="1">
        <f>IFERROR(INDEX([1]!_born[生没年],
MATCH(K2075,[1]!_born[作],0)),"")</f>
        <v/>
      </c>
      <c r="O2075" s="13" t="s" ph="1">
        <v>8120</v>
      </c>
      <c r="T2075" s="13" t="s" ph="1">
        <v>7649</v>
      </c>
    </row>
    <row r="2076" spans="1:24" ht="22.5" customHeight="1" ph="1" x14ac:dyDescent="0.35">
      <c r="A2076" s="106" t="s" ph="1">
        <v>2796</v>
      </c>
      <c r="B2076" s="5" t="s" ph="1">
        <v>1448</v>
      </c>
      <c r="C2076" s="13" t="s" ph="1">
        <v>7591</v>
      </c>
      <c r="G2076" s="13" t="s" ph="1">
        <v>4758</v>
      </c>
      <c r="H2076" s="13" t="s" ph="1">
        <v>1219</v>
      </c>
      <c r="I2076" s="13" t="s" ph="1">
        <v>8121</v>
      </c>
      <c r="M2076" s="14" t="str" ph="1">
        <f>IFERROR(INDEX([1]!_born[生没年],
MATCH(I2076,[1]!_born[作],0)),"")</f>
        <v/>
      </c>
      <c r="N2076" s="14" t="str" ph="1">
        <f>IFERROR(INDEX([1]!_born[生没年],
MATCH(K2076,[1]!_born[作],0)),"")</f>
        <v/>
      </c>
      <c r="O2076" s="13" t="s" ph="1">
        <v>8122</v>
      </c>
      <c r="R2076" s="16" ph="1">
        <v>38403</v>
      </c>
      <c r="T2076" s="13" t="s" ph="1">
        <v>7853</v>
      </c>
      <c r="U2076" s="16" t="s" ph="1">
        <v>2797</v>
      </c>
      <c r="V2076" s="17" ph="1">
        <f>514*1.05</f>
        <v>539.70000000000005</v>
      </c>
      <c r="W2076" s="17" t="s" ph="1">
        <v>1225</v>
      </c>
      <c r="X2076" s="13" t="s" ph="1">
        <v>1225</v>
      </c>
    </row>
    <row r="2077" spans="1:24" ht="22.5" customHeight="1" ph="1" x14ac:dyDescent="0.35">
      <c r="C2077" s="13" t="s" ph="1">
        <v>7591</v>
      </c>
      <c r="G2077" s="13" t="s" ph="1">
        <v>7759</v>
      </c>
      <c r="H2077" s="13" t="s" ph="1">
        <v>1219</v>
      </c>
      <c r="I2077" s="13" t="s" ph="1">
        <v>8123</v>
      </c>
      <c r="K2077" s="13" t="s" ph="1">
        <v>4956</v>
      </c>
      <c r="L2077" s="13" t="s" ph="1">
        <v>3628</v>
      </c>
      <c r="M2077" s="14" t="str" ph="1">
        <f>IFERROR(INDEX([1]!_born[生没年],
MATCH(I2077,[1]!_born[作],0)),"")</f>
        <v/>
      </c>
      <c r="N2077" s="14" t="str" ph="1">
        <f>IFERROR(INDEX([1]!_born[生没年],
MATCH(K2077,[1]!_born[作],0)),"")</f>
        <v/>
      </c>
      <c r="O2077" s="13" t="s" ph="1">
        <v>8123</v>
      </c>
      <c r="T2077" s="13" t="s" ph="1">
        <v>7730</v>
      </c>
    </row>
    <row r="2078" spans="1:24" ht="22.5" customHeight="1" ph="1" x14ac:dyDescent="0.35">
      <c r="A2078" s="106" t="s" ph="1">
        <v>2619</v>
      </c>
      <c r="B2078" s="5" t="s" ph="1">
        <v>1448</v>
      </c>
      <c r="C2078" s="13" t="s" ph="1">
        <v>7591</v>
      </c>
      <c r="G2078" s="13" t="s" ph="1">
        <v>4758</v>
      </c>
      <c r="H2078" s="13" t="s" ph="1">
        <v>61</v>
      </c>
      <c r="I2078" s="13" t="s" ph="1">
        <v>4959</v>
      </c>
      <c r="M2078" s="14" t="str" ph="1">
        <f>IFERROR(INDEX([1]!_born[生没年],
MATCH(I2078,[1]!_born[作],0)),"")</f>
        <v/>
      </c>
      <c r="N2078" s="14" t="str" ph="1">
        <f>IFERROR(INDEX([1]!_born[生没年],
MATCH(K2078,[1]!_born[作],0)),"")</f>
        <v/>
      </c>
      <c r="O2078" s="13" t="s" ph="1">
        <v>8124</v>
      </c>
      <c r="T2078" s="13" t="s" ph="1">
        <v>5147</v>
      </c>
      <c r="U2078" s="16" ph="1">
        <v>41070</v>
      </c>
      <c r="V2078" s="17" ph="1">
        <v>629</v>
      </c>
      <c r="W2078" s="17" ph="1">
        <v>500</v>
      </c>
      <c r="X2078" s="13" t="s" ph="1">
        <v>3792</v>
      </c>
    </row>
    <row r="2079" spans="1:24" ht="22.5" customHeight="1" ph="1" x14ac:dyDescent="0.35">
      <c r="C2079" s="13" t="s" ph="1">
        <v>7591</v>
      </c>
      <c r="G2079" s="13" t="s" ph="1">
        <v>4758</v>
      </c>
      <c r="H2079" s="13" t="s" ph="1">
        <v>1219</v>
      </c>
      <c r="I2079" s="13" t="s" ph="1">
        <v>4959</v>
      </c>
      <c r="M2079" s="14" t="str" ph="1">
        <f>IFERROR(INDEX([1]!_born[生没年],
MATCH(I2079,[1]!_born[作],0)),"")</f>
        <v/>
      </c>
      <c r="N2079" s="14" t="str" ph="1">
        <f>IFERROR(INDEX([1]!_born[生没年],
MATCH(K2079,[1]!_born[作],0)),"")</f>
        <v/>
      </c>
      <c r="O2079" s="13" t="s" ph="1">
        <v>8125</v>
      </c>
      <c r="T2079" s="13" t="s" ph="1">
        <v>5147</v>
      </c>
    </row>
    <row r="2080" spans="1:24" ht="22.5" customHeight="1" ph="1" x14ac:dyDescent="0.35">
      <c r="C2080" s="13" t="s" ph="1">
        <v>7591</v>
      </c>
      <c r="G2080" s="13" t="s" ph="1">
        <v>4758</v>
      </c>
      <c r="H2080" s="13" t="s" ph="1">
        <v>1219</v>
      </c>
      <c r="I2080" s="13" t="s" ph="1">
        <v>4959</v>
      </c>
      <c r="M2080" s="14" t="str" ph="1">
        <f>IFERROR(INDEX([1]!_born[生没年],
MATCH(I2080,[1]!_born[作],0)),"")</f>
        <v/>
      </c>
      <c r="N2080" s="14" t="str" ph="1">
        <f>IFERROR(INDEX([1]!_born[生没年],
MATCH(K2080,[1]!_born[作],0)),"")</f>
        <v/>
      </c>
      <c r="O2080" s="13" t="s" ph="1">
        <v>8126</v>
      </c>
      <c r="T2080" s="13" t="s" ph="1">
        <v>5147</v>
      </c>
    </row>
    <row r="2081" spans="1:25" ht="22.5" customHeight="1" ph="1" x14ac:dyDescent="0.35">
      <c r="C2081" s="13" t="s" ph="1">
        <v>7591</v>
      </c>
      <c r="G2081" s="13" t="s" ph="1">
        <v>4758</v>
      </c>
      <c r="H2081" s="13" t="s" ph="1">
        <v>1219</v>
      </c>
      <c r="I2081" s="13" t="s" ph="1">
        <v>4959</v>
      </c>
      <c r="M2081" s="14" t="str" ph="1">
        <f>IFERROR(INDEX([1]!_born[生没年],
MATCH(I2081,[1]!_born[作],0)),"")</f>
        <v/>
      </c>
      <c r="N2081" s="14" t="str" ph="1">
        <f>IFERROR(INDEX([1]!_born[生没年],
MATCH(K2081,[1]!_born[作],0)),"")</f>
        <v/>
      </c>
      <c r="O2081" s="13" t="s" ph="1">
        <v>8127</v>
      </c>
      <c r="T2081" s="13" t="s" ph="1">
        <v>5147</v>
      </c>
    </row>
    <row r="2082" spans="1:25" ht="22.5" customHeight="1" ph="1" x14ac:dyDescent="0.35">
      <c r="C2082" s="13" t="s" ph="1">
        <v>7591</v>
      </c>
      <c r="G2082" s="13" t="s" ph="1">
        <v>4758</v>
      </c>
      <c r="H2082" s="13" t="s" ph="1">
        <v>1219</v>
      </c>
      <c r="I2082" s="13" t="s" ph="1">
        <v>4959</v>
      </c>
      <c r="M2082" s="14" t="str" ph="1">
        <f>IFERROR(INDEX([1]!_born[生没年],
MATCH(I2082,[1]!_born[作],0)),"")</f>
        <v/>
      </c>
      <c r="N2082" s="14" t="str" ph="1">
        <f>IFERROR(INDEX([1]!_born[生没年],
MATCH(K2082,[1]!_born[作],0)),"")</f>
        <v/>
      </c>
      <c r="O2082" s="13" t="s" ph="1">
        <v>8128</v>
      </c>
      <c r="T2082" s="13" t="s" ph="1">
        <v>7664</v>
      </c>
    </row>
    <row r="2083" spans="1:25" ht="22.5" customHeight="1" ph="1" x14ac:dyDescent="0.35">
      <c r="A2083" s="106" t="s" ph="1">
        <v>2620</v>
      </c>
      <c r="C2083" s="13" t="s" ph="1">
        <v>7591</v>
      </c>
      <c r="G2083" s="13" t="s" ph="1">
        <v>4758</v>
      </c>
      <c r="H2083" s="13" t="s" ph="1">
        <v>61</v>
      </c>
      <c r="I2083" s="13" t="s" ph="1">
        <v>4959</v>
      </c>
      <c r="M2083" s="14" t="str" ph="1">
        <f>IFERROR(INDEX([1]!_born[生没年],
MATCH(I2083,[1]!_born[作],0)),"")</f>
        <v/>
      </c>
      <c r="N2083" s="14" t="str" ph="1">
        <f>IFERROR(INDEX([1]!_born[生没年],
MATCH(K2083,[1]!_born[作],0)),"")</f>
        <v/>
      </c>
      <c r="O2083" s="13" t="s" ph="1">
        <v>8129</v>
      </c>
      <c r="R2083" s="16" t="s" ph="1">
        <v>8130</v>
      </c>
      <c r="T2083" s="13" t="s" ph="1">
        <v>7375</v>
      </c>
      <c r="U2083" s="16" ph="1">
        <v>41070</v>
      </c>
      <c r="V2083" s="17" ph="1">
        <v>280</v>
      </c>
      <c r="W2083" s="17" ph="1">
        <v>700</v>
      </c>
      <c r="X2083" s="13" t="s" ph="1">
        <v>3792</v>
      </c>
    </row>
    <row r="2084" spans="1:25" ht="22.5" customHeight="1" ph="1" x14ac:dyDescent="0.35">
      <c r="C2084" s="13" t="s" ph="1">
        <v>7591</v>
      </c>
      <c r="G2084" s="13" t="s" ph="1">
        <v>4758</v>
      </c>
      <c r="H2084" s="13" t="s" ph="1">
        <v>1219</v>
      </c>
      <c r="I2084" s="13" t="s" ph="1">
        <v>4959</v>
      </c>
      <c r="M2084" s="14" t="str" ph="1">
        <f>IFERROR(INDEX([1]!_born[生没年],
MATCH(I2084,[1]!_born[作],0)),"")</f>
        <v/>
      </c>
      <c r="N2084" s="14" t="str" ph="1">
        <f>IFERROR(INDEX([1]!_born[生没年],
MATCH(K2084,[1]!_born[作],0)),"")</f>
        <v/>
      </c>
      <c r="O2084" s="13" t="s" ph="1">
        <v>8131</v>
      </c>
      <c r="T2084" s="13" t="s" ph="1">
        <v>7375</v>
      </c>
    </row>
    <row r="2085" spans="1:25" ht="22.5" customHeight="1" ph="1" x14ac:dyDescent="0.35">
      <c r="C2085" s="13" t="s" ph="1">
        <v>7591</v>
      </c>
      <c r="G2085" s="13" t="s" ph="1">
        <v>4758</v>
      </c>
      <c r="H2085" s="13" t="s" ph="1">
        <v>1219</v>
      </c>
      <c r="I2085" s="13" t="s" ph="1">
        <v>4959</v>
      </c>
      <c r="M2085" s="14" t="str" ph="1">
        <f>IFERROR(INDEX([1]!_born[生没年],
MATCH(I2085,[1]!_born[作],0)),"")</f>
        <v/>
      </c>
      <c r="N2085" s="14" t="str" ph="1">
        <f>IFERROR(INDEX([1]!_born[生没年],
MATCH(K2085,[1]!_born[作],0)),"")</f>
        <v/>
      </c>
      <c r="O2085" s="13" t="s" ph="1">
        <v>8132</v>
      </c>
      <c r="T2085" s="13" t="s" ph="1">
        <v>7652</v>
      </c>
    </row>
    <row r="2086" spans="1:25" ht="22.5" customHeight="1" ph="1" x14ac:dyDescent="0.35">
      <c r="C2086" s="13" t="s" ph="1">
        <v>7591</v>
      </c>
      <c r="G2086" s="13" t="s" ph="1">
        <v>4758</v>
      </c>
      <c r="H2086" s="13" t="s" ph="1">
        <v>1219</v>
      </c>
      <c r="I2086" s="13" t="s" ph="1">
        <v>4959</v>
      </c>
      <c r="M2086" s="14" t="str" ph="1">
        <f>IFERROR(INDEX([1]!_born[生没年],
MATCH(I2086,[1]!_born[作],0)),"")</f>
        <v/>
      </c>
      <c r="N2086" s="14" t="str" ph="1">
        <f>IFERROR(INDEX([1]!_born[生没年],
MATCH(K2086,[1]!_born[作],0)),"")</f>
        <v/>
      </c>
      <c r="O2086" s="13" t="s" ph="1">
        <v>8133</v>
      </c>
      <c r="T2086" s="13" t="s" ph="1">
        <v>7652</v>
      </c>
    </row>
    <row r="2087" spans="1:25" ht="22.5" customHeight="1" ph="1" x14ac:dyDescent="0.35">
      <c r="A2087" s="106" t="s" ph="1">
        <v>1467</v>
      </c>
      <c r="B2087" s="5" t="s" ph="1">
        <v>1448</v>
      </c>
      <c r="C2087" s="13" t="s" ph="1">
        <v>7591</v>
      </c>
      <c r="G2087" s="13" t="s" ph="1">
        <v>4758</v>
      </c>
      <c r="H2087" s="13" t="s" ph="1">
        <v>61</v>
      </c>
      <c r="I2087" s="13" t="s" ph="1">
        <v>4959</v>
      </c>
      <c r="M2087" s="14" t="str" ph="1">
        <f>IFERROR(INDEX([1]!_born[生没年],
MATCH(I2087,[1]!_born[作],0)),"")</f>
        <v/>
      </c>
      <c r="N2087" s="14" t="str" ph="1">
        <f>IFERROR(INDEX([1]!_born[生没年],
MATCH(K2087,[1]!_born[作],0)),"")</f>
        <v/>
      </c>
      <c r="O2087" s="13" t="s" ph="1">
        <v>8134</v>
      </c>
      <c r="T2087" s="13" t="s" ph="1">
        <v>7614</v>
      </c>
      <c r="U2087" s="16" t="s" ph="1">
        <v>1468</v>
      </c>
      <c r="V2087" s="17" ph="1">
        <f>714*1.05</f>
        <v>749.7</v>
      </c>
      <c r="W2087" s="17" ph="1">
        <f>714*1.05</f>
        <v>749.7</v>
      </c>
    </row>
    <row r="2088" spans="1:25" ht="22.5" customHeight="1" ph="1" x14ac:dyDescent="0.35">
      <c r="A2088" s="106" t="s" ph="1">
        <v>10043</v>
      </c>
      <c r="B2088" s="5" t="s" ph="1">
        <v>1448</v>
      </c>
      <c r="C2088" s="13" t="s" ph="1">
        <v>7591</v>
      </c>
      <c r="G2088" s="13" t="s" ph="1">
        <v>4758</v>
      </c>
      <c r="H2088" s="13" t="s" ph="1">
        <v>1219</v>
      </c>
      <c r="I2088" s="13" t="s" ph="1">
        <v>4959</v>
      </c>
      <c r="M2088" s="14" t="str" ph="1">
        <f>IFERROR(INDEX([1]!_born[生没年],
MATCH(I2088,[1]!_born[作],0)),"")</f>
        <v/>
      </c>
      <c r="N2088" s="14" t="str" ph="1">
        <f>IFERROR(INDEX([1]!_born[生没年],
MATCH(K2088,[1]!_born[作],0)),"")</f>
        <v/>
      </c>
      <c r="O2088" s="13" t="s" ph="1">
        <v>10217</v>
      </c>
      <c r="R2088" s="16" t="s" ph="1">
        <v>10218</v>
      </c>
      <c r="T2088" s="13" t="s" ph="1">
        <v>5147</v>
      </c>
      <c r="U2088" s="16" ph="1">
        <v>45450</v>
      </c>
      <c r="V2088" s="17" ph="1">
        <f>590*1.1</f>
        <v>649</v>
      </c>
      <c r="W2088" s="17" ph="1">
        <f>590*1.1</f>
        <v>649</v>
      </c>
      <c r="X2088" s="13" t="s" ph="1">
        <v>10208</v>
      </c>
    </row>
    <row r="2089" spans="1:25" ht="22.5" customHeight="1" ph="1" x14ac:dyDescent="0.35">
      <c r="C2089" s="13" t="s" ph="1">
        <v>7591</v>
      </c>
      <c r="G2089" s="13" t="s" ph="1">
        <v>4758</v>
      </c>
      <c r="H2089" s="13" t="s" ph="1">
        <v>1219</v>
      </c>
      <c r="I2089" s="13" t="s" ph="1">
        <v>8135</v>
      </c>
      <c r="M2089" s="14" t="str" ph="1">
        <f>IFERROR(INDEX([1]!_born[生没年],
MATCH(I2089,[1]!_born[作],0)),"")</f>
        <v/>
      </c>
      <c r="N2089" s="14" t="str" ph="1">
        <f>IFERROR(INDEX([1]!_born[生没年],
MATCH(K2089,[1]!_born[作],0)),"")</f>
        <v/>
      </c>
      <c r="O2089" s="13" t="s" ph="1">
        <v>8136</v>
      </c>
      <c r="T2089" s="13" t="s" ph="1">
        <v>8137</v>
      </c>
    </row>
    <row r="2090" spans="1:25" ht="22.5" customHeight="1" ph="1" x14ac:dyDescent="0.35">
      <c r="A2090" s="106" t="s" ph="1">
        <v>1469</v>
      </c>
      <c r="B2090" s="5" t="s" ph="1">
        <v>1448</v>
      </c>
      <c r="C2090" s="13" t="s" ph="1">
        <v>7591</v>
      </c>
      <c r="G2090" s="13" t="s" ph="1">
        <v>4758</v>
      </c>
      <c r="H2090" s="13" t="s" ph="1">
        <v>1219</v>
      </c>
      <c r="I2090" s="13" t="s" ph="1">
        <v>8138</v>
      </c>
      <c r="M2090" s="14" t="str" ph="1">
        <f>IFERROR(INDEX([1]!_born[生没年],
MATCH(I2090,[1]!_born[作],0)),"")</f>
        <v/>
      </c>
      <c r="N2090" s="14" t="str" ph="1">
        <f>IFERROR(INDEX([1]!_born[生没年],
MATCH(K2090,[1]!_born[作],0)),"")</f>
        <v/>
      </c>
      <c r="O2090" s="13" t="s" ph="1">
        <v>8139</v>
      </c>
      <c r="T2090" s="13" t="s" ph="1">
        <v>8140</v>
      </c>
      <c r="U2090" s="16" ph="1">
        <v>38423</v>
      </c>
      <c r="V2090" s="17" ph="1">
        <v>340</v>
      </c>
      <c r="W2090" s="17" ph="1">
        <v>200</v>
      </c>
    </row>
    <row r="2091" spans="1:25" ht="22.5" customHeight="1" ph="1" x14ac:dyDescent="0.35">
      <c r="C2091" s="13" t="s" ph="1">
        <v>7591</v>
      </c>
      <c r="G2091" s="13" t="s" ph="1">
        <v>4758</v>
      </c>
      <c r="H2091" s="13" t="s" ph="1">
        <v>1219</v>
      </c>
      <c r="I2091" s="13" t="s" ph="1">
        <v>8141</v>
      </c>
      <c r="M2091" s="14" t="str" ph="1">
        <f>IFERROR(INDEX([1]!_born[生没年],
MATCH(I2091,[1]!_born[作],0)),"")</f>
        <v/>
      </c>
      <c r="N2091" s="14" t="str" ph="1">
        <f>IFERROR(INDEX([1]!_born[生没年],
MATCH(K2091,[1]!_born[作],0)),"")</f>
        <v/>
      </c>
      <c r="O2091" s="13" t="s" ph="1">
        <v>8142</v>
      </c>
      <c r="T2091" s="13" t="s" ph="1">
        <v>7611</v>
      </c>
    </row>
    <row r="2092" spans="1:25" ht="22.5" customHeight="1" ph="1" x14ac:dyDescent="0.35">
      <c r="C2092" s="13" t="s" ph="1">
        <v>7591</v>
      </c>
      <c r="G2092" s="13" t="s" ph="1">
        <v>4758</v>
      </c>
      <c r="H2092" s="13" t="s" ph="1">
        <v>61</v>
      </c>
      <c r="I2092" s="13" t="s" ph="1">
        <v>8143</v>
      </c>
      <c r="M2092" s="14" t="str" ph="1">
        <f>IFERROR(INDEX([1]!_born[生没年],
MATCH(I2092,[1]!_born[作],0)),"")</f>
        <v/>
      </c>
      <c r="N2092" s="14" t="str" ph="1">
        <f>IFERROR(INDEX([1]!_born[生没年],
MATCH(K2092,[1]!_born[作],0)),"")</f>
        <v/>
      </c>
      <c r="O2092" s="13" t="s" ph="1">
        <v>8144</v>
      </c>
      <c r="T2092" s="13" t="s" ph="1">
        <v>7611</v>
      </c>
    </row>
    <row r="2093" spans="1:25" ht="22.5" customHeight="1" ph="1" x14ac:dyDescent="0.35">
      <c r="A2093" s="106" t="s" ph="1">
        <v>10266</v>
      </c>
      <c r="B2093" s="5" t="s" ph="1">
        <v>1448</v>
      </c>
      <c r="C2093" s="13" t="s" ph="1">
        <v>7591</v>
      </c>
      <c r="G2093" s="13" t="s" ph="1">
        <v>4758</v>
      </c>
      <c r="H2093" s="13" t="s" ph="1">
        <v>1219</v>
      </c>
      <c r="I2093" s="13" t="s" ph="1">
        <v>10280</v>
      </c>
      <c r="M2093" s="14" t="str" ph="1">
        <f>IFERROR(INDEX([1]!_born[生没年],
MATCH(I2093,[1]!_born[作],0)),"")</f>
        <v/>
      </c>
      <c r="N2093" s="14" t="str" ph="1">
        <f>IFERROR(INDEX([1]!_born[生没年],
MATCH(K2093,[1]!_born[作],0)),"")</f>
        <v/>
      </c>
      <c r="O2093" s="13" t="s" ph="1">
        <v>10281</v>
      </c>
      <c r="R2093" s="16" t="s" ph="1">
        <v>10282</v>
      </c>
      <c r="T2093" s="13" t="s" ph="1">
        <v>7866</v>
      </c>
      <c r="U2093" s="16" t="s" ph="1">
        <v>10267</v>
      </c>
      <c r="V2093" s="17" ph="1">
        <f>600*1.1</f>
        <v>660</v>
      </c>
      <c r="W2093" s="17" t="s" ph="1">
        <v>1225</v>
      </c>
      <c r="X2093" s="13" t="s" ph="1">
        <v>1225</v>
      </c>
      <c r="Y2093" s="13" t="s" ph="1">
        <v>10283</v>
      </c>
    </row>
    <row r="2094" spans="1:25" ht="22.5" customHeight="1" ph="1" x14ac:dyDescent="0.35">
      <c r="C2094" s="13" t="s" ph="1">
        <v>7591</v>
      </c>
      <c r="G2094" s="13" t="s" ph="1">
        <v>4758</v>
      </c>
      <c r="H2094" s="13" t="s" ph="1">
        <v>1219</v>
      </c>
      <c r="I2094" s="13" t="s" ph="1">
        <v>8145</v>
      </c>
      <c r="K2094" s="13" t="s" ph="1">
        <v>8146</v>
      </c>
      <c r="M2094" s="14" t="str" ph="1">
        <f>IFERROR(INDEX([1]!_born[生没年],
MATCH(I2094,[1]!_born[作],0)),"")</f>
        <v/>
      </c>
      <c r="N2094" s="14" t="str" ph="1">
        <f>IFERROR(INDEX([1]!_born[生没年],
MATCH(K2094,[1]!_born[作],0)),"")</f>
        <v/>
      </c>
      <c r="O2094" s="13" t="s" ph="1">
        <v>8147</v>
      </c>
      <c r="T2094" s="13" t="s" ph="1">
        <v>7614</v>
      </c>
      <c r="U2094" s="16" t="s" ph="1">
        <v>1217</v>
      </c>
      <c r="V2094" s="17" ph="1">
        <v>380</v>
      </c>
      <c r="W2094" s="17" ph="1">
        <v>0</v>
      </c>
      <c r="X2094" s="13" t="s" ph="1">
        <v>8148</v>
      </c>
      <c r="Y2094" s="13" t="s" ph="1">
        <v>8149</v>
      </c>
    </row>
    <row r="2095" spans="1:25" ht="22.5" customHeight="1" ph="1" x14ac:dyDescent="0.35">
      <c r="C2095" s="13" t="s" ph="1">
        <v>7591</v>
      </c>
      <c r="G2095" s="13" t="s" ph="1">
        <v>4758</v>
      </c>
      <c r="H2095" s="13" t="s" ph="1">
        <v>1219</v>
      </c>
      <c r="I2095" s="13" t="s" ph="1">
        <v>8150</v>
      </c>
      <c r="M2095" s="14" t="str" ph="1">
        <f>IFERROR(INDEX([1]!_born[生没年],
MATCH(I2095,[1]!_born[作],0)),"")</f>
        <v/>
      </c>
      <c r="N2095" s="14" t="str" ph="1">
        <f>IFERROR(INDEX([1]!_born[生没年],
MATCH(K2095,[1]!_born[作],0)),"")</f>
        <v/>
      </c>
      <c r="O2095" s="13" t="s" ph="1">
        <v>8151</v>
      </c>
      <c r="T2095" s="13" t="s" ph="1">
        <v>5147</v>
      </c>
    </row>
    <row r="2096" spans="1:25" ht="22.5" customHeight="1" ph="1" x14ac:dyDescent="0.35">
      <c r="C2096" s="13" t="s" ph="1">
        <v>7591</v>
      </c>
      <c r="G2096" s="13" t="s" ph="1">
        <v>4758</v>
      </c>
      <c r="H2096" s="13" t="s" ph="1">
        <v>1219</v>
      </c>
      <c r="I2096" s="13" t="s" ph="1">
        <v>8152</v>
      </c>
      <c r="M2096" s="14" t="str" ph="1">
        <f>IFERROR(INDEX([1]!_born[生没年],
MATCH(I2096,[1]!_born[作],0)),"")</f>
        <v/>
      </c>
      <c r="N2096" s="14" t="str" ph="1">
        <f>IFERROR(INDEX([1]!_born[生没年],
MATCH(K2096,[1]!_born[作],0)),"")</f>
        <v/>
      </c>
      <c r="O2096" s="13" t="s" ph="1">
        <v>8153</v>
      </c>
      <c r="T2096" s="13" t="s" ph="1">
        <v>7664</v>
      </c>
    </row>
    <row r="2097" spans="1:25" ht="22.5" customHeight="1" ph="1" x14ac:dyDescent="0.35">
      <c r="C2097" s="13" t="s" ph="1">
        <v>7591</v>
      </c>
      <c r="G2097" s="13" t="s" ph="1">
        <v>4758</v>
      </c>
      <c r="H2097" s="13" t="s" ph="1">
        <v>1219</v>
      </c>
      <c r="I2097" s="13" t="s" ph="1">
        <v>8152</v>
      </c>
      <c r="M2097" s="14" t="str" ph="1">
        <f>IFERROR(INDEX([1]!_born[生没年],
MATCH(I2097,[1]!_born[作],0)),"")</f>
        <v/>
      </c>
      <c r="N2097" s="14" t="str" ph="1">
        <f>IFERROR(INDEX([1]!_born[生没年],
MATCH(K2097,[1]!_born[作],0)),"")</f>
        <v/>
      </c>
      <c r="O2097" s="13" t="s" ph="1">
        <v>8154</v>
      </c>
      <c r="T2097" s="13" t="s" ph="1">
        <v>7611</v>
      </c>
    </row>
    <row r="2098" spans="1:25" ht="22.5" customHeight="1" ph="1" x14ac:dyDescent="0.35">
      <c r="C2098" s="13" t="s" ph="1">
        <v>7591</v>
      </c>
      <c r="G2098" s="13" t="s" ph="1">
        <v>4758</v>
      </c>
      <c r="H2098" s="13" t="s" ph="1">
        <v>1219</v>
      </c>
      <c r="I2098" s="13" t="s" ph="1">
        <v>8152</v>
      </c>
      <c r="M2098" s="14" t="str" ph="1">
        <f>IFERROR(INDEX([1]!_born[生没年],
MATCH(I2098,[1]!_born[作],0)),"")</f>
        <v/>
      </c>
      <c r="N2098" s="14" t="str" ph="1">
        <f>IFERROR(INDEX([1]!_born[生没年],
MATCH(K2098,[1]!_born[作],0)),"")</f>
        <v/>
      </c>
      <c r="O2098" s="13" t="s" ph="1">
        <v>8155</v>
      </c>
      <c r="T2098" s="13" t="s" ph="1">
        <v>7611</v>
      </c>
    </row>
    <row r="2099" spans="1:25" ht="22.5" customHeight="1" ph="1" x14ac:dyDescent="0.35">
      <c r="C2099" s="13" t="s" ph="1">
        <v>7591</v>
      </c>
      <c r="G2099" s="13" t="s" ph="1">
        <v>4758</v>
      </c>
      <c r="H2099" s="13" t="s" ph="1">
        <v>1219</v>
      </c>
      <c r="I2099" s="13" t="s" ph="1">
        <v>8156</v>
      </c>
      <c r="M2099" s="14" t="str" ph="1">
        <f>IFERROR(INDEX([1]!_born[生没年],
MATCH(I2099,[1]!_born[作],0)),"")</f>
        <v/>
      </c>
      <c r="N2099" s="14" t="str" ph="1">
        <f>IFERROR(INDEX([1]!_born[生没年],
MATCH(K2099,[1]!_born[作],0)),"")</f>
        <v/>
      </c>
      <c r="O2099" s="13" t="s" ph="1">
        <v>8157</v>
      </c>
      <c r="T2099" s="13" t="s" ph="1">
        <v>7664</v>
      </c>
    </row>
    <row r="2100" spans="1:25" ht="22.5" customHeight="1" ph="1" x14ac:dyDescent="0.35">
      <c r="C2100" s="13" t="s" ph="1">
        <v>7591</v>
      </c>
      <c r="G2100" s="13" t="s" ph="1">
        <v>4758</v>
      </c>
      <c r="H2100" s="13" t="s" ph="1">
        <v>1219</v>
      </c>
      <c r="I2100" s="13" t="s" ph="1">
        <v>8158</v>
      </c>
      <c r="M2100" s="14" t="str" ph="1">
        <f>IFERROR(INDEX([1]!_born[生没年],
MATCH(I2100,[1]!_born[作],0)),"")</f>
        <v/>
      </c>
      <c r="N2100" s="14" t="str" ph="1">
        <f>IFERROR(INDEX([1]!_born[生没年],
MATCH(K2100,[1]!_born[作],0)),"")</f>
        <v/>
      </c>
      <c r="O2100" s="13" t="s" ph="1">
        <v>8159</v>
      </c>
      <c r="T2100" s="13" t="s" ph="1">
        <v>7664</v>
      </c>
    </row>
    <row r="2101" spans="1:25" ht="22.5" customHeight="1" ph="1" x14ac:dyDescent="0.35">
      <c r="C2101" s="13" t="s" ph="1">
        <v>7591</v>
      </c>
      <c r="G2101" s="13" t="s" ph="1">
        <v>4758</v>
      </c>
      <c r="H2101" s="13" t="s" ph="1">
        <v>1219</v>
      </c>
      <c r="I2101" s="13" t="s" ph="1">
        <v>8158</v>
      </c>
      <c r="M2101" s="14" t="str" ph="1">
        <f>IFERROR(INDEX([1]!_born[生没年],
MATCH(I2101,[1]!_born[作],0)),"")</f>
        <v/>
      </c>
      <c r="N2101" s="14" t="str" ph="1">
        <f>IFERROR(INDEX([1]!_born[生没年],
MATCH(K2101,[1]!_born[作],0)),"")</f>
        <v/>
      </c>
      <c r="O2101" s="13" t="s" ph="1">
        <v>8160</v>
      </c>
      <c r="T2101" s="13" t="s" ph="1">
        <v>5147</v>
      </c>
    </row>
    <row r="2102" spans="1:25" ht="22.5" customHeight="1" ph="1" x14ac:dyDescent="0.35">
      <c r="C2102" s="13" t="s" ph="1">
        <v>7591</v>
      </c>
      <c r="D2102" s="123" ph="1">
        <v>1</v>
      </c>
      <c r="E2102" s="123" ph="1">
        <v>2</v>
      </c>
      <c r="G2102" s="13" t="s" ph="1">
        <v>4758</v>
      </c>
      <c r="H2102" s="13" t="s" ph="1">
        <v>1219</v>
      </c>
      <c r="I2102" s="13" t="s" ph="1">
        <v>8161</v>
      </c>
      <c r="M2102" s="14" t="str" ph="1">
        <f>IFERROR(INDEX([1]!_born[生没年],
MATCH(I2102,[1]!_born[作],0)),"")</f>
        <v/>
      </c>
      <c r="N2102" s="14" t="str" ph="1">
        <f>IFERROR(INDEX([1]!_born[生没年],
MATCH(K2102,[1]!_born[作],0)),"")</f>
        <v/>
      </c>
      <c r="O2102" s="13" t="s" ph="1">
        <v>8162</v>
      </c>
      <c r="S2102" s="13" t="s" ph="1">
        <v>4103</v>
      </c>
      <c r="T2102" s="13" t="s" ph="1">
        <v>7866</v>
      </c>
    </row>
    <row r="2103" spans="1:25" ht="22.5" customHeight="1" ph="1" x14ac:dyDescent="0.35">
      <c r="C2103" s="13" t="s" ph="1">
        <v>7591</v>
      </c>
      <c r="D2103" s="123" ph="1">
        <v>2</v>
      </c>
      <c r="E2103" s="123" ph="1">
        <v>2</v>
      </c>
      <c r="G2103" s="13" t="s" ph="1">
        <v>4758</v>
      </c>
      <c r="H2103" s="13" t="s" ph="1">
        <v>1219</v>
      </c>
      <c r="I2103" s="13" t="s" ph="1">
        <v>8161</v>
      </c>
      <c r="M2103" s="14" t="str" ph="1">
        <f>IFERROR(INDEX([1]!_born[生没年],
MATCH(I2103,[1]!_born[作],0)),"")</f>
        <v/>
      </c>
      <c r="N2103" s="14" t="str" ph="1">
        <f>IFERROR(INDEX([1]!_born[生没年],
MATCH(K2103,[1]!_born[作],0)),"")</f>
        <v/>
      </c>
      <c r="O2103" s="13" t="s" ph="1">
        <v>8162</v>
      </c>
      <c r="S2103" s="13" t="s" ph="1">
        <v>4103</v>
      </c>
      <c r="T2103" s="13" t="s" ph="1">
        <v>7866</v>
      </c>
    </row>
    <row r="2104" spans="1:25" ht="22.5" customHeight="1" ph="1" x14ac:dyDescent="0.35">
      <c r="C2104" s="13" t="s" ph="1">
        <v>7591</v>
      </c>
      <c r="D2104" s="123" ph="1">
        <v>1</v>
      </c>
      <c r="E2104" s="123" ph="1">
        <v>2</v>
      </c>
      <c r="G2104" s="13" t="s" ph="1">
        <v>4758</v>
      </c>
      <c r="H2104" s="13" t="s" ph="1">
        <v>1219</v>
      </c>
      <c r="I2104" s="13" t="s" ph="1">
        <v>8163</v>
      </c>
      <c r="M2104" s="14" t="str" ph="1">
        <f>IFERROR(INDEX([1]!_born[生没年],
MATCH(I2104,[1]!_born[作],0)),"")</f>
        <v/>
      </c>
      <c r="N2104" s="14" t="str" ph="1">
        <f>IFERROR(INDEX([1]!_born[生没年],
MATCH(K2104,[1]!_born[作],0)),"")</f>
        <v/>
      </c>
      <c r="O2104" s="13" t="s" ph="1">
        <v>8164</v>
      </c>
      <c r="S2104" s="13" t="s" ph="1">
        <v>4103</v>
      </c>
      <c r="T2104" s="13" t="s" ph="1">
        <v>5147</v>
      </c>
    </row>
    <row r="2105" spans="1:25" ht="22.5" customHeight="1" ph="1" x14ac:dyDescent="0.35">
      <c r="C2105" s="13" t="s" ph="1">
        <v>7591</v>
      </c>
      <c r="D2105" s="123" ph="1">
        <v>2</v>
      </c>
      <c r="E2105" s="123" ph="1">
        <v>2</v>
      </c>
      <c r="G2105" s="13" t="s" ph="1">
        <v>4758</v>
      </c>
      <c r="H2105" s="13" t="s" ph="1">
        <v>61</v>
      </c>
      <c r="I2105" s="13" t="s" ph="1">
        <v>8163</v>
      </c>
      <c r="M2105" s="14" t="str" ph="1">
        <f>IFERROR(INDEX([1]!_born[生没年],
MATCH(I2105,[1]!_born[作],0)),"")</f>
        <v/>
      </c>
      <c r="N2105" s="14" t="str" ph="1">
        <f>IFERROR(INDEX([1]!_born[生没年],
MATCH(K2105,[1]!_born[作],0)),"")</f>
        <v/>
      </c>
      <c r="O2105" s="13" t="s" ph="1">
        <v>8164</v>
      </c>
      <c r="S2105" s="13" t="s" ph="1">
        <v>4103</v>
      </c>
      <c r="T2105" s="13" t="s" ph="1">
        <v>5147</v>
      </c>
    </row>
    <row r="2106" spans="1:25" ht="22.5" customHeight="1" ph="1" x14ac:dyDescent="0.35">
      <c r="A2106" s="106" t="s" ph="1">
        <v>3226</v>
      </c>
      <c r="B2106" s="5" t="s" ph="1">
        <v>1448</v>
      </c>
      <c r="C2106" s="13" t="s" ph="1">
        <v>7591</v>
      </c>
      <c r="G2106" s="13" t="s" ph="1">
        <v>4758</v>
      </c>
      <c r="H2106" s="13" t="s" ph="1">
        <v>1219</v>
      </c>
      <c r="I2106" s="13" t="s" ph="1">
        <v>8163</v>
      </c>
      <c r="M2106" s="14" t="str" ph="1">
        <f>IFERROR(INDEX([1]!_born[生没年],
MATCH(I2106,[1]!_born[作],0)),"")</f>
        <v/>
      </c>
      <c r="N2106" s="14" t="str" ph="1">
        <f>IFERROR(INDEX([1]!_born[生没年],
MATCH(K2106,[1]!_born[作],0)),"")</f>
        <v/>
      </c>
      <c r="O2106" s="13" t="s" ph="1">
        <v>8165</v>
      </c>
      <c r="T2106" s="13" t="s" ph="1">
        <v>5147</v>
      </c>
      <c r="U2106" s="16" t="s" ph="1">
        <v>3193</v>
      </c>
      <c r="V2106" s="17" ph="1">
        <f>670*1.1</f>
        <v>737.00000000000011</v>
      </c>
      <c r="Y2106" s="13" t="s" ph="1">
        <v>4318</v>
      </c>
    </row>
    <row r="2107" spans="1:25" ht="22.5" customHeight="1" ph="1" x14ac:dyDescent="0.35">
      <c r="A2107" s="106" t="s" ph="1">
        <v>2831</v>
      </c>
      <c r="B2107" s="5" t="s" ph="1">
        <v>1448</v>
      </c>
      <c r="C2107" s="13" t="s" ph="1">
        <v>7591</v>
      </c>
      <c r="G2107" s="13" t="s" ph="1">
        <v>4758</v>
      </c>
      <c r="H2107" s="13" t="s" ph="1">
        <v>61</v>
      </c>
      <c r="I2107" s="13" t="s" ph="1">
        <v>8166</v>
      </c>
      <c r="M2107" s="14" t="str" ph="1">
        <f>IFERROR(INDEX([1]!_born[生没年],
MATCH(I2107,[1]!_born[作],0)),"")</f>
        <v/>
      </c>
      <c r="N2107" s="14" t="str" ph="1">
        <f>IFERROR(INDEX([1]!_born[生没年],
MATCH(K2107,[1]!_born[作],0)),"")</f>
        <v/>
      </c>
      <c r="O2107" s="13" t="s" ph="1">
        <v>8167</v>
      </c>
      <c r="R2107" s="16" ph="1">
        <v>40055</v>
      </c>
      <c r="T2107" s="13" t="s" ph="1">
        <v>8006</v>
      </c>
      <c r="U2107" s="16" t="s" ph="1">
        <v>2797</v>
      </c>
      <c r="V2107" s="17" ph="1">
        <f>620*1.05</f>
        <v>651</v>
      </c>
      <c r="W2107" s="17" t="s" ph="1">
        <v>1225</v>
      </c>
      <c r="X2107" s="13" t="s" ph="1">
        <v>1225</v>
      </c>
      <c r="Y2107" s="13" t="s" ph="1">
        <v>6627</v>
      </c>
    </row>
    <row r="2108" spans="1:25" ht="22.5" customHeight="1" ph="1" x14ac:dyDescent="0.35">
      <c r="C2108" s="13" t="s" ph="1">
        <v>7591</v>
      </c>
      <c r="D2108" s="123" ph="1">
        <v>1</v>
      </c>
      <c r="E2108" s="123" ph="1">
        <v>11</v>
      </c>
      <c r="G2108" s="13" t="s" ph="1">
        <v>4758</v>
      </c>
      <c r="H2108" s="13" t="s" ph="1">
        <v>1219</v>
      </c>
      <c r="I2108" s="13" t="s" ph="1">
        <v>8168</v>
      </c>
      <c r="M2108" s="14" t="str" ph="1">
        <f>IFERROR(INDEX([1]!_born[生没年],
MATCH(I2108,[1]!_born[作],0)),"")</f>
        <v/>
      </c>
      <c r="N2108" s="14" t="str" ph="1">
        <f>IFERROR(INDEX([1]!_born[生没年],
MATCH(K2108,[1]!_born[作],0)),"")</f>
        <v/>
      </c>
      <c r="O2108" s="13" t="s" ph="1">
        <v>8169</v>
      </c>
      <c r="T2108" s="13" t="s" ph="1">
        <v>7730</v>
      </c>
      <c r="V2108" s="17" ph="1">
        <v>1100</v>
      </c>
    </row>
    <row r="2109" spans="1:25" ht="22.5" customHeight="1" ph="1" x14ac:dyDescent="0.35">
      <c r="C2109" s="13" t="s" ph="1">
        <v>7591</v>
      </c>
      <c r="D2109" s="123" ph="1">
        <v>2</v>
      </c>
      <c r="E2109" s="123" ph="1">
        <v>11</v>
      </c>
      <c r="G2109" s="13" t="s" ph="1">
        <v>4758</v>
      </c>
      <c r="H2109" s="13" t="s" ph="1">
        <v>1219</v>
      </c>
      <c r="I2109" s="13" t="s" ph="1">
        <v>8168</v>
      </c>
      <c r="M2109" s="14" t="str" ph="1">
        <f>IFERROR(INDEX([1]!_born[生没年],
MATCH(I2109,[1]!_born[作],0)),"")</f>
        <v/>
      </c>
      <c r="N2109" s="14" t="str" ph="1">
        <f>IFERROR(INDEX([1]!_born[生没年],
MATCH(K2109,[1]!_born[作],0)),"")</f>
        <v/>
      </c>
      <c r="O2109" s="13" t="s" ph="1">
        <v>8170</v>
      </c>
      <c r="T2109" s="13" t="s" ph="1">
        <v>7730</v>
      </c>
      <c r="V2109" s="17" ph="1">
        <v>1100</v>
      </c>
    </row>
    <row r="2110" spans="1:25" ht="22.5" customHeight="1" ph="1" x14ac:dyDescent="0.35">
      <c r="C2110" s="13" t="s" ph="1">
        <v>7591</v>
      </c>
      <c r="D2110" s="123" ph="1">
        <v>3</v>
      </c>
      <c r="E2110" s="123" ph="1">
        <v>11</v>
      </c>
      <c r="G2110" s="13" t="s" ph="1">
        <v>4758</v>
      </c>
      <c r="H2110" s="13" t="s" ph="1">
        <v>1219</v>
      </c>
      <c r="I2110" s="13" t="s" ph="1">
        <v>8168</v>
      </c>
      <c r="M2110" s="14" t="str" ph="1">
        <f>IFERROR(INDEX([1]!_born[生没年],
MATCH(I2110,[1]!_born[作],0)),"")</f>
        <v/>
      </c>
      <c r="N2110" s="14" t="str" ph="1">
        <f>IFERROR(INDEX([1]!_born[生没年],
MATCH(K2110,[1]!_born[作],0)),"")</f>
        <v/>
      </c>
      <c r="O2110" s="13" t="s" ph="1">
        <v>8171</v>
      </c>
      <c r="T2110" s="13" t="s" ph="1">
        <v>7730</v>
      </c>
      <c r="V2110" s="17" ph="1">
        <v>1100</v>
      </c>
    </row>
    <row r="2111" spans="1:25" ht="22.5" customHeight="1" ph="1" x14ac:dyDescent="0.35">
      <c r="C2111" s="13" t="s" ph="1">
        <v>7591</v>
      </c>
      <c r="D2111" s="123" ph="1">
        <v>4</v>
      </c>
      <c r="E2111" s="123" ph="1">
        <v>11</v>
      </c>
      <c r="G2111" s="13" t="s" ph="1">
        <v>4758</v>
      </c>
      <c r="H2111" s="13" t="s" ph="1">
        <v>1219</v>
      </c>
      <c r="I2111" s="13" t="s" ph="1">
        <v>8168</v>
      </c>
      <c r="M2111" s="14" t="str" ph="1">
        <f>IFERROR(INDEX([1]!_born[生没年],
MATCH(I2111,[1]!_born[作],0)),"")</f>
        <v/>
      </c>
      <c r="N2111" s="14" t="str" ph="1">
        <f>IFERROR(INDEX([1]!_born[生没年],
MATCH(K2111,[1]!_born[作],0)),"")</f>
        <v/>
      </c>
      <c r="O2111" s="13" t="s" ph="1">
        <v>8172</v>
      </c>
      <c r="T2111" s="13" t="s" ph="1">
        <v>7730</v>
      </c>
      <c r="V2111" s="17" ph="1">
        <v>1100</v>
      </c>
    </row>
    <row r="2112" spans="1:25" ht="22.5" customHeight="1" ph="1" x14ac:dyDescent="0.35">
      <c r="C2112" s="13" t="s" ph="1">
        <v>7591</v>
      </c>
      <c r="D2112" s="123" ph="1">
        <v>5</v>
      </c>
      <c r="E2112" s="123" ph="1">
        <v>11</v>
      </c>
      <c r="G2112" s="13" t="s" ph="1">
        <v>4758</v>
      </c>
      <c r="H2112" s="13" t="s" ph="1">
        <v>1219</v>
      </c>
      <c r="I2112" s="13" t="s" ph="1">
        <v>8168</v>
      </c>
      <c r="M2112" s="14" t="str" ph="1">
        <f>IFERROR(INDEX([1]!_born[生没年],
MATCH(I2112,[1]!_born[作],0)),"")</f>
        <v/>
      </c>
      <c r="N2112" s="14" t="str" ph="1">
        <f>IFERROR(INDEX([1]!_born[生没年],
MATCH(K2112,[1]!_born[作],0)),"")</f>
        <v/>
      </c>
      <c r="O2112" s="13" t="s" ph="1">
        <v>8173</v>
      </c>
      <c r="T2112" s="13" t="s" ph="1">
        <v>7730</v>
      </c>
      <c r="V2112" s="17" ph="1">
        <v>1100</v>
      </c>
    </row>
    <row r="2113" spans="1:25" ht="22.5" customHeight="1" ph="1" x14ac:dyDescent="0.35">
      <c r="C2113" s="13" t="s" ph="1">
        <v>7591</v>
      </c>
      <c r="D2113" s="123" ph="1">
        <v>6</v>
      </c>
      <c r="E2113" s="123" ph="1">
        <v>11</v>
      </c>
      <c r="G2113" s="13" t="s" ph="1">
        <v>4758</v>
      </c>
      <c r="H2113" s="13" t="s" ph="1">
        <v>1219</v>
      </c>
      <c r="I2113" s="13" t="s" ph="1">
        <v>8168</v>
      </c>
      <c r="M2113" s="14" t="str" ph="1">
        <f>IFERROR(INDEX([1]!_born[生没年],
MATCH(I2113,[1]!_born[作],0)),"")</f>
        <v/>
      </c>
      <c r="N2113" s="14" t="str" ph="1">
        <f>IFERROR(INDEX([1]!_born[生没年],
MATCH(K2113,[1]!_born[作],0)),"")</f>
        <v/>
      </c>
      <c r="O2113" s="13" t="s" ph="1">
        <v>8174</v>
      </c>
      <c r="T2113" s="13" t="s" ph="1">
        <v>7730</v>
      </c>
      <c r="V2113" s="17" ph="1">
        <v>1100</v>
      </c>
    </row>
    <row r="2114" spans="1:25" ht="22.5" customHeight="1" ph="1" x14ac:dyDescent="0.35">
      <c r="C2114" s="13" t="s" ph="1">
        <v>7591</v>
      </c>
      <c r="D2114" s="123" ph="1">
        <v>7</v>
      </c>
      <c r="E2114" s="123" ph="1">
        <v>11</v>
      </c>
      <c r="G2114" s="13" t="s" ph="1">
        <v>4758</v>
      </c>
      <c r="H2114" s="13" t="s" ph="1">
        <v>1219</v>
      </c>
      <c r="I2114" s="13" t="s" ph="1">
        <v>8168</v>
      </c>
      <c r="M2114" s="14" t="str" ph="1">
        <f>IFERROR(INDEX([1]!_born[生没年],
MATCH(I2114,[1]!_born[作],0)),"")</f>
        <v/>
      </c>
      <c r="N2114" s="14" t="str" ph="1">
        <f>IFERROR(INDEX([1]!_born[生没年],
MATCH(K2114,[1]!_born[作],0)),"")</f>
        <v/>
      </c>
      <c r="O2114" s="13" t="s" ph="1">
        <v>8175</v>
      </c>
      <c r="T2114" s="13" t="s" ph="1">
        <v>7730</v>
      </c>
      <c r="V2114" s="17" ph="1">
        <v>1100</v>
      </c>
    </row>
    <row r="2115" spans="1:25" ht="22.5" customHeight="1" ph="1" x14ac:dyDescent="0.35">
      <c r="C2115" s="13" t="s" ph="1">
        <v>7591</v>
      </c>
      <c r="D2115" s="123" ph="1">
        <v>10</v>
      </c>
      <c r="E2115" s="123" ph="1">
        <v>11</v>
      </c>
      <c r="G2115" s="13" t="s" ph="1">
        <v>4758</v>
      </c>
      <c r="H2115" s="13" t="s" ph="1">
        <v>1219</v>
      </c>
      <c r="I2115" s="13" t="s" ph="1">
        <v>8168</v>
      </c>
      <c r="M2115" s="14" t="str" ph="1">
        <f>IFERROR(INDEX([1]!_born[生没年],
MATCH(I2115,[1]!_born[作],0)),"")</f>
        <v/>
      </c>
      <c r="N2115" s="14" t="str" ph="1">
        <f>IFERROR(INDEX([1]!_born[生没年],
MATCH(K2115,[1]!_born[作],0)),"")</f>
        <v/>
      </c>
      <c r="O2115" s="13" t="s" ph="1">
        <v>8176</v>
      </c>
      <c r="T2115" s="13" t="s" ph="1">
        <v>7730</v>
      </c>
      <c r="V2115" s="17" ph="1">
        <v>1100</v>
      </c>
    </row>
    <row r="2116" spans="1:25" ht="22.5" customHeight="1" ph="1" x14ac:dyDescent="0.35">
      <c r="C2116" s="13" t="s" ph="1">
        <v>7591</v>
      </c>
      <c r="D2116" s="123" ph="1">
        <v>11</v>
      </c>
      <c r="E2116" s="123" ph="1">
        <v>11</v>
      </c>
      <c r="G2116" s="13" t="s" ph="1">
        <v>4758</v>
      </c>
      <c r="H2116" s="13" t="s" ph="1">
        <v>1219</v>
      </c>
      <c r="I2116" s="13" t="s" ph="1">
        <v>8168</v>
      </c>
      <c r="M2116" s="14" t="str" ph="1">
        <f>IFERROR(INDEX([1]!_born[生没年],
MATCH(I2116,[1]!_born[作],0)),"")</f>
        <v/>
      </c>
      <c r="N2116" s="14" t="str" ph="1">
        <f>IFERROR(INDEX([1]!_born[生没年],
MATCH(K2116,[1]!_born[作],0)),"")</f>
        <v/>
      </c>
      <c r="O2116" s="13" t="s" ph="1">
        <v>8177</v>
      </c>
      <c r="T2116" s="13" t="s" ph="1">
        <v>7730</v>
      </c>
      <c r="U2116" s="16" t="s" ph="1">
        <v>1470</v>
      </c>
      <c r="V2116" s="17" ph="1">
        <v>1100</v>
      </c>
    </row>
    <row r="2117" spans="1:25" ht="22.5" customHeight="1" ph="1" x14ac:dyDescent="0.35">
      <c r="C2117" s="13" t="s" ph="1">
        <v>7591</v>
      </c>
      <c r="G2117" s="13" t="s" ph="1">
        <v>4758</v>
      </c>
      <c r="H2117" s="13" t="s" ph="1">
        <v>1219</v>
      </c>
      <c r="I2117" s="13" t="s" ph="1">
        <v>8168</v>
      </c>
      <c r="M2117" s="14" t="str" ph="1">
        <f>IFERROR(INDEX([1]!_born[生没年],
MATCH(I2117,[1]!_born[作],0)),"")</f>
        <v/>
      </c>
      <c r="N2117" s="14" t="str" ph="1">
        <f>IFERROR(INDEX([1]!_born[生没年],
MATCH(K2117,[1]!_born[作],0)),"")</f>
        <v/>
      </c>
      <c r="O2117" s="13" t="s" ph="1">
        <v>8178</v>
      </c>
      <c r="S2117" s="13" t="s" ph="1">
        <v>8179</v>
      </c>
      <c r="T2117" s="13" t="s" ph="1">
        <v>7611</v>
      </c>
    </row>
    <row r="2118" spans="1:25" ht="22.5" customHeight="1" ph="1" x14ac:dyDescent="0.35">
      <c r="C2118" s="13" t="s" ph="1">
        <v>7591</v>
      </c>
      <c r="G2118" s="13" t="s" ph="1">
        <v>4758</v>
      </c>
      <c r="H2118" s="13" t="s" ph="1">
        <v>1219</v>
      </c>
      <c r="I2118" s="13" t="s" ph="1">
        <v>8168</v>
      </c>
      <c r="M2118" s="14" t="str" ph="1">
        <f>IFERROR(INDEX([1]!_born[生没年],
MATCH(I2118,[1]!_born[作],0)),"")</f>
        <v/>
      </c>
      <c r="N2118" s="14" t="str" ph="1">
        <f>IFERROR(INDEX([1]!_born[生没年],
MATCH(K2118,[1]!_born[作],0)),"")</f>
        <v/>
      </c>
      <c r="O2118" s="15" t="s" ph="1">
        <v>8180</v>
      </c>
      <c r="S2118" s="13" t="s" ph="1">
        <v>8181</v>
      </c>
      <c r="T2118" s="13" t="s" ph="1">
        <v>7611</v>
      </c>
    </row>
    <row r="2119" spans="1:25" ht="22.5" customHeight="1" ph="1" x14ac:dyDescent="0.35">
      <c r="C2119" s="13" t="s" ph="1">
        <v>7591</v>
      </c>
      <c r="G2119" s="13" t="s" ph="1">
        <v>4758</v>
      </c>
      <c r="H2119" s="13" t="s" ph="1">
        <v>1219</v>
      </c>
      <c r="I2119" s="13" t="s" ph="1">
        <v>8168</v>
      </c>
      <c r="M2119" s="14" t="str" ph="1">
        <f>IFERROR(INDEX([1]!_born[生没年],
MATCH(I2119,[1]!_born[作],0)),"")</f>
        <v/>
      </c>
      <c r="N2119" s="14" t="str" ph="1">
        <f>IFERROR(INDEX([1]!_born[生没年],
MATCH(K2119,[1]!_born[作],0)),"")</f>
        <v/>
      </c>
      <c r="O2119" s="13" t="s" ph="1">
        <v>8182</v>
      </c>
      <c r="S2119" s="13" t="s" ph="1">
        <v>8183</v>
      </c>
      <c r="T2119" s="13" t="s" ph="1">
        <v>8184</v>
      </c>
      <c r="U2119" s="16" t="s" ph="1">
        <v>1217</v>
      </c>
    </row>
    <row r="2120" spans="1:25" ht="22.5" customHeight="1" ph="1" x14ac:dyDescent="0.35">
      <c r="C2120" s="13" t="s" ph="1">
        <v>7591</v>
      </c>
      <c r="G2120" s="13" t="s" ph="1">
        <v>4758</v>
      </c>
      <c r="H2120" s="13" t="s" ph="1">
        <v>1219</v>
      </c>
      <c r="I2120" s="13" t="s" ph="1">
        <v>8185</v>
      </c>
      <c r="M2120" s="14" t="str" ph="1">
        <f>IFERROR(INDEX([1]!_born[生没年],
MATCH(I2120,[1]!_born[作],0)),"")</f>
        <v/>
      </c>
      <c r="N2120" s="14" t="str" ph="1">
        <f>IFERROR(INDEX([1]!_born[生没年],
MATCH(K2120,[1]!_born[作],0)),"")</f>
        <v/>
      </c>
      <c r="O2120" s="13" t="s" ph="1">
        <v>8186</v>
      </c>
      <c r="T2120" s="13" t="s" ph="1">
        <v>5147</v>
      </c>
      <c r="W2120" s="17"/>
      <c r="X2120" s="5" t="s" ph="1">
        <v>3635</v>
      </c>
      <c r="Y2120" s="5" ph="1"/>
    </row>
    <row r="2121" spans="1:25" ht="22.5" customHeight="1" ph="1" x14ac:dyDescent="0.35">
      <c r="A2121" s="106" t="s" ph="1">
        <v>1471</v>
      </c>
      <c r="C2121" s="13" t="s" ph="1">
        <v>7591</v>
      </c>
      <c r="G2121" s="13" t="s" ph="1">
        <v>4758</v>
      </c>
      <c r="H2121" s="13" t="s" ph="1">
        <v>1219</v>
      </c>
      <c r="I2121" s="13" t="s" ph="1">
        <v>4982</v>
      </c>
      <c r="K2121" s="13" t="s" ph="1">
        <v>8187</v>
      </c>
      <c r="L2121" s="13" t="s" ph="1">
        <v>1472</v>
      </c>
      <c r="M2121" s="14" t="str" ph="1">
        <f>IFERROR(INDEX([1]!_born[生没年],
MATCH(I2121,[1]!_born[作],0)),"")</f>
        <v/>
      </c>
      <c r="N2121" s="14" t="str" ph="1">
        <f>IFERROR(INDEX([1]!_born[生没年],
MATCH(K2121,[1]!_born[作],0)),"")</f>
        <v/>
      </c>
      <c r="O2121" s="13" t="s" ph="1">
        <v>8188</v>
      </c>
      <c r="T2121" s="13" t="s" ph="1">
        <v>5147</v>
      </c>
      <c r="U2121" s="16" ph="1">
        <v>39028</v>
      </c>
      <c r="V2121" s="17" ph="1">
        <v>320</v>
      </c>
      <c r="W2121" s="17" ph="1">
        <v>420</v>
      </c>
      <c r="X2121" s="13" t="s" ph="1">
        <v>3792</v>
      </c>
      <c r="Y2121" s="13" t="s" ph="1">
        <v>7680</v>
      </c>
    </row>
    <row r="2122" spans="1:25" ht="22.5" customHeight="1" ph="1" x14ac:dyDescent="0.35">
      <c r="A2122" s="106" t="s" ph="1">
        <v>1473</v>
      </c>
      <c r="C2122" s="13" t="s" ph="1">
        <v>7591</v>
      </c>
      <c r="G2122" s="13" t="s" ph="1">
        <v>4758</v>
      </c>
      <c r="H2122" s="13" t="s" ph="1">
        <v>1219</v>
      </c>
      <c r="I2122" s="13" t="s" ph="1">
        <v>4982</v>
      </c>
      <c r="M2122" s="14" t="str" ph="1">
        <f>IFERROR(INDEX([1]!_born[生没年],
MATCH(I2122,[1]!_born[作],0)),"")</f>
        <v/>
      </c>
      <c r="N2122" s="14" t="str" ph="1">
        <f>IFERROR(INDEX([1]!_born[生没年],
MATCH(K2122,[1]!_born[作],0)),"")</f>
        <v/>
      </c>
      <c r="O2122" s="13" t="s" ph="1">
        <v>8189</v>
      </c>
      <c r="T2122" s="13" t="s" ph="1">
        <v>5147</v>
      </c>
      <c r="U2122" s="16" ph="1">
        <v>39028</v>
      </c>
      <c r="V2122" s="17" ph="1">
        <v>260</v>
      </c>
      <c r="W2122" s="17" ph="1">
        <v>420</v>
      </c>
      <c r="X2122" s="13" t="s" ph="1">
        <v>3792</v>
      </c>
      <c r="Y2122" s="13" t="s" ph="1">
        <v>7680</v>
      </c>
    </row>
    <row r="2123" spans="1:25" ht="22.5" customHeight="1" ph="1" x14ac:dyDescent="0.35">
      <c r="A2123" s="106" t="s" ph="1">
        <v>1473</v>
      </c>
      <c r="C2123" s="13" t="s" ph="1">
        <v>7591</v>
      </c>
      <c r="G2123" s="13" t="s" ph="1">
        <v>4758</v>
      </c>
      <c r="H2123" s="13" t="s" ph="1">
        <v>1219</v>
      </c>
      <c r="I2123" s="13" t="s" ph="1">
        <v>4982</v>
      </c>
      <c r="M2123" s="14" t="str" ph="1">
        <f>IFERROR(INDEX([1]!_born[生没年],
MATCH(I2123,[1]!_born[作],0)),"")</f>
        <v/>
      </c>
      <c r="N2123" s="14" t="str" ph="1">
        <f>IFERROR(INDEX([1]!_born[生没年],
MATCH(K2123,[1]!_born[作],0)),"")</f>
        <v/>
      </c>
      <c r="O2123" s="13" t="s" ph="1">
        <v>8189</v>
      </c>
      <c r="T2123" s="13" t="s" ph="1">
        <v>5147</v>
      </c>
      <c r="U2123" s="16" t="s" ph="1">
        <v>1474</v>
      </c>
      <c r="V2123" s="17" ph="1">
        <v>260</v>
      </c>
      <c r="W2123" s="17" ph="1">
        <v>310</v>
      </c>
      <c r="Y2123" s="13" t="s" ph="1">
        <v>7680</v>
      </c>
    </row>
    <row r="2124" spans="1:25" ht="22.5" customHeight="1" ph="1" x14ac:dyDescent="0.35">
      <c r="C2124" s="13" t="s" ph="1">
        <v>7591</v>
      </c>
      <c r="G2124" s="13" t="s" ph="1">
        <v>4758</v>
      </c>
      <c r="H2124" s="13" t="s" ph="1">
        <v>1219</v>
      </c>
      <c r="I2124" s="13" t="s" ph="1">
        <v>4982</v>
      </c>
      <c r="M2124" s="14" t="str" ph="1">
        <f>IFERROR(INDEX([1]!_born[生没年],
MATCH(I2124,[1]!_born[作],0)),"")</f>
        <v/>
      </c>
      <c r="N2124" s="14" t="str" ph="1">
        <f>IFERROR(INDEX([1]!_born[生没年],
MATCH(K2124,[1]!_born[作],0)),"")</f>
        <v/>
      </c>
      <c r="O2124" s="13" t="s" ph="1">
        <v>8190</v>
      </c>
      <c r="T2124" s="13" t="s" ph="1">
        <v>5147</v>
      </c>
    </row>
    <row r="2125" spans="1:25" ht="22.5" customHeight="1" ph="1" x14ac:dyDescent="0.35">
      <c r="C2125" s="13" t="s" ph="1">
        <v>7591</v>
      </c>
      <c r="G2125" s="13" t="s" ph="1">
        <v>4758</v>
      </c>
      <c r="H2125" s="13" t="s" ph="1">
        <v>1219</v>
      </c>
      <c r="I2125" s="13" t="s" ph="1">
        <v>4982</v>
      </c>
      <c r="M2125" s="14" t="str" ph="1">
        <f>IFERROR(INDEX([1]!_born[生没年],
MATCH(I2125,[1]!_born[作],0)),"")</f>
        <v/>
      </c>
      <c r="N2125" s="14" t="str" ph="1">
        <f>IFERROR(INDEX([1]!_born[生没年],
MATCH(K2125,[1]!_born[作],0)),"")</f>
        <v/>
      </c>
      <c r="O2125" s="13" t="s" ph="1">
        <v>8191</v>
      </c>
      <c r="T2125" s="13" t="s" ph="1">
        <v>5147</v>
      </c>
    </row>
    <row r="2126" spans="1:25" ht="22.5" customHeight="1" ph="1" x14ac:dyDescent="0.35">
      <c r="C2126" s="13" t="s" ph="1">
        <v>7591</v>
      </c>
      <c r="G2126" s="13" t="s" ph="1">
        <v>4758</v>
      </c>
      <c r="H2126" s="13" t="s" ph="1">
        <v>1219</v>
      </c>
      <c r="I2126" s="13" t="s" ph="1">
        <v>4982</v>
      </c>
      <c r="M2126" s="14" t="str" ph="1">
        <f>IFERROR(INDEX([1]!_born[生没年],
MATCH(I2126,[1]!_born[作],0)),"")</f>
        <v/>
      </c>
      <c r="N2126" s="14" t="str" ph="1">
        <f>IFERROR(INDEX([1]!_born[生没年],
MATCH(K2126,[1]!_born[作],0)),"")</f>
        <v/>
      </c>
      <c r="O2126" s="13" t="s" ph="1">
        <v>8192</v>
      </c>
      <c r="T2126" s="13" t="s" ph="1">
        <v>8193</v>
      </c>
    </row>
    <row r="2127" spans="1:25" ht="22.5" customHeight="1" ph="1" x14ac:dyDescent="0.35">
      <c r="C2127" s="13" t="s" ph="1">
        <v>7591</v>
      </c>
      <c r="G2127" s="13" t="s" ph="1">
        <v>4758</v>
      </c>
      <c r="H2127" s="13" t="s" ph="1">
        <v>1219</v>
      </c>
      <c r="I2127" s="13" t="s" ph="1">
        <v>4982</v>
      </c>
      <c r="M2127" s="14" t="str" ph="1">
        <f>IFERROR(INDEX([1]!_born[生没年],
MATCH(I2127,[1]!_born[作],0)),"")</f>
        <v/>
      </c>
      <c r="N2127" s="14" t="str" ph="1">
        <f>IFERROR(INDEX([1]!_born[生没年],
MATCH(K2127,[1]!_born[作],0)),"")</f>
        <v/>
      </c>
      <c r="O2127" s="13" t="s" ph="1">
        <v>8194</v>
      </c>
      <c r="T2127" s="13" t="s" ph="1">
        <v>5147</v>
      </c>
    </row>
    <row r="2128" spans="1:25" ht="22.5" customHeight="1" ph="1" x14ac:dyDescent="0.35">
      <c r="C2128" s="13" t="s" ph="1">
        <v>7591</v>
      </c>
      <c r="G2128" s="13" t="s" ph="1">
        <v>4758</v>
      </c>
      <c r="H2128" s="13" t="s" ph="1">
        <v>1219</v>
      </c>
      <c r="I2128" s="13" t="s" ph="1">
        <v>4982</v>
      </c>
      <c r="M2128" s="14" t="str" ph="1">
        <f>IFERROR(INDEX([1]!_born[生没年],
MATCH(I2128,[1]!_born[作],0)),"")</f>
        <v/>
      </c>
      <c r="N2128" s="14" t="str" ph="1">
        <f>IFERROR(INDEX([1]!_born[生没年],
MATCH(K2128,[1]!_born[作],0)),"")</f>
        <v/>
      </c>
      <c r="O2128" s="13" t="s" ph="1">
        <v>8195</v>
      </c>
      <c r="T2128" s="13" t="s" ph="1">
        <v>5147</v>
      </c>
    </row>
    <row r="2129" spans="1:25" ht="22.5" customHeight="1" ph="1" x14ac:dyDescent="0.35">
      <c r="C2129" s="13" t="s" ph="1">
        <v>7591</v>
      </c>
      <c r="G2129" s="13" t="s" ph="1">
        <v>4758</v>
      </c>
      <c r="H2129" s="13" t="s" ph="1">
        <v>1219</v>
      </c>
      <c r="I2129" s="13" t="s" ph="1">
        <v>4982</v>
      </c>
      <c r="M2129" s="14" t="str" ph="1">
        <f>IFERROR(INDEX([1]!_born[生没年],
MATCH(I2129,[1]!_born[作],0)),"")</f>
        <v/>
      </c>
      <c r="N2129" s="14" t="str" ph="1">
        <f>IFERROR(INDEX([1]!_born[生没年],
MATCH(K2129,[1]!_born[作],0)),"")</f>
        <v/>
      </c>
      <c r="O2129" s="13" t="s" ph="1">
        <v>8196</v>
      </c>
      <c r="T2129" s="13" t="s" ph="1">
        <v>5147</v>
      </c>
    </row>
    <row r="2130" spans="1:25" ht="22.5" customHeight="1" ph="1" x14ac:dyDescent="0.35">
      <c r="C2130" s="13" t="s" ph="1">
        <v>7591</v>
      </c>
      <c r="G2130" s="13" t="s" ph="1">
        <v>4758</v>
      </c>
      <c r="H2130" s="13" t="s" ph="1">
        <v>1219</v>
      </c>
      <c r="I2130" s="13" t="s" ph="1">
        <v>4982</v>
      </c>
      <c r="M2130" s="14" t="str" ph="1">
        <f>IFERROR(INDEX([1]!_born[生没年],
MATCH(I2130,[1]!_born[作],0)),"")</f>
        <v/>
      </c>
      <c r="N2130" s="14" t="str" ph="1">
        <f>IFERROR(INDEX([1]!_born[生没年],
MATCH(K2130,[1]!_born[作],0)),"")</f>
        <v/>
      </c>
      <c r="O2130" s="13" t="s" ph="1">
        <v>8197</v>
      </c>
      <c r="T2130" s="13" t="s" ph="1">
        <v>5147</v>
      </c>
    </row>
    <row r="2131" spans="1:25" ht="22.5" customHeight="1" ph="1" x14ac:dyDescent="0.35">
      <c r="C2131" s="13" t="s" ph="1">
        <v>7591</v>
      </c>
      <c r="G2131" s="13" t="s" ph="1">
        <v>4758</v>
      </c>
      <c r="H2131" s="13" t="s" ph="1">
        <v>1219</v>
      </c>
      <c r="I2131" s="13" t="s" ph="1">
        <v>4982</v>
      </c>
      <c r="M2131" s="14" t="str" ph="1">
        <f>IFERROR(INDEX([1]!_born[生没年],
MATCH(I2131,[1]!_born[作],0)),"")</f>
        <v/>
      </c>
      <c r="N2131" s="14" t="str" ph="1">
        <f>IFERROR(INDEX([1]!_born[生没年],
MATCH(K2131,[1]!_born[作],0)),"")</f>
        <v/>
      </c>
      <c r="O2131" s="13" t="s" ph="1">
        <v>8198</v>
      </c>
      <c r="T2131" s="13" t="s" ph="1">
        <v>5147</v>
      </c>
    </row>
    <row r="2132" spans="1:25" ht="22.5" customHeight="1" ph="1" x14ac:dyDescent="0.35">
      <c r="A2132" s="106" t="s" ph="1">
        <v>1475</v>
      </c>
      <c r="C2132" s="13" t="s" ph="1">
        <v>7591</v>
      </c>
      <c r="G2132" s="13" t="s" ph="1">
        <v>4758</v>
      </c>
      <c r="H2132" s="13" t="s" ph="1">
        <v>1219</v>
      </c>
      <c r="I2132" s="13" t="s" ph="1">
        <v>4982</v>
      </c>
      <c r="M2132" s="14" t="str" ph="1">
        <f>IFERROR(INDEX([1]!_born[生没年],
MATCH(I2132,[1]!_born[作],0)),"")</f>
        <v/>
      </c>
      <c r="N2132" s="14" t="str" ph="1">
        <f>IFERROR(INDEX([1]!_born[生没年],
MATCH(K2132,[1]!_born[作],0)),"")</f>
        <v/>
      </c>
      <c r="O2132" s="13" t="s" ph="1">
        <v>8199</v>
      </c>
      <c r="R2132" s="16" t="s" ph="1">
        <v>8200</v>
      </c>
      <c r="T2132" s="13" t="s" ph="1">
        <v>5147</v>
      </c>
      <c r="U2132" s="16" ph="1">
        <v>38247</v>
      </c>
      <c r="V2132" s="17" ph="1">
        <v>320</v>
      </c>
      <c r="W2132" s="17" ph="1">
        <v>500</v>
      </c>
      <c r="X2132" s="13" t="s" ph="1">
        <v>8201</v>
      </c>
      <c r="Y2132" s="13" t="s" ph="1">
        <v>7680</v>
      </c>
    </row>
    <row r="2133" spans="1:25" ht="22.5" customHeight="1" ph="1" x14ac:dyDescent="0.35">
      <c r="A2133" s="106" t="s" ph="1">
        <v>1476</v>
      </c>
      <c r="C2133" s="13" t="s" ph="1">
        <v>7591</v>
      </c>
      <c r="G2133" s="13" t="s" ph="1">
        <v>4758</v>
      </c>
      <c r="H2133" s="13" t="s" ph="1">
        <v>1219</v>
      </c>
      <c r="I2133" s="13" t="s" ph="1">
        <v>4982</v>
      </c>
      <c r="M2133" s="14" t="str" ph="1">
        <f>IFERROR(INDEX([1]!_born[生没年],
MATCH(I2133,[1]!_born[作],0)),"")</f>
        <v/>
      </c>
      <c r="N2133" s="14" t="str" ph="1">
        <f>IFERROR(INDEX([1]!_born[生没年],
MATCH(K2133,[1]!_born[作],0)),"")</f>
        <v/>
      </c>
      <c r="O2133" s="13" t="s" ph="1">
        <v>8202</v>
      </c>
      <c r="T2133" s="13" t="s" ph="1">
        <v>7822</v>
      </c>
    </row>
    <row r="2134" spans="1:25" ht="22.5" customHeight="1" ph="1" x14ac:dyDescent="0.35">
      <c r="C2134" s="13" t="s" ph="1">
        <v>7591</v>
      </c>
      <c r="G2134" s="13" t="s" ph="1">
        <v>4758</v>
      </c>
      <c r="H2134" s="13" t="s" ph="1">
        <v>1219</v>
      </c>
      <c r="I2134" s="13" t="s" ph="1">
        <v>4982</v>
      </c>
      <c r="M2134" s="14" t="str" ph="1">
        <f>IFERROR(INDEX([1]!_born[生没年],
MATCH(I2134,[1]!_born[作],0)),"")</f>
        <v/>
      </c>
      <c r="N2134" s="14" t="str" ph="1">
        <f>IFERROR(INDEX([1]!_born[生没年],
MATCH(K2134,[1]!_born[作],0)),"")</f>
        <v/>
      </c>
      <c r="O2134" s="13" t="s" ph="1">
        <v>8203</v>
      </c>
      <c r="T2134" s="13" t="s" ph="1">
        <v>7822</v>
      </c>
    </row>
    <row r="2135" spans="1:25" ht="22.5" customHeight="1" ph="1" x14ac:dyDescent="0.35">
      <c r="C2135" s="13" t="s" ph="1">
        <v>7591</v>
      </c>
      <c r="G2135" s="13" t="s" ph="1">
        <v>4758</v>
      </c>
      <c r="H2135" s="13" t="s" ph="1">
        <v>1219</v>
      </c>
      <c r="I2135" s="13" t="s" ph="1">
        <v>4982</v>
      </c>
      <c r="M2135" s="14" t="str" ph="1">
        <f>IFERROR(INDEX([1]!_born[生没年],
MATCH(I2135,[1]!_born[作],0)),"")</f>
        <v/>
      </c>
      <c r="N2135" s="14" t="str" ph="1">
        <f>IFERROR(INDEX([1]!_born[生没年],
MATCH(K2135,[1]!_born[作],0)),"")</f>
        <v/>
      </c>
      <c r="O2135" s="13" t="s" ph="1">
        <v>8204</v>
      </c>
      <c r="R2135" s="16" t="s" ph="1">
        <v>1477</v>
      </c>
      <c r="T2135" s="13" t="s" ph="1">
        <v>7611</v>
      </c>
      <c r="U2135" s="16" ph="1">
        <v>38247</v>
      </c>
      <c r="V2135" s="17" ph="1">
        <v>420</v>
      </c>
      <c r="W2135" s="17" ph="1">
        <v>800</v>
      </c>
      <c r="X2135" s="13" t="s" ph="1">
        <v>8201</v>
      </c>
      <c r="Y2135" s="13" t="s" ph="1">
        <v>7680</v>
      </c>
    </row>
    <row r="2136" spans="1:25" ht="22.5" customHeight="1" ph="1" x14ac:dyDescent="0.35">
      <c r="C2136" s="13" t="s" ph="1">
        <v>7591</v>
      </c>
      <c r="G2136" s="13" t="s" ph="1">
        <v>4758</v>
      </c>
      <c r="H2136" s="13" t="s" ph="1">
        <v>1219</v>
      </c>
      <c r="I2136" s="13" t="s" ph="1">
        <v>4982</v>
      </c>
      <c r="M2136" s="14" t="str" ph="1">
        <f>IFERROR(INDEX([1]!_born[生没年],
MATCH(I2136,[1]!_born[作],0)),"")</f>
        <v/>
      </c>
      <c r="N2136" s="14" t="str" ph="1">
        <f>IFERROR(INDEX([1]!_born[生没年],
MATCH(K2136,[1]!_born[作],0)),"")</f>
        <v/>
      </c>
      <c r="O2136" s="13" t="s" ph="1">
        <v>8205</v>
      </c>
      <c r="T2136" s="13" t="s" ph="1">
        <v>7611</v>
      </c>
    </row>
    <row r="2137" spans="1:25" ht="22.5" customHeight="1" ph="1" x14ac:dyDescent="0.35">
      <c r="C2137" s="13" t="s" ph="1">
        <v>7591</v>
      </c>
      <c r="G2137" s="13" t="s" ph="1">
        <v>4758</v>
      </c>
      <c r="H2137" s="13" t="s" ph="1">
        <v>1219</v>
      </c>
      <c r="I2137" s="13" t="s" ph="1">
        <v>4982</v>
      </c>
      <c r="M2137" s="14" t="str" ph="1">
        <f>IFERROR(INDEX([1]!_born[生没年],
MATCH(I2137,[1]!_born[作],0)),"")</f>
        <v/>
      </c>
      <c r="N2137" s="14" t="str" ph="1">
        <f>IFERROR(INDEX([1]!_born[生没年],
MATCH(K2137,[1]!_born[作],0)),"")</f>
        <v/>
      </c>
      <c r="O2137" s="13" t="s" ph="1">
        <v>8206</v>
      </c>
      <c r="T2137" s="13" t="s" ph="1">
        <v>7611</v>
      </c>
    </row>
    <row r="2138" spans="1:25" ht="22.5" customHeight="1" ph="1" x14ac:dyDescent="0.35">
      <c r="C2138" s="13" t="s" ph="1">
        <v>7591</v>
      </c>
      <c r="G2138" s="13" t="s" ph="1">
        <v>4758</v>
      </c>
      <c r="H2138" s="13" t="s" ph="1">
        <v>1219</v>
      </c>
      <c r="I2138" s="13" t="s" ph="1">
        <v>4982</v>
      </c>
      <c r="M2138" s="14" t="str" ph="1">
        <f>IFERROR(INDEX([1]!_born[生没年],
MATCH(I2138,[1]!_born[作],0)),"")</f>
        <v/>
      </c>
      <c r="N2138" s="14" t="str" ph="1">
        <f>IFERROR(INDEX([1]!_born[生没年],
MATCH(K2138,[1]!_born[作],0)),"")</f>
        <v/>
      </c>
      <c r="O2138" s="13" t="s" ph="1">
        <v>8207</v>
      </c>
      <c r="T2138" s="13" t="s" ph="1">
        <v>7611</v>
      </c>
    </row>
    <row r="2139" spans="1:25" ht="22.5" customHeight="1" ph="1" x14ac:dyDescent="0.35">
      <c r="C2139" s="13" t="s" ph="1">
        <v>7591</v>
      </c>
      <c r="G2139" s="13" t="s" ph="1">
        <v>4758</v>
      </c>
      <c r="H2139" s="13" t="s" ph="1">
        <v>1219</v>
      </c>
      <c r="I2139" s="13" t="s" ph="1">
        <v>4982</v>
      </c>
      <c r="M2139" s="14" t="str" ph="1">
        <f>IFERROR(INDEX([1]!_born[生没年],
MATCH(I2139,[1]!_born[作],0)),"")</f>
        <v/>
      </c>
      <c r="N2139" s="14" t="str" ph="1">
        <f>IFERROR(INDEX([1]!_born[生没年],
MATCH(K2139,[1]!_born[作],0)),"")</f>
        <v/>
      </c>
      <c r="O2139" s="13" t="s" ph="1">
        <v>8208</v>
      </c>
      <c r="T2139" s="13" t="s" ph="1">
        <v>7611</v>
      </c>
    </row>
    <row r="2140" spans="1:25" ht="22.5" customHeight="1" ph="1" x14ac:dyDescent="0.35">
      <c r="C2140" s="13" t="s" ph="1">
        <v>7591</v>
      </c>
      <c r="G2140" s="13" t="s" ph="1">
        <v>4758</v>
      </c>
      <c r="H2140" s="13" t="s" ph="1">
        <v>1219</v>
      </c>
      <c r="I2140" s="13" t="s" ph="1">
        <v>4982</v>
      </c>
      <c r="M2140" s="14" t="str" ph="1">
        <f>IFERROR(INDEX([1]!_born[生没年],
MATCH(I2140,[1]!_born[作],0)),"")</f>
        <v/>
      </c>
      <c r="N2140" s="14" t="str" ph="1">
        <f>IFERROR(INDEX([1]!_born[生没年],
MATCH(K2140,[1]!_born[作],0)),"")</f>
        <v/>
      </c>
      <c r="O2140" s="13" t="s" ph="1">
        <v>8209</v>
      </c>
      <c r="T2140" s="13" t="s" ph="1">
        <v>7611</v>
      </c>
    </row>
    <row r="2141" spans="1:25" ht="22.5" customHeight="1" ph="1" x14ac:dyDescent="0.35">
      <c r="C2141" s="13" t="s" ph="1">
        <v>7591</v>
      </c>
      <c r="G2141" s="13" t="s" ph="1">
        <v>4758</v>
      </c>
      <c r="H2141" s="13" t="s" ph="1">
        <v>1219</v>
      </c>
      <c r="I2141" s="13" t="s" ph="1">
        <v>4982</v>
      </c>
      <c r="M2141" s="14" t="str" ph="1">
        <f>IFERROR(INDEX([1]!_born[生没年],
MATCH(I2141,[1]!_born[作],0)),"")</f>
        <v/>
      </c>
      <c r="N2141" s="14" t="str" ph="1">
        <f>IFERROR(INDEX([1]!_born[生没年],
MATCH(K2141,[1]!_born[作],0)),"")</f>
        <v/>
      </c>
      <c r="O2141" s="13" t="s" ph="1">
        <v>8210</v>
      </c>
      <c r="T2141" s="13" t="s" ph="1">
        <v>7611</v>
      </c>
    </row>
    <row r="2142" spans="1:25" ht="22.5" customHeight="1" ph="1" x14ac:dyDescent="0.35">
      <c r="C2142" s="13" t="s" ph="1">
        <v>7591</v>
      </c>
      <c r="G2142" s="13" t="s" ph="1">
        <v>4758</v>
      </c>
      <c r="H2142" s="13" t="s" ph="1">
        <v>1219</v>
      </c>
      <c r="I2142" s="13" t="s" ph="1">
        <v>4982</v>
      </c>
      <c r="M2142" s="14" t="str" ph="1">
        <f>IFERROR(INDEX([1]!_born[生没年],
MATCH(I2142,[1]!_born[作],0)),"")</f>
        <v/>
      </c>
      <c r="N2142" s="14" t="str" ph="1">
        <f>IFERROR(INDEX([1]!_born[生没年],
MATCH(K2142,[1]!_born[作],0)),"")</f>
        <v/>
      </c>
      <c r="O2142" s="13" t="s" ph="1">
        <v>8211</v>
      </c>
      <c r="T2142" s="13" t="s" ph="1">
        <v>7611</v>
      </c>
    </row>
    <row r="2143" spans="1:25" ht="22.5" customHeight="1" ph="1" x14ac:dyDescent="0.35">
      <c r="C2143" s="13" t="s" ph="1">
        <v>7591</v>
      </c>
      <c r="G2143" s="13" t="s" ph="1">
        <v>4758</v>
      </c>
      <c r="H2143" s="13" t="s" ph="1">
        <v>1219</v>
      </c>
      <c r="I2143" s="13" t="s" ph="1">
        <v>4982</v>
      </c>
      <c r="M2143" s="14" t="str" ph="1">
        <f>IFERROR(INDEX([1]!_born[生没年],
MATCH(I2143,[1]!_born[作],0)),"")</f>
        <v/>
      </c>
      <c r="N2143" s="14" t="str" ph="1">
        <f>IFERROR(INDEX([1]!_born[生没年],
MATCH(K2143,[1]!_born[作],0)),"")</f>
        <v/>
      </c>
      <c r="O2143" s="13" t="s" ph="1">
        <v>8212</v>
      </c>
      <c r="T2143" s="13" t="s" ph="1">
        <v>7611</v>
      </c>
    </row>
    <row r="2144" spans="1:25" ht="22.5" customHeight="1" ph="1" x14ac:dyDescent="0.35">
      <c r="C2144" s="13" t="s" ph="1">
        <v>7591</v>
      </c>
      <c r="G2144" s="13" t="s" ph="1">
        <v>4758</v>
      </c>
      <c r="H2144" s="13" t="s" ph="1">
        <v>1219</v>
      </c>
      <c r="I2144" s="13" t="s" ph="1">
        <v>4982</v>
      </c>
      <c r="M2144" s="14" t="str" ph="1">
        <f>IFERROR(INDEX([1]!_born[生没年],
MATCH(I2144,[1]!_born[作],0)),"")</f>
        <v/>
      </c>
      <c r="N2144" s="14" t="str" ph="1">
        <f>IFERROR(INDEX([1]!_born[生没年],
MATCH(K2144,[1]!_born[作],0)),"")</f>
        <v/>
      </c>
      <c r="O2144" s="13" t="s" ph="1">
        <v>8213</v>
      </c>
      <c r="T2144" s="13" t="s" ph="1">
        <v>7611</v>
      </c>
    </row>
    <row r="2145" spans="1:25" ht="22.5" customHeight="1" ph="1" x14ac:dyDescent="0.35">
      <c r="C2145" s="13" t="s" ph="1">
        <v>7591</v>
      </c>
      <c r="G2145" s="13" t="s" ph="1">
        <v>4758</v>
      </c>
      <c r="H2145" s="13" t="s" ph="1">
        <v>1219</v>
      </c>
      <c r="I2145" s="13" t="s" ph="1">
        <v>4982</v>
      </c>
      <c r="M2145" s="14" t="str" ph="1">
        <f>IFERROR(INDEX([1]!_born[生没年],
MATCH(I2145,[1]!_born[作],0)),"")</f>
        <v/>
      </c>
      <c r="N2145" s="14" t="str" ph="1">
        <f>IFERROR(INDEX([1]!_born[生没年],
MATCH(K2145,[1]!_born[作],0)),"")</f>
        <v/>
      </c>
      <c r="O2145" s="13" t="s" ph="1">
        <v>8214</v>
      </c>
      <c r="T2145" s="13" t="s" ph="1">
        <v>7375</v>
      </c>
    </row>
    <row r="2146" spans="1:25" ht="22.5" customHeight="1" ph="1" x14ac:dyDescent="0.35">
      <c r="C2146" s="13" t="s" ph="1">
        <v>7591</v>
      </c>
      <c r="G2146" s="13" t="s" ph="1">
        <v>4758</v>
      </c>
      <c r="H2146" s="13" t="s" ph="1">
        <v>1219</v>
      </c>
      <c r="I2146" s="13" t="s" ph="1">
        <v>4982</v>
      </c>
      <c r="M2146" s="14" t="str" ph="1">
        <f>IFERROR(INDEX([1]!_born[生没年],
MATCH(I2146,[1]!_born[作],0)),"")</f>
        <v/>
      </c>
      <c r="N2146" s="14" t="str" ph="1">
        <f>IFERROR(INDEX([1]!_born[生没年],
MATCH(K2146,[1]!_born[作],0)),"")</f>
        <v/>
      </c>
      <c r="O2146" s="13" t="s" ph="1">
        <v>8215</v>
      </c>
      <c r="T2146" s="13" t="s" ph="1">
        <v>7664</v>
      </c>
    </row>
    <row r="2147" spans="1:25" ht="22.5" customHeight="1" ph="1" x14ac:dyDescent="0.35">
      <c r="C2147" s="13" t="s" ph="1">
        <v>7591</v>
      </c>
      <c r="G2147" s="13" t="s" ph="1">
        <v>8216</v>
      </c>
      <c r="H2147" s="13" t="s" ph="1">
        <v>1219</v>
      </c>
      <c r="I2147" s="13" t="s" ph="1">
        <v>4982</v>
      </c>
      <c r="K2147" s="28" t="s" ph="1">
        <v>8217</v>
      </c>
      <c r="L2147" s="15" ph="1"/>
      <c r="M2147" s="14" t="str" ph="1">
        <f>IFERROR(INDEX([1]!_born[生没年],
MATCH(I2147,[1]!_born[作],0)),"")</f>
        <v/>
      </c>
      <c r="N2147" s="14" t="str" ph="1">
        <f>IFERROR(INDEX([1]!_born[生没年],
MATCH(K2147,[1]!_born[作],0)),"")</f>
        <v/>
      </c>
      <c r="O2147" s="13" t="s" ph="1">
        <v>8218</v>
      </c>
      <c r="T2147" s="13" t="s" ph="1">
        <v>7652</v>
      </c>
    </row>
    <row r="2148" spans="1:25" ht="22.5" customHeight="1" ph="1" x14ac:dyDescent="0.35">
      <c r="A2148" s="106" t="s" ph="1">
        <v>1478</v>
      </c>
      <c r="C2148" s="13" t="s" ph="1">
        <v>7591</v>
      </c>
      <c r="G2148" s="13" t="s" ph="1">
        <v>4758</v>
      </c>
      <c r="H2148" s="13" t="s" ph="1">
        <v>1219</v>
      </c>
      <c r="I2148" s="13" t="s" ph="1">
        <v>4982</v>
      </c>
      <c r="K2148" s="13" t="s" ph="1">
        <v>8219</v>
      </c>
      <c r="L2148" s="13" t="s" ph="1">
        <v>3915</v>
      </c>
      <c r="M2148" s="14" t="str" ph="1">
        <f>IFERROR(INDEX([1]!_born[生没年],
MATCH(I2148,[1]!_born[作],0)),"")</f>
        <v/>
      </c>
      <c r="N2148" s="14" t="str" ph="1">
        <f>IFERROR(INDEX([1]!_born[生没年],
MATCH(K2148,[1]!_born[作],0)),"")</f>
        <v/>
      </c>
      <c r="O2148" s="13" t="s" ph="1">
        <v>8220</v>
      </c>
      <c r="T2148" s="13" t="s" ph="1">
        <v>7664</v>
      </c>
      <c r="U2148" s="16" t="s" ph="1">
        <v>887</v>
      </c>
      <c r="V2148" s="17" ph="1">
        <v>360</v>
      </c>
      <c r="W2148" s="17" ph="1">
        <v>420</v>
      </c>
      <c r="Y2148" s="13" t="s" ph="1">
        <v>7680</v>
      </c>
    </row>
    <row r="2149" spans="1:25" ht="22.5" customHeight="1" ph="1" x14ac:dyDescent="0.35">
      <c r="C2149" s="13" t="s" ph="1">
        <v>7591</v>
      </c>
      <c r="G2149" s="13" t="s" ph="1">
        <v>4758</v>
      </c>
      <c r="H2149" s="13" t="s" ph="1">
        <v>716</v>
      </c>
      <c r="I2149" s="15" t="s" ph="1">
        <v>8221</v>
      </c>
      <c r="K2149" s="15" ph="1"/>
      <c r="L2149" s="15" ph="1"/>
      <c r="M2149" s="14" t="str" ph="1">
        <f>IFERROR(INDEX([1]!_born[生没年],
MATCH(I2149,[1]!_born[作],0)),"")</f>
        <v/>
      </c>
      <c r="N2149" s="14" t="str" ph="1">
        <f>IFERROR(INDEX([1]!_born[生没年],
MATCH(K2149,[1]!_born[作],0)),"")</f>
        <v/>
      </c>
      <c r="O2149" s="13" t="s" ph="1">
        <v>8222</v>
      </c>
      <c r="T2149" s="13" t="s" ph="1">
        <v>7822</v>
      </c>
    </row>
    <row r="2150" spans="1:25" ht="22.5" customHeight="1" ph="1" x14ac:dyDescent="0.35">
      <c r="C2150" s="13" t="s" ph="1">
        <v>7591</v>
      </c>
      <c r="G2150" s="13" t="s" ph="1">
        <v>4758</v>
      </c>
      <c r="H2150" s="13" t="s" ph="1">
        <v>716</v>
      </c>
      <c r="I2150" s="15" t="s" ph="1">
        <v>8221</v>
      </c>
      <c r="K2150" s="15" ph="1"/>
      <c r="L2150" s="15" ph="1"/>
      <c r="M2150" s="14" t="str" ph="1">
        <f>IFERROR(INDEX([1]!_born[生没年],
MATCH(I2150,[1]!_born[作],0)),"")</f>
        <v/>
      </c>
      <c r="N2150" s="14" t="str" ph="1">
        <f>IFERROR(INDEX([1]!_born[生没年],
MATCH(K2150,[1]!_born[作],0)),"")</f>
        <v/>
      </c>
      <c r="O2150" s="13" t="s" ph="1">
        <v>8223</v>
      </c>
      <c r="T2150" s="13" t="s" ph="1">
        <v>7822</v>
      </c>
    </row>
    <row r="2151" spans="1:25" ht="22.5" customHeight="1" ph="1" x14ac:dyDescent="0.35">
      <c r="C2151" s="13" t="s" ph="1">
        <v>7591</v>
      </c>
      <c r="G2151" s="13" t="s" ph="1">
        <v>4758</v>
      </c>
      <c r="H2151" s="13" t="s" ph="1">
        <v>716</v>
      </c>
      <c r="I2151" s="15" t="s" ph="1">
        <v>8221</v>
      </c>
      <c r="K2151" s="15" ph="1"/>
      <c r="L2151" s="15" ph="1"/>
      <c r="M2151" s="14" t="str" ph="1">
        <f>IFERROR(INDEX([1]!_born[生没年],
MATCH(I2151,[1]!_born[作],0)),"")</f>
        <v/>
      </c>
      <c r="N2151" s="14" t="str" ph="1">
        <f>IFERROR(INDEX([1]!_born[生没年],
MATCH(K2151,[1]!_born[作],0)),"")</f>
        <v/>
      </c>
      <c r="O2151" s="13" t="s" ph="1">
        <v>8224</v>
      </c>
      <c r="T2151" s="13" t="s" ph="1">
        <v>7822</v>
      </c>
    </row>
    <row r="2152" spans="1:25" ht="22.5" customHeight="1" ph="1" x14ac:dyDescent="0.35">
      <c r="C2152" s="13" t="s" ph="1">
        <v>7591</v>
      </c>
      <c r="G2152" s="13" t="s" ph="1">
        <v>4758</v>
      </c>
      <c r="H2152" s="13" t="s" ph="1">
        <v>716</v>
      </c>
      <c r="I2152" s="15" t="s" ph="1">
        <v>8221</v>
      </c>
      <c r="K2152" s="15" ph="1"/>
      <c r="L2152" s="15" ph="1"/>
      <c r="M2152" s="14" t="str" ph="1">
        <f>IFERROR(INDEX([1]!_born[生没年],
MATCH(I2152,[1]!_born[作],0)),"")</f>
        <v/>
      </c>
      <c r="N2152" s="14" t="str" ph="1">
        <f>IFERROR(INDEX([1]!_born[生没年],
MATCH(K2152,[1]!_born[作],0)),"")</f>
        <v/>
      </c>
      <c r="O2152" s="13" t="s" ph="1">
        <v>8225</v>
      </c>
      <c r="T2152" s="13" t="s" ph="1">
        <v>7822</v>
      </c>
    </row>
    <row r="2153" spans="1:25" ht="22.5" customHeight="1" ph="1" x14ac:dyDescent="0.35">
      <c r="C2153" s="13" t="s" ph="1">
        <v>7591</v>
      </c>
      <c r="G2153" s="13" t="s" ph="1">
        <v>4758</v>
      </c>
      <c r="H2153" s="13" t="s" ph="1">
        <v>716</v>
      </c>
      <c r="I2153" s="15" t="s" ph="1">
        <v>8221</v>
      </c>
      <c r="K2153" s="15" ph="1"/>
      <c r="L2153" s="15" ph="1"/>
      <c r="M2153" s="14" t="str" ph="1">
        <f>IFERROR(INDEX([1]!_born[生没年],
MATCH(I2153,[1]!_born[作],0)),"")</f>
        <v/>
      </c>
      <c r="N2153" s="14" t="str" ph="1">
        <f>IFERROR(INDEX([1]!_born[生没年],
MATCH(K2153,[1]!_born[作],0)),"")</f>
        <v/>
      </c>
      <c r="O2153" s="13" t="s" ph="1">
        <v>8226</v>
      </c>
      <c r="T2153" s="13" t="s" ph="1">
        <v>7822</v>
      </c>
    </row>
    <row r="2154" spans="1:25" ht="22.5" customHeight="1" ph="1" x14ac:dyDescent="0.35">
      <c r="C2154" s="13" t="s" ph="1">
        <v>7591</v>
      </c>
      <c r="G2154" s="13" t="s" ph="1">
        <v>4758</v>
      </c>
      <c r="H2154" s="13" t="s" ph="1">
        <v>716</v>
      </c>
      <c r="I2154" s="15" t="s" ph="1">
        <v>8221</v>
      </c>
      <c r="K2154" s="15" ph="1"/>
      <c r="L2154" s="15" ph="1"/>
      <c r="M2154" s="14" t="str" ph="1">
        <f>IFERROR(INDEX([1]!_born[生没年],
MATCH(I2154,[1]!_born[作],0)),"")</f>
        <v/>
      </c>
      <c r="N2154" s="14" t="str" ph="1">
        <f>IFERROR(INDEX([1]!_born[生没年],
MATCH(K2154,[1]!_born[作],0)),"")</f>
        <v/>
      </c>
      <c r="O2154" s="13" t="s" ph="1">
        <v>8227</v>
      </c>
      <c r="T2154" s="13" t="s" ph="1">
        <v>7599</v>
      </c>
    </row>
    <row r="2155" spans="1:25" ht="22.5" customHeight="1" ph="1" x14ac:dyDescent="0.35">
      <c r="C2155" s="13" t="s" ph="1">
        <v>7591</v>
      </c>
      <c r="G2155" s="13" t="s" ph="1">
        <v>4758</v>
      </c>
      <c r="H2155" s="13" t="s" ph="1">
        <v>716</v>
      </c>
      <c r="I2155" s="15" t="s" ph="1">
        <v>8221</v>
      </c>
      <c r="K2155" s="15" ph="1"/>
      <c r="L2155" s="15" ph="1"/>
      <c r="M2155" s="14" t="str" ph="1">
        <f>IFERROR(INDEX([1]!_born[生没年],
MATCH(I2155,[1]!_born[作],0)),"")</f>
        <v/>
      </c>
      <c r="N2155" s="14" t="str" ph="1">
        <f>IFERROR(INDEX([1]!_born[生没年],
MATCH(K2155,[1]!_born[作],0)),"")</f>
        <v/>
      </c>
      <c r="O2155" s="13" t="s" ph="1">
        <v>8228</v>
      </c>
      <c r="T2155" s="13" t="s" ph="1">
        <v>5147</v>
      </c>
    </row>
    <row r="2156" spans="1:25" ht="22.5" customHeight="1" ph="1" x14ac:dyDescent="0.35">
      <c r="C2156" s="13" t="s" ph="1">
        <v>7591</v>
      </c>
      <c r="D2156" s="123" ph="1">
        <v>1</v>
      </c>
      <c r="E2156" s="123" ph="1">
        <v>2</v>
      </c>
      <c r="G2156" s="13" t="s" ph="1">
        <v>4758</v>
      </c>
      <c r="H2156" s="13" t="s" ph="1">
        <v>716</v>
      </c>
      <c r="I2156" s="15" t="s" ph="1">
        <v>8221</v>
      </c>
      <c r="K2156" s="15" ph="1"/>
      <c r="L2156" s="15" ph="1"/>
      <c r="M2156" s="14" t="str" ph="1">
        <f>IFERROR(INDEX([1]!_born[生没年],
MATCH(I2156,[1]!_born[作],0)),"")</f>
        <v/>
      </c>
      <c r="N2156" s="14" t="str" ph="1">
        <f>IFERROR(INDEX([1]!_born[生没年],
MATCH(K2156,[1]!_born[作],0)),"")</f>
        <v/>
      </c>
      <c r="O2156" s="13" t="s" ph="1">
        <v>8229</v>
      </c>
      <c r="S2156" s="13" t="s" ph="1">
        <v>4103</v>
      </c>
      <c r="T2156" s="13" t="s" ph="1">
        <v>5147</v>
      </c>
    </row>
    <row r="2157" spans="1:25" ht="22.5" customHeight="1" ph="1" x14ac:dyDescent="0.35">
      <c r="C2157" s="13" t="s" ph="1">
        <v>7591</v>
      </c>
      <c r="D2157" s="123" ph="1">
        <v>2</v>
      </c>
      <c r="E2157" s="123" ph="1">
        <v>2</v>
      </c>
      <c r="G2157" s="13" t="s" ph="1">
        <v>4758</v>
      </c>
      <c r="H2157" s="13" t="s" ph="1">
        <v>716</v>
      </c>
      <c r="I2157" s="15" t="s" ph="1">
        <v>8221</v>
      </c>
      <c r="K2157" s="15" ph="1"/>
      <c r="L2157" s="15" ph="1"/>
      <c r="M2157" s="14" t="str" ph="1">
        <f>IFERROR(INDEX([1]!_born[生没年],
MATCH(I2157,[1]!_born[作],0)),"")</f>
        <v/>
      </c>
      <c r="N2157" s="14" t="str" ph="1">
        <f>IFERROR(INDEX([1]!_born[生没年],
MATCH(K2157,[1]!_born[作],0)),"")</f>
        <v/>
      </c>
      <c r="O2157" s="13" t="s" ph="1">
        <v>8229</v>
      </c>
      <c r="S2157" s="13" t="s" ph="1">
        <v>4103</v>
      </c>
      <c r="T2157" s="13" t="s" ph="1">
        <v>5147</v>
      </c>
    </row>
    <row r="2158" spans="1:25" ht="22.5" customHeight="1" ph="1" x14ac:dyDescent="0.35">
      <c r="A2158" s="106" t="s" ph="1">
        <v>3224</v>
      </c>
      <c r="B2158" s="5" t="s" ph="1">
        <v>1448</v>
      </c>
      <c r="C2158" s="13" t="s" ph="1">
        <v>7591</v>
      </c>
      <c r="G2158" s="13" t="s" ph="1">
        <v>4758</v>
      </c>
      <c r="H2158" s="13" t="s" ph="1">
        <v>61</v>
      </c>
      <c r="I2158" s="13" t="s" ph="1">
        <v>4971</v>
      </c>
      <c r="M2158" s="14" t="str" ph="1">
        <f>IFERROR(INDEX([1]!_born[生没年],
MATCH(I2158,[1]!_born[作],0)),"")</f>
        <v/>
      </c>
      <c r="N2158" s="14" t="str" ph="1">
        <f>IFERROR(INDEX([1]!_born[生没年],
MATCH(K2158,[1]!_born[作],0)),"")</f>
        <v/>
      </c>
      <c r="O2158" s="13" t="s" ph="1">
        <v>8230</v>
      </c>
      <c r="R2158" s="16" t="s" ph="1">
        <v>8231</v>
      </c>
      <c r="T2158" s="13" t="s" ph="1">
        <v>7649</v>
      </c>
      <c r="U2158" s="16" t="s" ph="1">
        <v>3221</v>
      </c>
      <c r="V2158" s="17" ph="1">
        <f>640*1.1</f>
        <v>704</v>
      </c>
      <c r="W2158" s="17" ph="1">
        <v>110</v>
      </c>
      <c r="X2158" s="13" t="s" ph="1">
        <v>1692</v>
      </c>
      <c r="Y2158" s="13" t="s" ph="1">
        <v>4318</v>
      </c>
    </row>
    <row r="2159" spans="1:25" s="7" customFormat="1" ht="22.5" customHeight="1" ph="1" x14ac:dyDescent="0.35">
      <c r="A2159" s="106" ph="1"/>
      <c r="B2159" s="5" ph="1"/>
      <c r="C2159" s="9" t="s" ph="1">
        <v>7591</v>
      </c>
      <c r="D2159" s="122" ph="1"/>
      <c r="E2159" s="122" ph="1"/>
      <c r="G2159" s="8" t="s" ph="1">
        <v>4758</v>
      </c>
      <c r="H2159" s="9" t="s" ph="1">
        <v>709</v>
      </c>
      <c r="M2159" s="7" t="str" ph="1">
        <f>IFERROR(INDEX([1]!_born[生没年],
MATCH(I2159,[1]!_born[作],0)),"")</f>
        <v/>
      </c>
      <c r="N2159" s="7" t="str" ph="1">
        <f>IFERROR(INDEX([1]!_born[生没年],
MATCH(K2159,[1]!_born[作],0)),"")</f>
        <v/>
      </c>
      <c r="R2159" s="10" ph="1"/>
      <c r="U2159" s="10" ph="1"/>
      <c r="V2159" s="11" ph="1"/>
      <c r="W2159" s="11" ph="1"/>
    </row>
    <row r="2160" spans="1:25" s="19" customFormat="1" ht="22.5" customHeight="1" ph="1" x14ac:dyDescent="0.35">
      <c r="A2160" s="107" ph="1"/>
      <c r="B2160" s="18" ph="1"/>
      <c r="C2160" s="19" t="s" ph="1">
        <v>8023</v>
      </c>
      <c r="D2160" s="124" ph="1">
        <v>1</v>
      </c>
      <c r="E2160" s="124" ph="1">
        <v>11</v>
      </c>
      <c r="G2160" s="19" t="s" ph="1">
        <v>8232</v>
      </c>
      <c r="H2160" s="19" t="s" ph="1">
        <v>709</v>
      </c>
      <c r="I2160" s="19" t="s" ph="1">
        <v>148</v>
      </c>
      <c r="K2160" s="19" t="s" ph="1">
        <v>8233</v>
      </c>
      <c r="L2160" s="19" t="s" ph="1">
        <v>8234</v>
      </c>
      <c r="M2160" s="27" t="str" ph="1">
        <f>IFERROR(INDEX([1]!_born[生没年],
MATCH(I2160,[1]!_born[作],0)),"")</f>
        <v/>
      </c>
      <c r="N2160" s="27" t="str" ph="1">
        <f>IFERROR(INDEX([1]!_born[生没年],
MATCH(K2160,[1]!_born[作],0)),"")</f>
        <v/>
      </c>
      <c r="O2160" s="19" t="s" ph="1">
        <v>8235</v>
      </c>
      <c r="R2160" s="20" t="s" ph="1">
        <v>8236</v>
      </c>
      <c r="T2160" s="19" t="s" ph="1">
        <v>8237</v>
      </c>
      <c r="U2160" s="20" ph="1"/>
      <c r="V2160" s="21" ph="1">
        <f t="shared" ref="V2160:V2170" si="3">1400*1.05</f>
        <v>1470</v>
      </c>
      <c r="W2160" s="21" ph="1"/>
      <c r="X2160" s="19" t="s" ph="1">
        <v>2629</v>
      </c>
    </row>
    <row r="2161" spans="1:25" s="19" customFormat="1" ht="22.5" customHeight="1" ph="1" x14ac:dyDescent="0.35">
      <c r="A2161" s="107" ph="1"/>
      <c r="B2161" s="18" ph="1"/>
      <c r="C2161" s="19" t="s" ph="1">
        <v>8023</v>
      </c>
      <c r="D2161" s="124" ph="1">
        <v>2</v>
      </c>
      <c r="E2161" s="124" ph="1">
        <v>11</v>
      </c>
      <c r="G2161" s="19" t="s" ph="1">
        <v>8232</v>
      </c>
      <c r="H2161" s="19" t="s" ph="1">
        <v>709</v>
      </c>
      <c r="I2161" s="19" t="s" ph="1">
        <v>148</v>
      </c>
      <c r="K2161" s="19" t="s" ph="1">
        <v>8233</v>
      </c>
      <c r="L2161" s="19" t="s" ph="1">
        <v>8234</v>
      </c>
      <c r="M2161" s="27" t="str" ph="1">
        <f>IFERROR(INDEX([1]!_born[生没年],
MATCH(I2161,[1]!_born[作],0)),"")</f>
        <v/>
      </c>
      <c r="N2161" s="27" t="str" ph="1">
        <f>IFERROR(INDEX([1]!_born[生没年],
MATCH(K2161,[1]!_born[作],0)),"")</f>
        <v/>
      </c>
      <c r="O2161" s="19" t="s" ph="1">
        <v>8238</v>
      </c>
      <c r="R2161" s="20" t="s" ph="1">
        <v>8236</v>
      </c>
      <c r="T2161" s="19" t="s" ph="1">
        <v>8237</v>
      </c>
      <c r="U2161" s="20" ph="1"/>
      <c r="V2161" s="21" ph="1">
        <f t="shared" si="3"/>
        <v>1470</v>
      </c>
      <c r="W2161" s="21" ph="1"/>
      <c r="X2161" s="19" t="s" ph="1">
        <v>2629</v>
      </c>
      <c r="Y2161" s="19" t="s" ph="1">
        <v>8239</v>
      </c>
    </row>
    <row r="2162" spans="1:25" s="19" customFormat="1" ht="22.5" customHeight="1" ph="1" x14ac:dyDescent="0.35">
      <c r="A2162" s="107" ph="1"/>
      <c r="B2162" s="18" ph="1"/>
      <c r="C2162" s="19" t="s" ph="1">
        <v>8023</v>
      </c>
      <c r="D2162" s="124" ph="1">
        <v>3</v>
      </c>
      <c r="E2162" s="124" ph="1">
        <v>11</v>
      </c>
      <c r="G2162" s="19" t="s" ph="1">
        <v>8232</v>
      </c>
      <c r="H2162" s="19" t="s" ph="1">
        <v>709</v>
      </c>
      <c r="I2162" s="19" t="s" ph="1">
        <v>148</v>
      </c>
      <c r="K2162" s="19" t="s" ph="1">
        <v>8233</v>
      </c>
      <c r="L2162" s="19" t="s" ph="1">
        <v>8234</v>
      </c>
      <c r="M2162" s="27" t="str" ph="1">
        <f>IFERROR(INDEX([1]!_born[生没年],
MATCH(I2162,[1]!_born[作],0)),"")</f>
        <v/>
      </c>
      <c r="N2162" s="27" t="str" ph="1">
        <f>IFERROR(INDEX([1]!_born[生没年],
MATCH(K2162,[1]!_born[作],0)),"")</f>
        <v/>
      </c>
      <c r="O2162" s="19" t="s" ph="1">
        <v>8240</v>
      </c>
      <c r="R2162" s="20" t="s" ph="1">
        <v>8236</v>
      </c>
      <c r="T2162" s="19" t="s" ph="1">
        <v>8237</v>
      </c>
      <c r="U2162" s="20" ph="1"/>
      <c r="V2162" s="21" ph="1">
        <f t="shared" si="3"/>
        <v>1470</v>
      </c>
      <c r="W2162" s="21" ph="1"/>
      <c r="X2162" s="19" t="s" ph="1">
        <v>2629</v>
      </c>
      <c r="Y2162" s="19" t="s" ph="1">
        <v>8239</v>
      </c>
    </row>
    <row r="2163" spans="1:25" s="19" customFormat="1" ht="22.5" customHeight="1" ph="1" x14ac:dyDescent="0.35">
      <c r="A2163" s="107" ph="1"/>
      <c r="B2163" s="18" ph="1"/>
      <c r="C2163" s="19" t="s" ph="1">
        <v>8023</v>
      </c>
      <c r="D2163" s="124" ph="1">
        <v>4</v>
      </c>
      <c r="E2163" s="124" ph="1">
        <v>11</v>
      </c>
      <c r="G2163" s="19" t="s" ph="1">
        <v>8232</v>
      </c>
      <c r="H2163" s="19" t="s" ph="1">
        <v>709</v>
      </c>
      <c r="I2163" s="19" t="s" ph="1">
        <v>148</v>
      </c>
      <c r="K2163" s="19" t="s" ph="1">
        <v>8233</v>
      </c>
      <c r="L2163" s="19" t="s" ph="1">
        <v>8234</v>
      </c>
      <c r="M2163" s="27" t="str" ph="1">
        <f>IFERROR(INDEX([1]!_born[生没年],
MATCH(I2163,[1]!_born[作],0)),"")</f>
        <v/>
      </c>
      <c r="N2163" s="27" t="str" ph="1">
        <f>IFERROR(INDEX([1]!_born[生没年],
MATCH(K2163,[1]!_born[作],0)),"")</f>
        <v/>
      </c>
      <c r="O2163" s="19" t="s" ph="1">
        <v>8241</v>
      </c>
      <c r="R2163" s="20" t="s" ph="1">
        <v>8236</v>
      </c>
      <c r="T2163" s="19" t="s" ph="1">
        <v>8237</v>
      </c>
      <c r="U2163" s="20" ph="1"/>
      <c r="V2163" s="21" ph="1">
        <f t="shared" si="3"/>
        <v>1470</v>
      </c>
      <c r="W2163" s="21" ph="1"/>
      <c r="X2163" s="19" t="s" ph="1">
        <v>2629</v>
      </c>
      <c r="Y2163" s="19" t="s" ph="1">
        <v>8239</v>
      </c>
    </row>
    <row r="2164" spans="1:25" s="19" customFormat="1" ht="22.5" customHeight="1" ph="1" x14ac:dyDescent="0.35">
      <c r="A2164" s="107" ph="1"/>
      <c r="B2164" s="18" ph="1"/>
      <c r="C2164" s="19" t="s" ph="1">
        <v>8023</v>
      </c>
      <c r="D2164" s="124" ph="1">
        <v>5</v>
      </c>
      <c r="E2164" s="124" ph="1">
        <v>11</v>
      </c>
      <c r="G2164" s="19" t="s" ph="1">
        <v>8232</v>
      </c>
      <c r="H2164" s="19" t="s" ph="1">
        <v>709</v>
      </c>
      <c r="I2164" s="19" t="s" ph="1">
        <v>148</v>
      </c>
      <c r="K2164" s="19" t="s" ph="1">
        <v>8233</v>
      </c>
      <c r="L2164" s="19" t="s" ph="1">
        <v>8234</v>
      </c>
      <c r="M2164" s="27" t="str" ph="1">
        <f>IFERROR(INDEX([1]!_born[生没年],
MATCH(I2164,[1]!_born[作],0)),"")</f>
        <v/>
      </c>
      <c r="N2164" s="27" t="str" ph="1">
        <f>IFERROR(INDEX([1]!_born[生没年],
MATCH(K2164,[1]!_born[作],0)),"")</f>
        <v/>
      </c>
      <c r="O2164" s="19" t="s" ph="1">
        <v>8242</v>
      </c>
      <c r="R2164" s="20" t="s" ph="1">
        <v>8236</v>
      </c>
      <c r="T2164" s="19" t="s" ph="1">
        <v>8237</v>
      </c>
      <c r="U2164" s="20" ph="1"/>
      <c r="V2164" s="21" ph="1">
        <f t="shared" si="3"/>
        <v>1470</v>
      </c>
      <c r="W2164" s="21" ph="1"/>
      <c r="X2164" s="19" t="s" ph="1">
        <v>2629</v>
      </c>
      <c r="Y2164" s="19" t="s" ph="1">
        <v>8239</v>
      </c>
    </row>
    <row r="2165" spans="1:25" s="19" customFormat="1" ht="22.5" customHeight="1" ph="1" x14ac:dyDescent="0.35">
      <c r="A2165" s="107" ph="1"/>
      <c r="B2165" s="18" ph="1"/>
      <c r="C2165" s="19" t="s" ph="1">
        <v>8023</v>
      </c>
      <c r="D2165" s="124" ph="1">
        <v>6</v>
      </c>
      <c r="E2165" s="124" ph="1">
        <v>11</v>
      </c>
      <c r="G2165" s="19" t="s" ph="1">
        <v>8232</v>
      </c>
      <c r="H2165" s="19" t="s" ph="1">
        <v>709</v>
      </c>
      <c r="I2165" s="19" t="s" ph="1">
        <v>148</v>
      </c>
      <c r="K2165" s="19" t="s" ph="1">
        <v>8233</v>
      </c>
      <c r="L2165" s="19" t="s" ph="1">
        <v>8234</v>
      </c>
      <c r="M2165" s="27" t="str" ph="1">
        <f>IFERROR(INDEX([1]!_born[生没年],
MATCH(I2165,[1]!_born[作],0)),"")</f>
        <v/>
      </c>
      <c r="N2165" s="27" t="str" ph="1">
        <f>IFERROR(INDEX([1]!_born[生没年],
MATCH(K2165,[1]!_born[作],0)),"")</f>
        <v/>
      </c>
      <c r="O2165" s="19" t="s" ph="1">
        <v>8243</v>
      </c>
      <c r="R2165" s="20" t="s" ph="1">
        <v>8236</v>
      </c>
      <c r="T2165" s="19" t="s" ph="1">
        <v>8237</v>
      </c>
      <c r="U2165" s="20" ph="1"/>
      <c r="V2165" s="21" ph="1">
        <f t="shared" si="3"/>
        <v>1470</v>
      </c>
      <c r="W2165" s="21" ph="1"/>
      <c r="X2165" s="19" t="s" ph="1">
        <v>2629</v>
      </c>
      <c r="Y2165" s="19" t="s" ph="1">
        <v>8239</v>
      </c>
    </row>
    <row r="2166" spans="1:25" s="19" customFormat="1" ht="22.5" customHeight="1" ph="1" x14ac:dyDescent="0.35">
      <c r="A2166" s="107" ph="1"/>
      <c r="B2166" s="18" ph="1"/>
      <c r="C2166" s="19" t="s" ph="1">
        <v>8023</v>
      </c>
      <c r="D2166" s="124" ph="1">
        <v>7</v>
      </c>
      <c r="E2166" s="124" ph="1">
        <v>11</v>
      </c>
      <c r="G2166" s="19" t="s" ph="1">
        <v>8232</v>
      </c>
      <c r="H2166" s="19" t="s" ph="1">
        <v>709</v>
      </c>
      <c r="I2166" s="19" t="s" ph="1">
        <v>148</v>
      </c>
      <c r="K2166" s="19" t="s" ph="1">
        <v>8233</v>
      </c>
      <c r="L2166" s="19" t="s" ph="1">
        <v>8234</v>
      </c>
      <c r="M2166" s="27" t="str" ph="1">
        <f>IFERROR(INDEX([1]!_born[生没年],
MATCH(I2166,[1]!_born[作],0)),"")</f>
        <v/>
      </c>
      <c r="N2166" s="27" t="str" ph="1">
        <f>IFERROR(INDEX([1]!_born[生没年],
MATCH(K2166,[1]!_born[作],0)),"")</f>
        <v/>
      </c>
      <c r="O2166" s="19" t="s" ph="1">
        <v>8244</v>
      </c>
      <c r="R2166" s="20" t="s" ph="1">
        <v>8236</v>
      </c>
      <c r="T2166" s="19" t="s" ph="1">
        <v>8237</v>
      </c>
      <c r="U2166" s="20" ph="1"/>
      <c r="V2166" s="21" ph="1">
        <f t="shared" si="3"/>
        <v>1470</v>
      </c>
      <c r="W2166" s="21" ph="1"/>
      <c r="X2166" s="19" t="s" ph="1">
        <v>2629</v>
      </c>
      <c r="Y2166" s="19" t="s" ph="1">
        <v>8239</v>
      </c>
    </row>
    <row r="2167" spans="1:25" s="19" customFormat="1" ht="22.5" customHeight="1" ph="1" x14ac:dyDescent="0.35">
      <c r="A2167" s="107" ph="1"/>
      <c r="B2167" s="18" ph="1"/>
      <c r="C2167" s="19" t="s" ph="1">
        <v>8023</v>
      </c>
      <c r="D2167" s="124" ph="1">
        <v>8</v>
      </c>
      <c r="E2167" s="124" ph="1">
        <v>11</v>
      </c>
      <c r="G2167" s="19" t="s" ph="1">
        <v>8232</v>
      </c>
      <c r="H2167" s="19" t="s" ph="1">
        <v>709</v>
      </c>
      <c r="I2167" s="19" t="s" ph="1">
        <v>148</v>
      </c>
      <c r="K2167" s="19" t="s" ph="1">
        <v>8233</v>
      </c>
      <c r="L2167" s="19" t="s" ph="1">
        <v>8234</v>
      </c>
      <c r="M2167" s="27" t="str" ph="1">
        <f>IFERROR(INDEX([1]!_born[生没年],
MATCH(I2167,[1]!_born[作],0)),"")</f>
        <v/>
      </c>
      <c r="N2167" s="27" t="str" ph="1">
        <f>IFERROR(INDEX([1]!_born[生没年],
MATCH(K2167,[1]!_born[作],0)),"")</f>
        <v/>
      </c>
      <c r="O2167" s="19" t="s" ph="1">
        <v>8245</v>
      </c>
      <c r="R2167" s="20" t="s" ph="1">
        <v>8236</v>
      </c>
      <c r="T2167" s="19" t="s" ph="1">
        <v>8237</v>
      </c>
      <c r="U2167" s="20" ph="1"/>
      <c r="V2167" s="21" ph="1">
        <f t="shared" si="3"/>
        <v>1470</v>
      </c>
      <c r="W2167" s="21" ph="1"/>
      <c r="X2167" s="19" t="s" ph="1">
        <v>2629</v>
      </c>
      <c r="Y2167" s="19" t="s" ph="1">
        <v>8246</v>
      </c>
    </row>
    <row r="2168" spans="1:25" s="19" customFormat="1" ht="22.5" customHeight="1" ph="1" x14ac:dyDescent="0.35">
      <c r="A2168" s="107" ph="1"/>
      <c r="B2168" s="18" ph="1"/>
      <c r="C2168" s="19" t="s" ph="1">
        <v>8023</v>
      </c>
      <c r="D2168" s="124" ph="1">
        <v>9</v>
      </c>
      <c r="E2168" s="124" ph="1">
        <v>11</v>
      </c>
      <c r="G2168" s="19" t="s" ph="1">
        <v>8232</v>
      </c>
      <c r="H2168" s="19" t="s" ph="1">
        <v>709</v>
      </c>
      <c r="I2168" s="19" t="s" ph="1">
        <v>148</v>
      </c>
      <c r="K2168" s="19" t="s" ph="1">
        <v>8233</v>
      </c>
      <c r="L2168" s="19" t="s" ph="1">
        <v>8234</v>
      </c>
      <c r="M2168" s="27" t="str" ph="1">
        <f>IFERROR(INDEX([1]!_born[生没年],
MATCH(I2168,[1]!_born[作],0)),"")</f>
        <v/>
      </c>
      <c r="N2168" s="27" t="str" ph="1">
        <f>IFERROR(INDEX([1]!_born[生没年],
MATCH(K2168,[1]!_born[作],0)),"")</f>
        <v/>
      </c>
      <c r="O2168" s="19" t="s" ph="1">
        <v>8247</v>
      </c>
      <c r="R2168" s="20" t="s" ph="1">
        <v>8236</v>
      </c>
      <c r="T2168" s="19" t="s" ph="1">
        <v>8237</v>
      </c>
      <c r="U2168" s="20" ph="1"/>
      <c r="V2168" s="21" ph="1">
        <f t="shared" si="3"/>
        <v>1470</v>
      </c>
      <c r="W2168" s="21" ph="1"/>
      <c r="X2168" s="19" t="s" ph="1">
        <v>2629</v>
      </c>
      <c r="Y2168" s="19" t="s" ph="1">
        <v>8239</v>
      </c>
    </row>
    <row r="2169" spans="1:25" s="19" customFormat="1" ht="22.5" customHeight="1" ph="1" x14ac:dyDescent="0.35">
      <c r="A2169" s="107" ph="1"/>
      <c r="B2169" s="18" ph="1"/>
      <c r="C2169" s="19" t="s" ph="1">
        <v>8023</v>
      </c>
      <c r="D2169" s="124" ph="1">
        <v>10</v>
      </c>
      <c r="E2169" s="124" ph="1">
        <v>11</v>
      </c>
      <c r="G2169" s="19" t="s" ph="1">
        <v>8232</v>
      </c>
      <c r="H2169" s="19" t="s" ph="1">
        <v>709</v>
      </c>
      <c r="I2169" s="19" t="s" ph="1">
        <v>148</v>
      </c>
      <c r="K2169" s="19" t="s" ph="1">
        <v>8233</v>
      </c>
      <c r="L2169" s="19" t="s" ph="1">
        <v>8234</v>
      </c>
      <c r="M2169" s="27" t="str" ph="1">
        <f>IFERROR(INDEX([1]!_born[生没年],
MATCH(I2169,[1]!_born[作],0)),"")</f>
        <v/>
      </c>
      <c r="N2169" s="27" t="str" ph="1">
        <f>IFERROR(INDEX([1]!_born[生没年],
MATCH(K2169,[1]!_born[作],0)),"")</f>
        <v/>
      </c>
      <c r="O2169" s="19" t="s" ph="1">
        <v>8248</v>
      </c>
      <c r="R2169" s="20" t="s" ph="1">
        <v>8236</v>
      </c>
      <c r="T2169" s="19" t="s" ph="1">
        <v>8237</v>
      </c>
      <c r="U2169" s="20" ph="1"/>
      <c r="V2169" s="21" ph="1">
        <f t="shared" si="3"/>
        <v>1470</v>
      </c>
      <c r="W2169" s="21" ph="1"/>
      <c r="X2169" s="19" t="s" ph="1">
        <v>2629</v>
      </c>
      <c r="Y2169" s="19" t="s" ph="1">
        <v>8239</v>
      </c>
    </row>
    <row r="2170" spans="1:25" s="19" customFormat="1" ht="22.5" customHeight="1" ph="1" x14ac:dyDescent="0.35">
      <c r="A2170" s="107" ph="1"/>
      <c r="B2170" s="18" ph="1"/>
      <c r="C2170" s="19" t="s" ph="1">
        <v>8023</v>
      </c>
      <c r="D2170" s="124" ph="1">
        <v>11</v>
      </c>
      <c r="E2170" s="124" ph="1">
        <v>11</v>
      </c>
      <c r="G2170" s="19" t="s" ph="1">
        <v>8232</v>
      </c>
      <c r="H2170" s="19" t="s" ph="1">
        <v>709</v>
      </c>
      <c r="I2170" s="19" t="s" ph="1">
        <v>148</v>
      </c>
      <c r="K2170" s="19" t="s" ph="1">
        <v>8233</v>
      </c>
      <c r="L2170" s="19" t="s" ph="1">
        <v>8234</v>
      </c>
      <c r="M2170" s="27" t="str" ph="1">
        <f>IFERROR(INDEX([1]!_born[生没年],
MATCH(I2170,[1]!_born[作],0)),"")</f>
        <v/>
      </c>
      <c r="N2170" s="27" t="str" ph="1">
        <f>IFERROR(INDEX([1]!_born[生没年],
MATCH(K2170,[1]!_born[作],0)),"")</f>
        <v/>
      </c>
      <c r="O2170" s="19" t="s" ph="1">
        <v>8249</v>
      </c>
      <c r="R2170" s="20" t="s" ph="1">
        <v>8236</v>
      </c>
      <c r="T2170" s="19" t="s" ph="1">
        <v>8237</v>
      </c>
      <c r="U2170" s="20" ph="1"/>
      <c r="V2170" s="21" ph="1">
        <f t="shared" si="3"/>
        <v>1470</v>
      </c>
      <c r="W2170" s="21" ph="1"/>
      <c r="X2170" s="19" t="s" ph="1">
        <v>2629</v>
      </c>
      <c r="Y2170" s="19" t="s" ph="1">
        <v>8239</v>
      </c>
    </row>
    <row r="2171" spans="1:25" ht="22.5" customHeight="1" ph="1" x14ac:dyDescent="0.35">
      <c r="A2171" s="106" t="s" ph="1">
        <v>1479</v>
      </c>
      <c r="B2171" s="5" t="s" ph="1">
        <v>1480</v>
      </c>
      <c r="C2171" s="13" t="s" ph="1">
        <v>7591</v>
      </c>
      <c r="G2171" s="13" t="s" ph="1">
        <v>8250</v>
      </c>
      <c r="H2171" s="13" t="s" ph="1">
        <v>709</v>
      </c>
      <c r="I2171" s="13" t="s" ph="1">
        <v>329</v>
      </c>
      <c r="K2171" s="13" t="s" ph="1">
        <v>8251</v>
      </c>
      <c r="M2171" s="14" t="str" ph="1">
        <f>IFERROR(INDEX([1]!_born[生没年],
MATCH(I2171,[1]!_born[作],0)),"")</f>
        <v/>
      </c>
      <c r="N2171" s="14" t="str" ph="1">
        <f>IFERROR(INDEX([1]!_born[生没年],
MATCH(K2171,[1]!_born[作],0)),"")</f>
        <v/>
      </c>
      <c r="O2171" s="13" t="s" ph="1">
        <v>8252</v>
      </c>
      <c r="T2171" s="13" t="s" ph="1">
        <v>7611</v>
      </c>
      <c r="U2171" s="16" ph="1">
        <v>39030</v>
      </c>
      <c r="V2171" s="17" ph="1">
        <f>600*1.05</f>
        <v>630</v>
      </c>
      <c r="W2171" s="17" ph="1">
        <v>1</v>
      </c>
      <c r="X2171" s="13" t="s" ph="1">
        <v>2629</v>
      </c>
    </row>
    <row r="2172" spans="1:25" ht="22.5" customHeight="1" ph="1" x14ac:dyDescent="0.35">
      <c r="C2172" s="13" t="s" ph="1">
        <v>7591</v>
      </c>
      <c r="D2172" s="123" ph="1">
        <v>1</v>
      </c>
      <c r="E2172" s="123" ph="1">
        <v>2</v>
      </c>
      <c r="G2172" s="13" t="s" ph="1">
        <v>4758</v>
      </c>
      <c r="H2172" s="13" t="s" ph="1">
        <v>709</v>
      </c>
      <c r="I2172" s="13" t="s" ph="1">
        <v>180</v>
      </c>
      <c r="K2172" s="13" t="s" ph="1">
        <v>8253</v>
      </c>
      <c r="L2172" s="13" t="s" ph="1">
        <v>3628</v>
      </c>
      <c r="M2172" s="14" t="str" ph="1">
        <f>IFERROR(INDEX([1]!_born[生没年],
MATCH(I2172,[1]!_born[作],0)),"")</f>
        <v/>
      </c>
      <c r="N2172" s="14" t="str" ph="1">
        <f>IFERROR(INDEX([1]!_born[生没年],
MATCH(K2172,[1]!_born[作],0)),"")</f>
        <v/>
      </c>
      <c r="O2172" s="13" t="s" ph="1">
        <v>42</v>
      </c>
      <c r="S2172" s="13" t="s" ph="1">
        <v>4103</v>
      </c>
      <c r="T2172" s="13" t="s" ph="1">
        <v>5147</v>
      </c>
    </row>
    <row r="2173" spans="1:25" ht="22.5" customHeight="1" ph="1" x14ac:dyDescent="0.35">
      <c r="C2173" s="13" t="s" ph="1">
        <v>7591</v>
      </c>
      <c r="D2173" s="123" ph="1">
        <v>2</v>
      </c>
      <c r="E2173" s="123" ph="1">
        <v>2</v>
      </c>
      <c r="G2173" s="13" t="s" ph="1">
        <v>4758</v>
      </c>
      <c r="H2173" s="13" t="s" ph="1">
        <v>709</v>
      </c>
      <c r="I2173" s="13" t="s" ph="1">
        <v>180</v>
      </c>
      <c r="K2173" s="13" t="s" ph="1">
        <v>8253</v>
      </c>
      <c r="L2173" s="13" t="s" ph="1">
        <v>3628</v>
      </c>
      <c r="M2173" s="14" t="str" ph="1">
        <f>IFERROR(INDEX([1]!_born[生没年],
MATCH(I2173,[1]!_born[作],0)),"")</f>
        <v/>
      </c>
      <c r="N2173" s="14" t="str" ph="1">
        <f>IFERROR(INDEX([1]!_born[生没年],
MATCH(K2173,[1]!_born[作],0)),"")</f>
        <v/>
      </c>
      <c r="O2173" s="13" t="s" ph="1">
        <v>42</v>
      </c>
      <c r="S2173" s="13" t="s" ph="1">
        <v>4103</v>
      </c>
      <c r="T2173" s="13" t="s" ph="1">
        <v>5147</v>
      </c>
    </row>
    <row r="2174" spans="1:25" ht="22.5" customHeight="1" ph="1" x14ac:dyDescent="0.35">
      <c r="C2174" s="13" t="s" ph="1">
        <v>7591</v>
      </c>
      <c r="D2174" s="123" ph="1">
        <v>1</v>
      </c>
      <c r="E2174" s="123" ph="1">
        <v>2</v>
      </c>
      <c r="G2174" s="13" t="s" ph="1">
        <v>4758</v>
      </c>
      <c r="H2174" s="13" t="s" ph="1">
        <v>709</v>
      </c>
      <c r="I2174" s="13" t="s" ph="1">
        <v>180</v>
      </c>
      <c r="K2174" s="13" t="s" ph="1">
        <v>8254</v>
      </c>
      <c r="L2174" s="13" t="s" ph="1">
        <v>3628</v>
      </c>
      <c r="M2174" s="14" t="str" ph="1">
        <f>IFERROR(INDEX([1]!_born[生没年],
MATCH(I2174,[1]!_born[作],0)),"")</f>
        <v/>
      </c>
      <c r="N2174" s="14" t="str" ph="1">
        <f>IFERROR(INDEX([1]!_born[生没年],
MATCH(K2174,[1]!_born[作],0)),"")</f>
        <v/>
      </c>
      <c r="O2174" s="13" t="s" ph="1">
        <v>8255</v>
      </c>
      <c r="R2174" s="16" t="s" ph="1">
        <v>764</v>
      </c>
      <c r="S2174" s="13" t="s" ph="1">
        <v>4103</v>
      </c>
      <c r="T2174" s="13" t="s" ph="1">
        <v>5147</v>
      </c>
    </row>
    <row r="2175" spans="1:25" ht="22.5" customHeight="1" ph="1" x14ac:dyDescent="0.35">
      <c r="C2175" s="13" t="s" ph="1">
        <v>7591</v>
      </c>
      <c r="D2175" s="123" ph="1">
        <v>2</v>
      </c>
      <c r="E2175" s="123" ph="1">
        <v>2</v>
      </c>
      <c r="G2175" s="13" t="s" ph="1">
        <v>4758</v>
      </c>
      <c r="H2175" s="13" t="s" ph="1">
        <v>709</v>
      </c>
      <c r="I2175" s="13" t="s" ph="1">
        <v>180</v>
      </c>
      <c r="K2175" s="13" t="s" ph="1">
        <v>8254</v>
      </c>
      <c r="L2175" s="13" t="s" ph="1">
        <v>3628</v>
      </c>
      <c r="M2175" s="14" t="str" ph="1">
        <f>IFERROR(INDEX([1]!_born[生没年],
MATCH(I2175,[1]!_born[作],0)),"")</f>
        <v/>
      </c>
      <c r="N2175" s="14" t="str" ph="1">
        <f>IFERROR(INDEX([1]!_born[生没年],
MATCH(K2175,[1]!_born[作],0)),"")</f>
        <v/>
      </c>
      <c r="O2175" s="13" t="s" ph="1">
        <v>8255</v>
      </c>
      <c r="R2175" s="16" t="s" ph="1">
        <v>764</v>
      </c>
      <c r="S2175" s="13" t="s" ph="1">
        <v>4103</v>
      </c>
      <c r="T2175" s="13" t="s" ph="1">
        <v>5147</v>
      </c>
    </row>
    <row r="2176" spans="1:25" ht="22.5" customHeight="1" ph="1" x14ac:dyDescent="0.35">
      <c r="C2176" s="13" t="s" ph="1">
        <v>7591</v>
      </c>
      <c r="D2176" s="123" ph="1">
        <v>1</v>
      </c>
      <c r="E2176" s="123" ph="1">
        <v>2</v>
      </c>
      <c r="G2176" s="13" t="s" ph="1">
        <v>4758</v>
      </c>
      <c r="H2176" s="13" t="s" ph="1">
        <v>709</v>
      </c>
      <c r="I2176" s="13" t="s" ph="1">
        <v>180</v>
      </c>
      <c r="K2176" s="13" t="s" ph="1">
        <v>8256</v>
      </c>
      <c r="L2176" s="13" t="s" ph="1">
        <v>3628</v>
      </c>
      <c r="M2176" s="14" t="str" ph="1">
        <f>IFERROR(INDEX([1]!_born[生没年],
MATCH(I2176,[1]!_born[作],0)),"")</f>
        <v/>
      </c>
      <c r="N2176" s="14" t="str" ph="1">
        <f>IFERROR(INDEX([1]!_born[生没年],
MATCH(K2176,[1]!_born[作],0)),"")</f>
        <v/>
      </c>
      <c r="O2176" s="13" t="s" ph="1">
        <v>157</v>
      </c>
      <c r="S2176" s="13" t="s" ph="1">
        <v>4103</v>
      </c>
      <c r="T2176" s="13" t="s" ph="1">
        <v>5147</v>
      </c>
    </row>
    <row r="2177" spans="3:25" ht="22.5" customHeight="1" ph="1" x14ac:dyDescent="0.35">
      <c r="C2177" s="13" t="s" ph="1">
        <v>7591</v>
      </c>
      <c r="D2177" s="123" ph="1">
        <v>2</v>
      </c>
      <c r="E2177" s="123" ph="1">
        <v>2</v>
      </c>
      <c r="G2177" s="13" t="s" ph="1">
        <v>4758</v>
      </c>
      <c r="H2177" s="13" t="s" ph="1">
        <v>709</v>
      </c>
      <c r="I2177" s="13" t="s" ph="1">
        <v>180</v>
      </c>
      <c r="K2177" s="13" t="s" ph="1">
        <v>8256</v>
      </c>
      <c r="L2177" s="13" t="s" ph="1">
        <v>3628</v>
      </c>
      <c r="M2177" s="14" t="str" ph="1">
        <f>IFERROR(INDEX([1]!_born[生没年],
MATCH(I2177,[1]!_born[作],0)),"")</f>
        <v/>
      </c>
      <c r="N2177" s="14" t="str" ph="1">
        <f>IFERROR(INDEX([1]!_born[生没年],
MATCH(K2177,[1]!_born[作],0)),"")</f>
        <v/>
      </c>
      <c r="O2177" s="13" t="s" ph="1">
        <v>157</v>
      </c>
      <c r="S2177" s="13" t="s" ph="1">
        <v>4103</v>
      </c>
      <c r="T2177" s="13" t="s" ph="1">
        <v>5147</v>
      </c>
    </row>
    <row r="2178" spans="3:25" ht="22.5" customHeight="1" ph="1" x14ac:dyDescent="0.35">
      <c r="C2178" s="13" t="s" ph="1">
        <v>7591</v>
      </c>
      <c r="G2178" s="13" t="s" ph="1">
        <v>4758</v>
      </c>
      <c r="H2178" s="13" t="s" ph="1">
        <v>709</v>
      </c>
      <c r="I2178" s="13" t="s" ph="1">
        <v>180</v>
      </c>
      <c r="K2178" s="13" t="s" ph="1">
        <v>8257</v>
      </c>
      <c r="L2178" s="13" t="s" ph="1">
        <v>3628</v>
      </c>
      <c r="M2178" s="14" t="str" ph="1">
        <f>IFERROR(INDEX([1]!_born[生没年],
MATCH(I2178,[1]!_born[作],0)),"")</f>
        <v/>
      </c>
      <c r="N2178" s="14" t="str" ph="1">
        <f>IFERROR(INDEX([1]!_born[生没年],
MATCH(K2178,[1]!_born[作],0)),"")</f>
        <v/>
      </c>
      <c r="O2178" s="13" t="s" ph="1">
        <v>8258</v>
      </c>
      <c r="T2178" s="13" t="s" ph="1">
        <v>5147</v>
      </c>
    </row>
    <row r="2179" spans="3:25" ht="22.5" customHeight="1" ph="1" x14ac:dyDescent="0.35">
      <c r="C2179" s="13" t="s" ph="1">
        <v>7591</v>
      </c>
      <c r="D2179" s="123" ph="1">
        <v>1</v>
      </c>
      <c r="E2179" s="123" ph="1">
        <v>2</v>
      </c>
      <c r="G2179" s="13" t="s" ph="1">
        <v>4758</v>
      </c>
      <c r="H2179" s="13" t="s" ph="1">
        <v>709</v>
      </c>
      <c r="I2179" s="13" t="s" ph="1">
        <v>180</v>
      </c>
      <c r="K2179" s="13" t="s" ph="1">
        <v>8259</v>
      </c>
      <c r="L2179" s="13" t="s" ph="1">
        <v>3628</v>
      </c>
      <c r="M2179" s="14" t="str" ph="1">
        <f>IFERROR(INDEX([1]!_born[生没年],
MATCH(I2179,[1]!_born[作],0)),"")</f>
        <v/>
      </c>
      <c r="N2179" s="14" t="str" ph="1">
        <f>IFERROR(INDEX([1]!_born[生没年],
MATCH(K2179,[1]!_born[作],0)),"")</f>
        <v/>
      </c>
      <c r="O2179" s="13" t="s" ph="1">
        <v>197</v>
      </c>
      <c r="R2179" s="16" t="s" ph="1">
        <v>800</v>
      </c>
      <c r="S2179" s="13" t="s" ph="1">
        <v>4103</v>
      </c>
      <c r="T2179" s="13" t="s" ph="1">
        <v>8260</v>
      </c>
      <c r="U2179" s="16" ph="1">
        <v>37700</v>
      </c>
      <c r="V2179" s="17" t="s" ph="1">
        <v>185</v>
      </c>
    </row>
    <row r="2180" spans="3:25" ht="22.5" customHeight="1" ph="1" x14ac:dyDescent="0.35">
      <c r="C2180" s="13" t="s" ph="1">
        <v>7591</v>
      </c>
      <c r="D2180" s="123" ph="1">
        <v>2</v>
      </c>
      <c r="E2180" s="123" ph="1">
        <v>2</v>
      </c>
      <c r="G2180" s="13" t="s" ph="1">
        <v>4758</v>
      </c>
      <c r="H2180" s="13" t="s" ph="1">
        <v>709</v>
      </c>
      <c r="I2180" s="13" t="s" ph="1">
        <v>180</v>
      </c>
      <c r="K2180" s="13" t="s" ph="1">
        <v>8259</v>
      </c>
      <c r="L2180" s="13" t="s" ph="1">
        <v>3628</v>
      </c>
      <c r="M2180" s="14" t="str" ph="1">
        <f>IFERROR(INDEX([1]!_born[生没年],
MATCH(I2180,[1]!_born[作],0)),"")</f>
        <v/>
      </c>
      <c r="N2180" s="14" t="str" ph="1">
        <f>IFERROR(INDEX([1]!_born[生没年],
MATCH(K2180,[1]!_born[作],0)),"")</f>
        <v/>
      </c>
      <c r="O2180" s="13" t="s" ph="1">
        <v>197</v>
      </c>
      <c r="R2180" s="16" t="s" ph="1">
        <v>800</v>
      </c>
      <c r="S2180" s="13" t="s" ph="1">
        <v>4103</v>
      </c>
      <c r="T2180" s="13" t="s" ph="1">
        <v>8260</v>
      </c>
      <c r="U2180" s="16" ph="1">
        <v>37700</v>
      </c>
      <c r="V2180" s="17" t="s" ph="1">
        <v>185</v>
      </c>
    </row>
    <row r="2181" spans="3:25" ht="22.5" customHeight="1" ph="1" x14ac:dyDescent="0.35">
      <c r="C2181" s="13" t="s" ph="1">
        <v>7591</v>
      </c>
      <c r="G2181" s="13" t="s" ph="1">
        <v>4758</v>
      </c>
      <c r="H2181" s="13" t="s" ph="1">
        <v>709</v>
      </c>
      <c r="I2181" s="13" t="s" ph="1">
        <v>8261</v>
      </c>
      <c r="K2181" s="13" t="s" ph="1">
        <v>8262</v>
      </c>
      <c r="L2181" s="13" t="s" ph="1">
        <v>3628</v>
      </c>
      <c r="M2181" s="14" t="str" ph="1">
        <f>IFERROR(INDEX([1]!_born[生没年],
MATCH(I2181,[1]!_born[作],0)),"")</f>
        <v/>
      </c>
      <c r="N2181" s="14" t="str" ph="1">
        <f>IFERROR(INDEX([1]!_born[生没年],
MATCH(K2181,[1]!_born[作],0)),"")</f>
        <v/>
      </c>
      <c r="O2181" s="13" t="s" ph="1">
        <v>8263</v>
      </c>
      <c r="T2181" s="13" t="s" ph="1">
        <v>7611</v>
      </c>
    </row>
    <row r="2182" spans="3:25" ht="22.5" customHeight="1" ph="1" x14ac:dyDescent="0.35">
      <c r="C2182" s="13" t="s" ph="1">
        <v>7591</v>
      </c>
      <c r="G2182" s="13" t="s" ph="1">
        <v>4758</v>
      </c>
      <c r="H2182" s="13" t="s" ph="1">
        <v>709</v>
      </c>
      <c r="I2182" s="13" t="s" ph="1">
        <v>181</v>
      </c>
      <c r="K2182" s="13" t="s" ph="1">
        <v>8264</v>
      </c>
      <c r="L2182" s="13" t="s" ph="1">
        <v>3628</v>
      </c>
      <c r="M2182" s="14" t="str" ph="1">
        <f>IFERROR(INDEX([1]!_born[生没年],
MATCH(I2182,[1]!_born[作],0)),"")</f>
        <v/>
      </c>
      <c r="N2182" s="14" t="str" ph="1">
        <f>IFERROR(INDEX([1]!_born[生没年],
MATCH(K2182,[1]!_born[作],0)),"")</f>
        <v/>
      </c>
      <c r="O2182" s="13" t="s" ph="1">
        <v>8265</v>
      </c>
      <c r="T2182" s="13" t="s" ph="1">
        <v>8266</v>
      </c>
      <c r="U2182" s="16" ph="1">
        <v>36807</v>
      </c>
      <c r="V2182" s="17" ph="1">
        <v>520</v>
      </c>
      <c r="W2182" s="17" ph="1">
        <v>0</v>
      </c>
      <c r="X2182" s="13" t="s" ph="1">
        <v>3622</v>
      </c>
      <c r="Y2182" s="13" t="s" ph="1">
        <v>3623</v>
      </c>
    </row>
    <row r="2183" spans="3:25" ht="22.5" customHeight="1" ph="1" x14ac:dyDescent="0.35">
      <c r="C2183" s="13" t="s" ph="1">
        <v>7591</v>
      </c>
      <c r="G2183" s="13" t="s" ph="1">
        <v>4758</v>
      </c>
      <c r="H2183" s="13" t="s" ph="1">
        <v>709</v>
      </c>
      <c r="I2183" s="13" t="s" ph="1">
        <v>664</v>
      </c>
      <c r="K2183" s="13" t="s" ph="1">
        <v>8267</v>
      </c>
      <c r="L2183" s="13" t="s" ph="1">
        <v>3628</v>
      </c>
      <c r="M2183" s="14" t="str" ph="1">
        <f>IFERROR(INDEX([1]!_born[生没年],
MATCH(I2183,[1]!_born[作],0)),"")</f>
        <v/>
      </c>
      <c r="N2183" s="14" t="str" ph="1">
        <f>IFERROR(INDEX([1]!_born[生没年],
MATCH(K2183,[1]!_born[作],0)),"")</f>
        <v/>
      </c>
      <c r="O2183" s="13" t="s" ph="1">
        <v>8268</v>
      </c>
      <c r="T2183" s="13" t="s" ph="1">
        <v>5147</v>
      </c>
    </row>
    <row r="2184" spans="3:25" ht="22.5" customHeight="1" ph="1" x14ac:dyDescent="0.35">
      <c r="C2184" s="13" t="s" ph="1">
        <v>7591</v>
      </c>
      <c r="G2184" s="13" t="s" ph="1">
        <v>4758</v>
      </c>
      <c r="H2184" s="13" t="s" ph="1">
        <v>709</v>
      </c>
      <c r="I2184" s="13" t="s" ph="1">
        <v>54</v>
      </c>
      <c r="K2184" s="13" t="s" ph="1">
        <v>8269</v>
      </c>
      <c r="L2184" s="13" t="s" ph="1">
        <v>3628</v>
      </c>
      <c r="M2184" s="14" t="str" ph="1">
        <f>IFERROR(INDEX([1]!_born[生没年],
MATCH(I2184,[1]!_born[作],0)),"")</f>
        <v/>
      </c>
      <c r="N2184" s="14" t="str" ph="1">
        <f>IFERROR(INDEX([1]!_born[生没年],
MATCH(K2184,[1]!_born[作],0)),"")</f>
        <v/>
      </c>
      <c r="O2184" s="13" t="s" ph="1">
        <v>8270</v>
      </c>
      <c r="R2184" s="16" t="s" ph="1">
        <v>745</v>
      </c>
      <c r="S2184" s="13" t="s" ph="1">
        <v>1481</v>
      </c>
      <c r="T2184" s="13" t="s" ph="1">
        <v>7870</v>
      </c>
      <c r="V2184" s="17" ph="1">
        <f>920*1.05</f>
        <v>966</v>
      </c>
      <c r="W2184" s="17" ph="1">
        <f>920*1.05</f>
        <v>966</v>
      </c>
      <c r="X2184" s="13" t="s" ph="1">
        <v>8271</v>
      </c>
      <c r="Y2184" s="13" t="s" ph="1">
        <v>8272</v>
      </c>
    </row>
    <row r="2185" spans="3:25" ht="22.5" customHeight="1" ph="1" x14ac:dyDescent="0.35">
      <c r="C2185" s="13" t="s" ph="1">
        <v>7591</v>
      </c>
      <c r="G2185" s="13" t="s" ph="1">
        <v>4758</v>
      </c>
      <c r="H2185" s="13" t="s" ph="1">
        <v>709</v>
      </c>
      <c r="I2185" s="13" t="s" ph="1">
        <v>464</v>
      </c>
      <c r="K2185" s="13" t="s" ph="1">
        <v>8273</v>
      </c>
      <c r="L2185" s="13" t="s" ph="1">
        <v>3628</v>
      </c>
      <c r="M2185" s="14" t="str" ph="1">
        <f>IFERROR(INDEX([1]!_born[生没年],
MATCH(I2185,[1]!_born[作],0)),"")</f>
        <v/>
      </c>
      <c r="N2185" s="14" t="str" ph="1">
        <f>IFERROR(INDEX([1]!_born[生没年],
MATCH(K2185,[1]!_born[作],0)),"")</f>
        <v/>
      </c>
      <c r="O2185" s="13" t="s" ph="1">
        <v>8274</v>
      </c>
      <c r="R2185" s="16" t="s" ph="1">
        <v>802</v>
      </c>
      <c r="S2185" s="13" t="s" ph="1">
        <v>8275</v>
      </c>
      <c r="T2185" s="13" t="s" ph="1">
        <v>8276</v>
      </c>
      <c r="U2185" s="16" ph="1">
        <v>36807</v>
      </c>
      <c r="V2185" s="17" ph="1">
        <v>700</v>
      </c>
      <c r="W2185" s="17" ph="1">
        <v>0</v>
      </c>
      <c r="X2185" s="13" t="s" ph="1">
        <v>3622</v>
      </c>
      <c r="Y2185" s="13" t="s" ph="1">
        <v>3623</v>
      </c>
    </row>
    <row r="2186" spans="3:25" ht="22.5" customHeight="1" ph="1" x14ac:dyDescent="0.35">
      <c r="C2186" s="13" t="s" ph="1">
        <v>7591</v>
      </c>
      <c r="G2186" s="13" t="s" ph="1">
        <v>4758</v>
      </c>
      <c r="H2186" s="13" t="s" ph="1">
        <v>709</v>
      </c>
      <c r="I2186" s="13" t="s" ph="1">
        <v>8277</v>
      </c>
      <c r="K2186" s="13" t="s" ph="1">
        <v>5071</v>
      </c>
      <c r="L2186" s="13" t="s" ph="1">
        <v>3628</v>
      </c>
      <c r="M2186" s="14" t="str" ph="1">
        <f>IFERROR(INDEX([1]!_born[生没年],
MATCH(I2186,[1]!_born[作],0)),"")</f>
        <v/>
      </c>
      <c r="N2186" s="14" t="str" ph="1">
        <f>IFERROR(INDEX([1]!_born[生没年],
MATCH(K2186,[1]!_born[作],0)),"")</f>
        <v/>
      </c>
      <c r="O2186" s="13" t="s" ph="1">
        <v>8278</v>
      </c>
      <c r="T2186" s="13" t="s" ph="1">
        <v>7870</v>
      </c>
    </row>
    <row r="2187" spans="3:25" ht="22.5" customHeight="1" ph="1" x14ac:dyDescent="0.35">
      <c r="C2187" s="13" t="s" ph="1">
        <v>7591</v>
      </c>
      <c r="G2187" s="13" t="s" ph="1">
        <v>4758</v>
      </c>
      <c r="H2187" s="13" t="s" ph="1">
        <v>709</v>
      </c>
      <c r="I2187" s="13" t="s" ph="1">
        <v>285</v>
      </c>
      <c r="K2187" s="13" t="s" ph="1">
        <v>8279</v>
      </c>
      <c r="L2187" s="13" t="s" ph="1">
        <v>3628</v>
      </c>
      <c r="M2187" s="14" t="str" ph="1">
        <f>IFERROR(INDEX([1]!_born[生没年],
MATCH(I2187,[1]!_born[作],0)),"")</f>
        <v/>
      </c>
      <c r="N2187" s="14" t="str" ph="1">
        <f>IFERROR(INDEX([1]!_born[生没年],
MATCH(K2187,[1]!_born[作],0)),"")</f>
        <v/>
      </c>
      <c r="O2187" s="13" t="s" ph="1">
        <v>554</v>
      </c>
      <c r="R2187" s="16" t="s" ph="1">
        <v>924</v>
      </c>
      <c r="S2187" s="13" t="s" ph="1">
        <v>1482</v>
      </c>
      <c r="T2187" s="13" t="s" ph="1">
        <v>8260</v>
      </c>
      <c r="V2187" s="17" ph="1">
        <f>743*1.05</f>
        <v>780.15</v>
      </c>
      <c r="W2187" s="17" ph="1">
        <f>743*1.05</f>
        <v>780.15</v>
      </c>
    </row>
    <row r="2188" spans="3:25" ht="22.5" customHeight="1" ph="1" x14ac:dyDescent="0.35">
      <c r="C2188" s="13" t="s" ph="1">
        <v>7591</v>
      </c>
      <c r="G2188" s="13" t="s" ph="1">
        <v>4758</v>
      </c>
      <c r="H2188" s="13" t="s" ph="1">
        <v>709</v>
      </c>
      <c r="I2188" s="13" t="s" ph="1">
        <v>246</v>
      </c>
      <c r="K2188" s="13" t="s" ph="1">
        <v>8280</v>
      </c>
      <c r="L2188" s="13" t="s" ph="1">
        <v>3628</v>
      </c>
      <c r="M2188" s="14" t="str" ph="1">
        <f>IFERROR(INDEX([1]!_born[生没年],
MATCH(I2188,[1]!_born[作],0)),"")</f>
        <v/>
      </c>
      <c r="N2188" s="14" t="str" ph="1">
        <f>IFERROR(INDEX([1]!_born[生没年],
MATCH(K2188,[1]!_born[作],0)),"")</f>
        <v/>
      </c>
      <c r="O2188" s="13" t="s" ph="1">
        <v>8281</v>
      </c>
      <c r="T2188" s="13" t="s" ph="1">
        <v>5147</v>
      </c>
    </row>
    <row r="2189" spans="3:25" ht="22.5" customHeight="1" ph="1" x14ac:dyDescent="0.35">
      <c r="C2189" s="13" t="s" ph="1">
        <v>7591</v>
      </c>
      <c r="G2189" s="13" t="s" ph="1">
        <v>4758</v>
      </c>
      <c r="H2189" s="13" t="s" ph="1">
        <v>709</v>
      </c>
      <c r="I2189" s="13" t="s" ph="1">
        <v>246</v>
      </c>
      <c r="K2189" s="13" t="s" ph="1">
        <v>8282</v>
      </c>
      <c r="L2189" s="13" t="s" ph="1">
        <v>3628</v>
      </c>
      <c r="M2189" s="14" t="str" ph="1">
        <f>IFERROR(INDEX([1]!_born[生没年],
MATCH(I2189,[1]!_born[作],0)),"")</f>
        <v/>
      </c>
      <c r="N2189" s="14" t="str" ph="1">
        <f>IFERROR(INDEX([1]!_born[生没年],
MATCH(K2189,[1]!_born[作],0)),"")</f>
        <v/>
      </c>
      <c r="O2189" s="13" t="s" ph="1">
        <v>8283</v>
      </c>
      <c r="T2189" s="13" t="s" ph="1">
        <v>5147</v>
      </c>
    </row>
    <row r="2190" spans="3:25" ht="22.5" customHeight="1" ph="1" x14ac:dyDescent="0.35">
      <c r="C2190" s="13" t="s" ph="1">
        <v>7591</v>
      </c>
      <c r="G2190" s="13" t="s" ph="1">
        <v>4758</v>
      </c>
      <c r="H2190" s="13" t="s" ph="1">
        <v>709</v>
      </c>
      <c r="I2190" s="13" t="s" ph="1">
        <v>246</v>
      </c>
      <c r="K2190" s="13" t="s" ph="1">
        <v>8284</v>
      </c>
      <c r="L2190" s="13" t="s" ph="1">
        <v>3628</v>
      </c>
      <c r="M2190" s="14" t="str" ph="1">
        <f>IFERROR(INDEX([1]!_born[生没年],
MATCH(I2190,[1]!_born[作],0)),"")</f>
        <v/>
      </c>
      <c r="N2190" s="14" t="str" ph="1">
        <f>IFERROR(INDEX([1]!_born[生没年],
MATCH(K2190,[1]!_born[作],0)),"")</f>
        <v/>
      </c>
      <c r="O2190" s="13" t="s" ph="1">
        <v>8285</v>
      </c>
      <c r="T2190" s="13" t="s" ph="1">
        <v>5147</v>
      </c>
    </row>
    <row r="2191" spans="3:25" ht="22.5" customHeight="1" ph="1" x14ac:dyDescent="0.35">
      <c r="C2191" s="13" t="s" ph="1">
        <v>7591</v>
      </c>
      <c r="G2191" s="13" t="s" ph="1">
        <v>4758</v>
      </c>
      <c r="H2191" s="13" t="s" ph="1">
        <v>1035</v>
      </c>
      <c r="I2191" s="13" t="s" ph="1">
        <v>286</v>
      </c>
      <c r="K2191" s="13" t="s" ph="1">
        <v>8286</v>
      </c>
      <c r="L2191" s="13" t="s" ph="1">
        <v>3628</v>
      </c>
      <c r="M2191" s="14" t="str" ph="1">
        <f>IFERROR(INDEX([1]!_born[生没年],
MATCH(I2191,[1]!_born[作],0)),"")</f>
        <v/>
      </c>
      <c r="N2191" s="14" t="str" ph="1">
        <f>IFERROR(INDEX([1]!_born[生没年],
MATCH(K2191,[1]!_born[作],0)),"")</f>
        <v/>
      </c>
      <c r="O2191" s="13" t="s" ph="1">
        <v>8287</v>
      </c>
      <c r="T2191" s="13" t="s" ph="1">
        <v>5147</v>
      </c>
    </row>
    <row r="2192" spans="3:25" ht="22.5" customHeight="1" ph="1" x14ac:dyDescent="0.35">
      <c r="C2192" s="13" t="s" ph="1">
        <v>7591</v>
      </c>
      <c r="G2192" s="13" t="s" ph="1">
        <v>4758</v>
      </c>
      <c r="H2192" s="13" t="s" ph="1">
        <v>1035</v>
      </c>
      <c r="I2192" s="13" t="s" ph="1">
        <v>286</v>
      </c>
      <c r="K2192" s="13" t="s" ph="1">
        <v>8288</v>
      </c>
      <c r="L2192" s="13" t="s" ph="1">
        <v>3628</v>
      </c>
      <c r="M2192" s="14" t="str" ph="1">
        <f>IFERROR(INDEX([1]!_born[生没年],
MATCH(I2192,[1]!_born[作],0)),"")</f>
        <v/>
      </c>
      <c r="N2192" s="14" t="str" ph="1">
        <f>IFERROR(INDEX([1]!_born[生没年],
MATCH(K2192,[1]!_born[作],0)),"")</f>
        <v/>
      </c>
      <c r="O2192" s="13" t="s" ph="1">
        <v>8289</v>
      </c>
      <c r="T2192" s="13" t="s" ph="1">
        <v>5147</v>
      </c>
    </row>
    <row r="2193" spans="1:25" ht="22.5" customHeight="1" ph="1" x14ac:dyDescent="0.35">
      <c r="C2193" s="13" t="s" ph="1">
        <v>7591</v>
      </c>
      <c r="G2193" s="13" t="s" ph="1">
        <v>4758</v>
      </c>
      <c r="H2193" s="13" t="s" ph="1">
        <v>1035</v>
      </c>
      <c r="I2193" s="13" t="s" ph="1">
        <v>286</v>
      </c>
      <c r="K2193" s="13" t="s" ph="1">
        <v>8290</v>
      </c>
      <c r="L2193" s="13" t="s" ph="1">
        <v>3628</v>
      </c>
      <c r="M2193" s="14" t="str" ph="1">
        <f>IFERROR(INDEX([1]!_born[生没年],
MATCH(I2193,[1]!_born[作],0)),"")</f>
        <v/>
      </c>
      <c r="N2193" s="14" t="str" ph="1">
        <f>IFERROR(INDEX([1]!_born[生没年],
MATCH(K2193,[1]!_born[作],0)),"")</f>
        <v/>
      </c>
      <c r="O2193" s="13" t="s" ph="1">
        <v>8291</v>
      </c>
      <c r="R2193" s="16" t="s" ph="1">
        <v>784</v>
      </c>
      <c r="T2193" s="13" t="s" ph="1">
        <v>5147</v>
      </c>
    </row>
    <row r="2194" spans="1:25" ht="22.5" customHeight="1" ph="1" x14ac:dyDescent="0.35">
      <c r="C2194" s="13" t="s" ph="1">
        <v>7591</v>
      </c>
      <c r="G2194" s="13" t="s" ph="1">
        <v>4758</v>
      </c>
      <c r="H2194" s="13" t="s" ph="1">
        <v>1035</v>
      </c>
      <c r="I2194" s="13" t="s" ph="1">
        <v>286</v>
      </c>
      <c r="K2194" s="13" t="s" ph="1">
        <v>8292</v>
      </c>
      <c r="L2194" s="13" t="s" ph="1">
        <v>3628</v>
      </c>
      <c r="M2194" s="14" t="str" ph="1">
        <f>IFERROR(INDEX([1]!_born[生没年],
MATCH(I2194,[1]!_born[作],0)),"")</f>
        <v/>
      </c>
      <c r="N2194" s="14" t="str" ph="1">
        <f>IFERROR(INDEX([1]!_born[生没年],
MATCH(K2194,[1]!_born[作],0)),"")</f>
        <v/>
      </c>
      <c r="O2194" s="13" t="s" ph="1">
        <v>444</v>
      </c>
      <c r="T2194" s="13" t="s" ph="1">
        <v>5147</v>
      </c>
    </row>
    <row r="2195" spans="1:25" ht="22.5" customHeight="1" ph="1" x14ac:dyDescent="0.35">
      <c r="C2195" s="13" t="s" ph="1">
        <v>7591</v>
      </c>
      <c r="G2195" s="13" t="s" ph="1">
        <v>4758</v>
      </c>
      <c r="H2195" s="13" t="s" ph="1">
        <v>709</v>
      </c>
      <c r="I2195" s="13" t="s" ph="1">
        <v>16</v>
      </c>
      <c r="K2195" s="13" t="s" ph="1">
        <v>5118</v>
      </c>
      <c r="L2195" s="13" t="s" ph="1">
        <v>3628</v>
      </c>
      <c r="M2195" s="14" t="str" ph="1">
        <f>IFERROR(INDEX([1]!_born[生没年],
MATCH(I2195,[1]!_born[作],0)),"")</f>
        <v/>
      </c>
      <c r="N2195" s="14" t="str" ph="1">
        <f>IFERROR(INDEX([1]!_born[生没年],
MATCH(K2195,[1]!_born[作],0)),"")</f>
        <v/>
      </c>
      <c r="O2195" s="13" t="s" ph="1">
        <v>8293</v>
      </c>
      <c r="T2195" s="13" t="s" ph="1">
        <v>7652</v>
      </c>
      <c r="V2195" s="17" ph="1">
        <v>550</v>
      </c>
    </row>
    <row r="2196" spans="1:25" ht="22.5" customHeight="1" ph="1" x14ac:dyDescent="0.35">
      <c r="A2196" s="106" t="s" ph="1">
        <v>1483</v>
      </c>
      <c r="B2196" s="5" t="s" ph="1">
        <v>1484</v>
      </c>
      <c r="C2196" s="13" t="s" ph="1">
        <v>7591</v>
      </c>
      <c r="G2196" s="13" t="s" ph="1">
        <v>4758</v>
      </c>
      <c r="H2196" s="13" t="s" ph="1">
        <v>709</v>
      </c>
      <c r="I2196" s="13" t="s" ph="1">
        <v>16</v>
      </c>
      <c r="K2196" s="13" t="s" ph="1">
        <v>5101</v>
      </c>
      <c r="L2196" s="13" t="s" ph="1">
        <v>3628</v>
      </c>
      <c r="M2196" s="14" t="str" ph="1">
        <f>IFERROR(INDEX([1]!_born[生没年],
MATCH(I2196,[1]!_born[作],0)),"")</f>
        <v/>
      </c>
      <c r="N2196" s="14" t="str" ph="1">
        <f>IFERROR(INDEX([1]!_born[生没年],
MATCH(K2196,[1]!_born[作],0)),"")</f>
        <v/>
      </c>
      <c r="O2196" s="13" t="s" ph="1">
        <v>8294</v>
      </c>
      <c r="R2196" s="16" t="s" ph="1">
        <v>754</v>
      </c>
      <c r="T2196" s="13" t="s" ph="1">
        <v>7649</v>
      </c>
      <c r="U2196" s="16" ph="1">
        <v>38549</v>
      </c>
      <c r="V2196" s="17" ph="1">
        <f>850*1.05</f>
        <v>892.5</v>
      </c>
      <c r="W2196" s="17" ph="1">
        <f>850*1.05</f>
        <v>892.5</v>
      </c>
      <c r="X2196" s="13" t="s" ph="1">
        <v>7903</v>
      </c>
    </row>
    <row r="2197" spans="1:25" ht="22.5" customHeight="1" ph="1" x14ac:dyDescent="0.35">
      <c r="C2197" s="13" t="s" ph="1">
        <v>7591</v>
      </c>
      <c r="G2197" s="13" t="s" ph="1">
        <v>4758</v>
      </c>
      <c r="H2197" s="13" t="s" ph="1">
        <v>709</v>
      </c>
      <c r="I2197" s="13" t="s" ph="1">
        <v>16</v>
      </c>
      <c r="K2197" s="13" t="s" ph="1">
        <v>5101</v>
      </c>
      <c r="L2197" s="13" t="s" ph="1">
        <v>3628</v>
      </c>
      <c r="M2197" s="14" t="str" ph="1">
        <f>IFERROR(INDEX([1]!_born[生没年],
MATCH(I2197,[1]!_born[作],0)),"")</f>
        <v/>
      </c>
      <c r="N2197" s="14" t="str" ph="1">
        <f>IFERROR(INDEX([1]!_born[生没年],
MATCH(K2197,[1]!_born[作],0)),"")</f>
        <v/>
      </c>
      <c r="O2197" s="13" t="s" ph="1">
        <v>8294</v>
      </c>
      <c r="R2197" s="16" t="s" ph="1">
        <v>754</v>
      </c>
      <c r="T2197" s="13" t="s" ph="1">
        <v>8295</v>
      </c>
      <c r="Y2197" s="13" t="s" ph="1">
        <v>8296</v>
      </c>
    </row>
    <row r="2198" spans="1:25" ht="22.5" customHeight="1" ph="1" x14ac:dyDescent="0.35">
      <c r="C2198" s="13" t="s" ph="1">
        <v>7591</v>
      </c>
      <c r="G2198" s="13" t="s" ph="1">
        <v>4758</v>
      </c>
      <c r="H2198" s="13" t="s" ph="1">
        <v>709</v>
      </c>
      <c r="I2198" s="13" t="s" ph="1">
        <v>287</v>
      </c>
      <c r="K2198" s="13" t="s" ph="1">
        <v>7650</v>
      </c>
      <c r="L2198" s="13" t="s" ph="1">
        <v>3628</v>
      </c>
      <c r="M2198" s="14" t="str" ph="1">
        <f>IFERROR(INDEX([1]!_born[生没年],
MATCH(I2198,[1]!_born[作],0)),"")</f>
        <v/>
      </c>
      <c r="N2198" s="14" t="str" ph="1">
        <f>IFERROR(INDEX([1]!_born[生没年],
MATCH(K2198,[1]!_born[作],0)),"")</f>
        <v/>
      </c>
      <c r="O2198" s="13" t="s" ph="1">
        <v>445</v>
      </c>
      <c r="T2198" s="13" t="s" ph="1">
        <v>7611</v>
      </c>
    </row>
    <row r="2199" spans="1:25" ht="22.5" customHeight="1" ph="1" x14ac:dyDescent="0.35">
      <c r="C2199" s="13" t="s" ph="1">
        <v>7591</v>
      </c>
      <c r="G2199" s="13" t="s" ph="1">
        <v>4758</v>
      </c>
      <c r="H2199" s="13" t="s" ph="1">
        <v>709</v>
      </c>
      <c r="I2199" s="13" t="s" ph="1">
        <v>287</v>
      </c>
      <c r="K2199" s="13" t="s" ph="1">
        <v>8297</v>
      </c>
      <c r="L2199" s="13" t="s" ph="1">
        <v>3628</v>
      </c>
      <c r="M2199" s="14" t="str" ph="1">
        <f>IFERROR(INDEX([1]!_born[生没年],
MATCH(I2199,[1]!_born[作],0)),"")</f>
        <v/>
      </c>
      <c r="N2199" s="14" t="str" ph="1">
        <f>IFERROR(INDEX([1]!_born[生没年],
MATCH(K2199,[1]!_born[作],0)),"")</f>
        <v/>
      </c>
      <c r="O2199" s="13" t="s" ph="1">
        <v>484</v>
      </c>
      <c r="T2199" s="13" t="s" ph="1">
        <v>5147</v>
      </c>
    </row>
    <row r="2200" spans="1:25" ht="22.5" customHeight="1" ph="1" x14ac:dyDescent="0.35">
      <c r="C2200" s="13" t="s" ph="1">
        <v>7591</v>
      </c>
      <c r="G2200" s="13" t="s" ph="1">
        <v>4758</v>
      </c>
      <c r="H2200" s="13" t="s" ph="1">
        <v>709</v>
      </c>
      <c r="I2200" s="13" t="s" ph="1">
        <v>287</v>
      </c>
      <c r="K2200" s="13" t="s" ph="1">
        <v>8298</v>
      </c>
      <c r="L2200" s="13" t="s" ph="1">
        <v>3628</v>
      </c>
      <c r="M2200" s="14" t="str" ph="1">
        <f>IFERROR(INDEX([1]!_born[生没年],
MATCH(I2200,[1]!_born[作],0)),"")</f>
        <v/>
      </c>
      <c r="N2200" s="14" t="str" ph="1">
        <f>IFERROR(INDEX([1]!_born[生没年],
MATCH(K2200,[1]!_born[作],0)),"")</f>
        <v/>
      </c>
      <c r="O2200" s="13" t="s" ph="1">
        <v>8299</v>
      </c>
      <c r="R2200" s="16" t="s" ph="1">
        <v>1485</v>
      </c>
      <c r="T2200" s="13" t="s" ph="1">
        <v>8276</v>
      </c>
    </row>
    <row r="2201" spans="1:25" ht="22.5" customHeight="1" ph="1" x14ac:dyDescent="0.35">
      <c r="C2201" s="13" t="s" ph="1">
        <v>7591</v>
      </c>
      <c r="G2201" s="13" t="s" ph="1">
        <v>4758</v>
      </c>
      <c r="H2201" s="13" t="s" ph="1">
        <v>709</v>
      </c>
      <c r="I2201" s="13" t="s" ph="1">
        <v>287</v>
      </c>
      <c r="K2201" s="13" t="s" ph="1">
        <v>8297</v>
      </c>
      <c r="L2201" s="13" t="s" ph="1">
        <v>3628</v>
      </c>
      <c r="M2201" s="14" t="str" ph="1">
        <f>IFERROR(INDEX([1]!_born[生没年],
MATCH(I2201,[1]!_born[作],0)),"")</f>
        <v/>
      </c>
      <c r="N2201" s="14" t="str" ph="1">
        <f>IFERROR(INDEX([1]!_born[生没年],
MATCH(K2201,[1]!_born[作],0)),"")</f>
        <v/>
      </c>
      <c r="O2201" s="13" t="s" ph="1">
        <v>8300</v>
      </c>
      <c r="R2201" s="16" t="s" ph="1">
        <v>1486</v>
      </c>
      <c r="T2201" s="13" t="s" ph="1">
        <v>8276</v>
      </c>
    </row>
    <row r="2202" spans="1:25" ht="22.5" customHeight="1" ph="1" x14ac:dyDescent="0.35">
      <c r="A2202" s="106" t="s" ph="1">
        <v>2897</v>
      </c>
      <c r="B2202" s="5" t="s" ph="1">
        <v>1428</v>
      </c>
      <c r="C2202" s="13" t="s" ph="1">
        <v>7591</v>
      </c>
      <c r="G2202" s="13" t="s" ph="1">
        <v>4758</v>
      </c>
      <c r="H2202" s="13" t="s" ph="1">
        <v>43</v>
      </c>
      <c r="I2202" s="13" t="s" ph="1">
        <v>287</v>
      </c>
      <c r="K2202" s="13" t="s" ph="1">
        <v>8301</v>
      </c>
      <c r="L2202" s="13" t="s" ph="1">
        <v>8302</v>
      </c>
      <c r="M2202" s="14" t="str" ph="1">
        <f>IFERROR(INDEX([1]!_born[生没年],
MATCH(I2202,[1]!_born[作],0)),"")</f>
        <v/>
      </c>
      <c r="N2202" s="14" t="str" ph="1">
        <f>IFERROR(INDEX([1]!_born[生没年],
MATCH(K2202,[1]!_born[作],0)),"")</f>
        <v/>
      </c>
      <c r="O2202" s="13" t="s" ph="1">
        <v>8303</v>
      </c>
      <c r="R2202" s="16" t="s" ph="1">
        <v>2898</v>
      </c>
      <c r="T2202" s="13" t="s" ph="1">
        <v>7730</v>
      </c>
      <c r="W2202" s="17" ph="1">
        <f>580*1.05</f>
        <v>609</v>
      </c>
      <c r="Y2202" s="13" t="s" ph="1">
        <v>2899</v>
      </c>
    </row>
    <row r="2203" spans="1:25" ht="22.5" customHeight="1" ph="1" x14ac:dyDescent="0.35">
      <c r="C2203" s="13" t="s" ph="1">
        <v>7591</v>
      </c>
      <c r="G2203" s="13" t="s" ph="1">
        <v>4758</v>
      </c>
      <c r="H2203" s="13" t="s" ph="1">
        <v>709</v>
      </c>
      <c r="I2203" s="13" t="s" ph="1">
        <v>18</v>
      </c>
      <c r="K2203" s="13" t="s" ph="1">
        <v>8304</v>
      </c>
      <c r="L2203" s="13" t="s" ph="1">
        <v>3628</v>
      </c>
      <c r="M2203" s="14" t="str" ph="1">
        <f>IFERROR(INDEX([1]!_born[生没年],
MATCH(I2203,[1]!_born[作],0)),"")</f>
        <v/>
      </c>
      <c r="N2203" s="14" t="str" ph="1">
        <f>IFERROR(INDEX([1]!_born[生没年],
MATCH(K2203,[1]!_born[作],0)),"")</f>
        <v/>
      </c>
      <c r="O2203" s="13" t="s" ph="1">
        <v>8305</v>
      </c>
      <c r="R2203" s="16" ph="1">
        <v>1980</v>
      </c>
      <c r="T2203" s="13" t="s" ph="1">
        <v>7870</v>
      </c>
    </row>
    <row r="2204" spans="1:25" ht="22.5" customHeight="1" ph="1" x14ac:dyDescent="0.35">
      <c r="C2204" s="13" t="s" ph="1">
        <v>7591</v>
      </c>
      <c r="G2204" s="13" t="s" ph="1">
        <v>4758</v>
      </c>
      <c r="H2204" s="13" t="s" ph="1">
        <v>709</v>
      </c>
      <c r="I2204" s="13" t="s" ph="1">
        <v>18</v>
      </c>
      <c r="K2204" s="13" t="s" ph="1">
        <v>8304</v>
      </c>
      <c r="L2204" s="13" t="s" ph="1">
        <v>3628</v>
      </c>
      <c r="M2204" s="14" t="str" ph="1">
        <f>IFERROR(INDEX([1]!_born[生没年],
MATCH(I2204,[1]!_born[作],0)),"")</f>
        <v/>
      </c>
      <c r="N2204" s="14" t="str" ph="1">
        <f>IFERROR(INDEX([1]!_born[生没年],
MATCH(K2204,[1]!_born[作],0)),"")</f>
        <v/>
      </c>
      <c r="O2204" s="13" t="s" ph="1">
        <v>8306</v>
      </c>
      <c r="R2204" s="16" t="s" ph="1">
        <v>1003</v>
      </c>
      <c r="T2204" s="13" t="s" ph="1">
        <v>7870</v>
      </c>
    </row>
    <row r="2205" spans="1:25" ht="22.5" customHeight="1" ph="1" x14ac:dyDescent="0.35">
      <c r="C2205" s="13" t="s" ph="1">
        <v>7591</v>
      </c>
      <c r="G2205" s="13" t="s" ph="1">
        <v>4758</v>
      </c>
      <c r="H2205" s="13" t="s" ph="1">
        <v>709</v>
      </c>
      <c r="I2205" s="13" t="s" ph="1">
        <v>18</v>
      </c>
      <c r="K2205" s="13" t="s" ph="1">
        <v>8304</v>
      </c>
      <c r="L2205" s="13" t="s" ph="1">
        <v>3628</v>
      </c>
      <c r="M2205" s="14" t="str" ph="1">
        <f>IFERROR(INDEX([1]!_born[生没年],
MATCH(I2205,[1]!_born[作],0)),"")</f>
        <v/>
      </c>
      <c r="N2205" s="14" t="str" ph="1">
        <f>IFERROR(INDEX([1]!_born[生没年],
MATCH(K2205,[1]!_born[作],0)),"")</f>
        <v/>
      </c>
      <c r="O2205" s="13" t="s" ph="1">
        <v>8307</v>
      </c>
      <c r="R2205" s="16" t="s" ph="1">
        <v>924</v>
      </c>
      <c r="T2205" s="13" t="s" ph="1">
        <v>7870</v>
      </c>
    </row>
    <row r="2206" spans="1:25" ht="22.5" customHeight="1" ph="1" x14ac:dyDescent="0.35">
      <c r="C2206" s="13" t="s" ph="1">
        <v>7591</v>
      </c>
      <c r="G2206" s="13" t="s" ph="1">
        <v>4758</v>
      </c>
      <c r="H2206" s="13" t="s" ph="1">
        <v>709</v>
      </c>
      <c r="I2206" s="13" t="s" ph="1">
        <v>18</v>
      </c>
      <c r="K2206" s="13" t="s" ph="1">
        <v>8304</v>
      </c>
      <c r="L2206" s="13" t="s" ph="1">
        <v>3628</v>
      </c>
      <c r="M2206" s="14" t="str" ph="1">
        <f>IFERROR(INDEX([1]!_born[生没年],
MATCH(I2206,[1]!_born[作],0)),"")</f>
        <v/>
      </c>
      <c r="N2206" s="14" t="str" ph="1">
        <f>IFERROR(INDEX([1]!_born[生没年],
MATCH(K2206,[1]!_born[作],0)),"")</f>
        <v/>
      </c>
      <c r="O2206" s="13" t="s" ph="1">
        <v>8308</v>
      </c>
      <c r="R2206" s="16" t="s" ph="1">
        <v>766</v>
      </c>
      <c r="T2206" s="13" t="s" ph="1">
        <v>7870</v>
      </c>
    </row>
    <row r="2207" spans="1:25" ht="22.5" customHeight="1" ph="1" x14ac:dyDescent="0.35">
      <c r="C2207" s="13" t="s" ph="1">
        <v>7591</v>
      </c>
      <c r="G2207" s="13" t="s" ph="1">
        <v>4758</v>
      </c>
      <c r="H2207" s="13" t="s" ph="1">
        <v>709</v>
      </c>
      <c r="I2207" s="13" t="s" ph="1">
        <v>18</v>
      </c>
      <c r="K2207" s="13" t="s" ph="1">
        <v>8304</v>
      </c>
      <c r="L2207" s="13" t="s" ph="1">
        <v>3628</v>
      </c>
      <c r="M2207" s="14" t="str" ph="1">
        <f>IFERROR(INDEX([1]!_born[生没年],
MATCH(I2207,[1]!_born[作],0)),"")</f>
        <v/>
      </c>
      <c r="N2207" s="14" t="str" ph="1">
        <f>IFERROR(INDEX([1]!_born[生没年],
MATCH(K2207,[1]!_born[作],0)),"")</f>
        <v/>
      </c>
      <c r="O2207" s="13" t="s" ph="1">
        <v>8309</v>
      </c>
      <c r="R2207" s="16" t="s" ph="1">
        <v>927</v>
      </c>
      <c r="T2207" s="13" t="s" ph="1">
        <v>7870</v>
      </c>
    </row>
    <row r="2208" spans="1:25" ht="22.5" customHeight="1" ph="1" x14ac:dyDescent="0.35">
      <c r="A2208" s="106" t="s" ph="1">
        <v>1487</v>
      </c>
      <c r="B2208" s="5" t="s" ph="1">
        <v>1484</v>
      </c>
      <c r="C2208" s="13" t="s" ph="1">
        <v>7591</v>
      </c>
      <c r="G2208" s="13" t="s" ph="1">
        <v>4758</v>
      </c>
      <c r="H2208" s="13" t="s" ph="1">
        <v>709</v>
      </c>
      <c r="I2208" s="13" t="s" ph="1">
        <v>18</v>
      </c>
      <c r="K2208" s="13" t="s" ph="1">
        <v>8304</v>
      </c>
      <c r="L2208" s="13" t="s" ph="1">
        <v>3628</v>
      </c>
      <c r="M2208" s="14" t="str" ph="1">
        <f>IFERROR(INDEX([1]!_born[生没年],
MATCH(I2208,[1]!_born[作],0)),"")</f>
        <v/>
      </c>
      <c r="N2208" s="14" t="str" ph="1">
        <f>IFERROR(INDEX([1]!_born[生没年],
MATCH(K2208,[1]!_born[作],0)),"")</f>
        <v/>
      </c>
      <c r="O2208" s="13" t="s" ph="1">
        <v>8310</v>
      </c>
      <c r="R2208" s="16" t="s" ph="1">
        <v>1488</v>
      </c>
      <c r="T2208" s="13" t="s" ph="1">
        <v>7870</v>
      </c>
      <c r="U2208" s="16" ph="1">
        <v>38916</v>
      </c>
      <c r="V2208" s="17" ph="1">
        <f>720*1.05</f>
        <v>756</v>
      </c>
      <c r="W2208" s="17" ph="1">
        <f>720*1.05</f>
        <v>756</v>
      </c>
      <c r="X2208" s="13" t="s" ph="1">
        <v>3802</v>
      </c>
    </row>
    <row r="2209" spans="1:25" ht="22.5" customHeight="1" ph="1" x14ac:dyDescent="0.35">
      <c r="C2209" s="13" t="s" ph="1">
        <v>7591</v>
      </c>
      <c r="G2209" s="13" t="s" ph="1">
        <v>4758</v>
      </c>
      <c r="H2209" s="13" t="s" ph="1">
        <v>709</v>
      </c>
      <c r="I2209" s="13" t="s" ph="1">
        <v>18</v>
      </c>
      <c r="K2209" s="13" t="s" ph="1">
        <v>8304</v>
      </c>
      <c r="L2209" s="13" t="s" ph="1">
        <v>3628</v>
      </c>
      <c r="M2209" s="14" t="str" ph="1">
        <f>IFERROR(INDEX([1]!_born[生没年],
MATCH(I2209,[1]!_born[作],0)),"")</f>
        <v/>
      </c>
      <c r="N2209" s="14" t="str" ph="1">
        <f>IFERROR(INDEX([1]!_born[生没年],
MATCH(K2209,[1]!_born[作],0)),"")</f>
        <v/>
      </c>
      <c r="O2209" s="13" t="s" ph="1">
        <v>8311</v>
      </c>
      <c r="R2209" s="16" t="s" ph="1">
        <v>930</v>
      </c>
      <c r="T2209" s="13" t="s" ph="1">
        <v>7870</v>
      </c>
    </row>
    <row r="2210" spans="1:25" ht="22.5" customHeight="1" ph="1" x14ac:dyDescent="0.35">
      <c r="C2210" s="13" t="s" ph="1">
        <v>7591</v>
      </c>
      <c r="G2210" s="13" t="s" ph="1">
        <v>4758</v>
      </c>
      <c r="H2210" s="13" t="s" ph="1">
        <v>709</v>
      </c>
      <c r="I2210" s="13" t="s" ph="1">
        <v>18</v>
      </c>
      <c r="K2210" s="13" t="s" ph="1">
        <v>8304</v>
      </c>
      <c r="L2210" s="13" t="s" ph="1">
        <v>3628</v>
      </c>
      <c r="M2210" s="14" t="str" ph="1">
        <f>IFERROR(INDEX([1]!_born[生没年],
MATCH(I2210,[1]!_born[作],0)),"")</f>
        <v/>
      </c>
      <c r="N2210" s="14" t="str" ph="1">
        <f>IFERROR(INDEX([1]!_born[生没年],
MATCH(K2210,[1]!_born[作],0)),"")</f>
        <v/>
      </c>
      <c r="O2210" s="13" t="s" ph="1">
        <v>8312</v>
      </c>
      <c r="R2210" s="16" t="s" ph="1">
        <v>954</v>
      </c>
      <c r="T2210" s="13" t="s" ph="1">
        <v>7870</v>
      </c>
    </row>
    <row r="2211" spans="1:25" ht="22.5" customHeight="1" ph="1" x14ac:dyDescent="0.35">
      <c r="A2211" s="106" t="s" ph="1">
        <v>1489</v>
      </c>
      <c r="B2211" s="5" t="s" ph="1">
        <v>1484</v>
      </c>
      <c r="C2211" s="13" t="s" ph="1">
        <v>7591</v>
      </c>
      <c r="G2211" s="13" t="s" ph="1">
        <v>4758</v>
      </c>
      <c r="H2211" s="13" t="s" ph="1">
        <v>709</v>
      </c>
      <c r="I2211" s="13" t="s" ph="1">
        <v>18</v>
      </c>
      <c r="K2211" s="13" t="s" ph="1">
        <v>8304</v>
      </c>
      <c r="L2211" s="13" t="s" ph="1">
        <v>3628</v>
      </c>
      <c r="M2211" s="14" t="str" ph="1">
        <f>IFERROR(INDEX([1]!_born[生没年],
MATCH(I2211,[1]!_born[作],0)),"")</f>
        <v/>
      </c>
      <c r="N2211" s="14" t="str" ph="1">
        <f>IFERROR(INDEX([1]!_born[生没年],
MATCH(K2211,[1]!_born[作],0)),"")</f>
        <v/>
      </c>
      <c r="O2211" s="13" t="s" ph="1">
        <v>8313</v>
      </c>
      <c r="R2211" s="16" t="s" ph="1">
        <v>987</v>
      </c>
      <c r="T2211" s="13" t="s" ph="1">
        <v>7870</v>
      </c>
      <c r="U2211" s="16" ph="1">
        <v>38916</v>
      </c>
      <c r="V2211" s="17" ph="1">
        <f>720*1.05</f>
        <v>756</v>
      </c>
      <c r="W2211" s="17" ph="1">
        <f>720*1.05</f>
        <v>756</v>
      </c>
      <c r="X2211" s="13" t="s" ph="1">
        <v>3802</v>
      </c>
    </row>
    <row r="2212" spans="1:25" ht="22.5" customHeight="1" ph="1" x14ac:dyDescent="0.35">
      <c r="A2212" s="106" t="s" ph="1">
        <v>1490</v>
      </c>
      <c r="B2212" s="5" t="s" ph="1">
        <v>1484</v>
      </c>
      <c r="C2212" s="13" t="s" ph="1">
        <v>7591</v>
      </c>
      <c r="G2212" s="13" t="s" ph="1">
        <v>4758</v>
      </c>
      <c r="H2212" s="13" t="s" ph="1">
        <v>709</v>
      </c>
      <c r="I2212" s="13" t="s" ph="1">
        <v>18</v>
      </c>
      <c r="K2212" s="13" t="s" ph="1">
        <v>8304</v>
      </c>
      <c r="L2212" s="13" t="s" ph="1">
        <v>3628</v>
      </c>
      <c r="M2212" s="14" t="str" ph="1">
        <f>IFERROR(INDEX([1]!_born[生没年],
MATCH(I2212,[1]!_born[作],0)),"")</f>
        <v/>
      </c>
      <c r="N2212" s="14" t="str" ph="1">
        <f>IFERROR(INDEX([1]!_born[生没年],
MATCH(K2212,[1]!_born[作],0)),"")</f>
        <v/>
      </c>
      <c r="O2212" s="13" t="s" ph="1">
        <v>8314</v>
      </c>
      <c r="R2212" s="16" t="s" ph="1">
        <v>743</v>
      </c>
      <c r="T2212" s="13" t="s" ph="1">
        <v>7870</v>
      </c>
      <c r="U2212" s="16" ph="1">
        <v>38916</v>
      </c>
      <c r="V2212" s="17" ph="1">
        <f>860*1.05</f>
        <v>903</v>
      </c>
      <c r="W2212" s="17" ph="1">
        <f>860*1.05</f>
        <v>903</v>
      </c>
      <c r="X2212" s="13" t="s" ph="1">
        <v>3802</v>
      </c>
    </row>
    <row r="2213" spans="1:25" ht="22.5" customHeight="1" ph="1" x14ac:dyDescent="0.35">
      <c r="C2213" s="13" t="s" ph="1">
        <v>7591</v>
      </c>
      <c r="G2213" s="13" t="s" ph="1">
        <v>4758</v>
      </c>
      <c r="H2213" s="13" t="s" ph="1">
        <v>709</v>
      </c>
      <c r="I2213" s="13" t="s" ph="1">
        <v>19</v>
      </c>
      <c r="K2213" s="13" t="s" ph="1">
        <v>8315</v>
      </c>
      <c r="L2213" s="13" t="s" ph="1">
        <v>3628</v>
      </c>
      <c r="M2213" s="14" t="str" ph="1">
        <f>IFERROR(INDEX([1]!_born[生没年],
MATCH(I2213,[1]!_born[作],0)),"")</f>
        <v/>
      </c>
      <c r="N2213" s="14" t="str" ph="1">
        <f>IFERROR(INDEX([1]!_born[生没年],
MATCH(K2213,[1]!_born[作],0)),"")</f>
        <v/>
      </c>
      <c r="O2213" s="13" t="s" ph="1">
        <v>8316</v>
      </c>
      <c r="T2213" s="13" t="s" ph="1">
        <v>7611</v>
      </c>
      <c r="V2213" s="17" ph="1">
        <v>90</v>
      </c>
      <c r="W2213" s="17" ph="1">
        <v>150</v>
      </c>
      <c r="X2213" s="5" t="s" ph="1">
        <v>4551</v>
      </c>
      <c r="Y2213" s="5" ph="1"/>
    </row>
    <row r="2214" spans="1:25" ht="22.5" customHeight="1" ph="1" x14ac:dyDescent="0.35">
      <c r="C2214" s="13" t="s" ph="1">
        <v>7591</v>
      </c>
      <c r="G2214" s="13" t="s" ph="1">
        <v>4758</v>
      </c>
      <c r="H2214" s="13" t="s" ph="1">
        <v>709</v>
      </c>
      <c r="I2214" s="13" t="s" ph="1">
        <v>90</v>
      </c>
      <c r="K2214" s="13" t="s" ph="1">
        <v>8317</v>
      </c>
      <c r="L2214" s="13" t="s" ph="1">
        <v>3628</v>
      </c>
      <c r="M2214" s="14" t="str" ph="1">
        <f>IFERROR(INDEX([1]!_born[生没年],
MATCH(I2214,[1]!_born[作],0)),"")</f>
        <v/>
      </c>
      <c r="N2214" s="14" t="str" ph="1">
        <f>IFERROR(INDEX([1]!_born[生没年],
MATCH(K2214,[1]!_born[作],0)),"")</f>
        <v/>
      </c>
      <c r="O2214" s="13" t="s" ph="1">
        <v>126</v>
      </c>
      <c r="R2214" s="16" t="s" ph="1">
        <v>791</v>
      </c>
      <c r="T2214" s="13" t="s" ph="1">
        <v>5147</v>
      </c>
    </row>
    <row r="2215" spans="1:25" ht="22.5" customHeight="1" ph="1" x14ac:dyDescent="0.35">
      <c r="C2215" s="13" t="s" ph="1">
        <v>7591</v>
      </c>
      <c r="G2215" s="13" t="s" ph="1">
        <v>4758</v>
      </c>
      <c r="H2215" s="13" t="s" ph="1">
        <v>709</v>
      </c>
      <c r="I2215" s="13" t="s" ph="1">
        <v>414</v>
      </c>
      <c r="K2215" s="13" t="s" ph="1">
        <v>8318</v>
      </c>
      <c r="L2215" s="13" t="s" ph="1">
        <v>3628</v>
      </c>
      <c r="M2215" s="14" t="str" ph="1">
        <f>IFERROR(INDEX([1]!_born[生没年],
MATCH(I2215,[1]!_born[作],0)),"")</f>
        <v/>
      </c>
      <c r="N2215" s="14" t="str" ph="1">
        <f>IFERROR(INDEX([1]!_born[生没年],
MATCH(K2215,[1]!_born[作],0)),"")</f>
        <v/>
      </c>
      <c r="O2215" s="13" t="s" ph="1">
        <v>8319</v>
      </c>
      <c r="T2215" s="13" t="s" ph="1">
        <v>7664</v>
      </c>
    </row>
    <row r="2216" spans="1:25" ht="22.5" customHeight="1" ph="1" x14ac:dyDescent="0.35">
      <c r="C2216" s="13" t="s" ph="1">
        <v>7591</v>
      </c>
      <c r="D2216" s="123" ph="1">
        <v>1</v>
      </c>
      <c r="E2216" s="123" ph="1">
        <v>3</v>
      </c>
      <c r="G2216" s="13" t="s" ph="1">
        <v>4758</v>
      </c>
      <c r="H2216" s="13" t="s" ph="1">
        <v>709</v>
      </c>
      <c r="I2216" s="13" t="s" ph="1">
        <v>414</v>
      </c>
      <c r="K2216" s="13" t="s" ph="1">
        <v>8318</v>
      </c>
      <c r="L2216" s="13" t="s" ph="1">
        <v>3628</v>
      </c>
      <c r="M2216" s="14" t="str" ph="1">
        <f>IFERROR(INDEX([1]!_born[生没年],
MATCH(I2216,[1]!_born[作],0)),"")</f>
        <v/>
      </c>
      <c r="N2216" s="14" t="str" ph="1">
        <f>IFERROR(INDEX([1]!_born[生没年],
MATCH(K2216,[1]!_born[作],0)),"")</f>
        <v/>
      </c>
      <c r="O2216" s="13" t="s" ph="1">
        <v>8320</v>
      </c>
      <c r="S2216" s="13" t="s" ph="1">
        <v>8321</v>
      </c>
      <c r="T2216" s="13" t="s" ph="1">
        <v>7664</v>
      </c>
    </row>
    <row r="2217" spans="1:25" ht="22.5" customHeight="1" ph="1" x14ac:dyDescent="0.35">
      <c r="C2217" s="13" t="s" ph="1">
        <v>7591</v>
      </c>
      <c r="D2217" s="123" ph="1">
        <v>2</v>
      </c>
      <c r="E2217" s="123" ph="1">
        <v>3</v>
      </c>
      <c r="G2217" s="13" t="s" ph="1">
        <v>4758</v>
      </c>
      <c r="H2217" s="13" t="s" ph="1">
        <v>709</v>
      </c>
      <c r="I2217" s="13" t="s" ph="1">
        <v>414</v>
      </c>
      <c r="K2217" s="13" t="s" ph="1">
        <v>8318</v>
      </c>
      <c r="L2217" s="13" t="s" ph="1">
        <v>3628</v>
      </c>
      <c r="M2217" s="14" t="str" ph="1">
        <f>IFERROR(INDEX([1]!_born[生没年],
MATCH(I2217,[1]!_born[作],0)),"")</f>
        <v/>
      </c>
      <c r="N2217" s="14" t="str" ph="1">
        <f>IFERROR(INDEX([1]!_born[生没年],
MATCH(K2217,[1]!_born[作],0)),"")</f>
        <v/>
      </c>
      <c r="O2217" s="13" t="s" ph="1">
        <v>8320</v>
      </c>
      <c r="S2217" s="13" t="s" ph="1">
        <v>8321</v>
      </c>
      <c r="T2217" s="13" t="s" ph="1">
        <v>7664</v>
      </c>
    </row>
    <row r="2218" spans="1:25" ht="22.5" customHeight="1" ph="1" x14ac:dyDescent="0.35">
      <c r="C2218" s="13" t="s" ph="1">
        <v>7591</v>
      </c>
      <c r="D2218" s="123" ph="1">
        <v>3</v>
      </c>
      <c r="E2218" s="123" ph="1">
        <v>3</v>
      </c>
      <c r="G2218" s="13" t="s" ph="1">
        <v>4758</v>
      </c>
      <c r="H2218" s="13" t="s" ph="1">
        <v>709</v>
      </c>
      <c r="I2218" s="13" t="s" ph="1">
        <v>414</v>
      </c>
      <c r="K2218" s="13" t="s" ph="1">
        <v>8318</v>
      </c>
      <c r="L2218" s="13" t="s" ph="1">
        <v>3628</v>
      </c>
      <c r="M2218" s="14" t="str" ph="1">
        <f>IFERROR(INDEX([1]!_born[生没年],
MATCH(I2218,[1]!_born[作],0)),"")</f>
        <v/>
      </c>
      <c r="N2218" s="14" t="str" ph="1">
        <f>IFERROR(INDEX([1]!_born[生没年],
MATCH(K2218,[1]!_born[作],0)),"")</f>
        <v/>
      </c>
      <c r="O2218" s="13" t="s" ph="1">
        <v>8320</v>
      </c>
      <c r="S2218" s="13" t="s" ph="1">
        <v>8321</v>
      </c>
      <c r="T2218" s="13" t="s" ph="1">
        <v>7664</v>
      </c>
    </row>
    <row r="2219" spans="1:25" ht="22.5" customHeight="1" ph="1" x14ac:dyDescent="0.35">
      <c r="C2219" s="13" t="s" ph="1">
        <v>7591</v>
      </c>
      <c r="G2219" s="13" t="s" ph="1">
        <v>4758</v>
      </c>
      <c r="H2219" s="13" t="s" ph="1">
        <v>709</v>
      </c>
      <c r="I2219" s="13" t="s" ph="1">
        <v>608</v>
      </c>
      <c r="K2219" s="13" t="s" ph="1">
        <v>8322</v>
      </c>
      <c r="L2219" s="13" t="s" ph="1">
        <v>3628</v>
      </c>
      <c r="M2219" s="14" t="str" ph="1">
        <f>IFERROR(INDEX([1]!_born[生没年],
MATCH(I2219,[1]!_born[作],0)),"")</f>
        <v/>
      </c>
      <c r="N2219" s="14" t="str" ph="1">
        <f>IFERROR(INDEX([1]!_born[生没年],
MATCH(K2219,[1]!_born[作],0)),"")</f>
        <v/>
      </c>
      <c r="O2219" s="13" t="s" ph="1">
        <v>397</v>
      </c>
      <c r="T2219" s="13" t="s" ph="1">
        <v>5147</v>
      </c>
    </row>
    <row r="2220" spans="1:25" ht="22.5" customHeight="1" ph="1" x14ac:dyDescent="0.35">
      <c r="C2220" s="13" t="s" ph="1">
        <v>7591</v>
      </c>
      <c r="G2220" s="13" t="s" ph="1">
        <v>4758</v>
      </c>
      <c r="H2220" s="13" t="s" ph="1">
        <v>709</v>
      </c>
      <c r="I2220" s="13" t="s" ph="1">
        <v>607</v>
      </c>
      <c r="K2220" s="13" t="s" ph="1">
        <v>8323</v>
      </c>
      <c r="L2220" s="13" t="s" ph="1">
        <v>3628</v>
      </c>
      <c r="M2220" s="14" t="str" ph="1">
        <f>IFERROR(INDEX([1]!_born[生没年],
MATCH(I2220,[1]!_born[作],0)),"")</f>
        <v/>
      </c>
      <c r="N2220" s="14" t="str" ph="1">
        <f>IFERROR(INDEX([1]!_born[生没年],
MATCH(K2220,[1]!_born[作],0)),"")</f>
        <v/>
      </c>
      <c r="O2220" s="13" t="s" ph="1">
        <v>8324</v>
      </c>
      <c r="T2220" s="13" t="s" ph="1">
        <v>7664</v>
      </c>
    </row>
    <row r="2221" spans="1:25" ht="22.5" customHeight="1" ph="1" x14ac:dyDescent="0.35">
      <c r="C2221" s="13" t="s" ph="1">
        <v>7591</v>
      </c>
      <c r="G2221" s="13" t="s" ph="1">
        <v>4758</v>
      </c>
      <c r="H2221" s="13" t="s" ph="1">
        <v>709</v>
      </c>
      <c r="I2221" s="13" t="s" ph="1">
        <v>488</v>
      </c>
      <c r="K2221" s="13" t="s" ph="1">
        <v>8325</v>
      </c>
      <c r="L2221" s="13" t="s" ph="1">
        <v>3628</v>
      </c>
      <c r="M2221" s="14" t="str" ph="1">
        <f>IFERROR(INDEX([1]!_born[生没年],
MATCH(I2221,[1]!_born[作],0)),"")</f>
        <v/>
      </c>
      <c r="N2221" s="14" t="str" ph="1">
        <f>IFERROR(INDEX([1]!_born[生没年],
MATCH(K2221,[1]!_born[作],0)),"")</f>
        <v/>
      </c>
      <c r="O2221" s="13" t="s" ph="1">
        <v>8326</v>
      </c>
      <c r="R2221" s="16" t="s" ph="1">
        <v>1491</v>
      </c>
      <c r="T2221" s="13" t="s" ph="1">
        <v>8276</v>
      </c>
      <c r="U2221" s="16" ph="1">
        <v>37272</v>
      </c>
      <c r="V2221" s="17" ph="1">
        <f>600*1.05</f>
        <v>630</v>
      </c>
      <c r="W2221" s="17"/>
      <c r="X2221" s="13" t="s" ph="1">
        <v>3802</v>
      </c>
    </row>
    <row r="2222" spans="1:25" ht="22.5" customHeight="1" ph="1" x14ac:dyDescent="0.35">
      <c r="C2222" s="13" t="s" ph="1">
        <v>7591</v>
      </c>
      <c r="G2222" s="13" t="s" ph="1">
        <v>4758</v>
      </c>
      <c r="H2222" s="13" t="s" ph="1">
        <v>709</v>
      </c>
      <c r="I2222" s="13" t="s" ph="1">
        <v>609</v>
      </c>
      <c r="K2222" s="13" t="s" ph="1">
        <v>8327</v>
      </c>
      <c r="L2222" s="13" t="s" ph="1">
        <v>3628</v>
      </c>
      <c r="M2222" s="14" t="str" ph="1">
        <f>IFERROR(INDEX([1]!_born[生没年],
MATCH(I2222,[1]!_born[作],0)),"")</f>
        <v/>
      </c>
      <c r="N2222" s="14" t="str" ph="1">
        <f>IFERROR(INDEX([1]!_born[生没年],
MATCH(K2222,[1]!_born[作],0)),"")</f>
        <v/>
      </c>
      <c r="O2222" s="13" t="s" ph="1">
        <v>8328</v>
      </c>
      <c r="R2222" s="16" t="s" ph="1">
        <v>1492</v>
      </c>
      <c r="T2222" s="13" t="s" ph="1">
        <v>7870</v>
      </c>
    </row>
    <row r="2223" spans="1:25" ht="22.5" customHeight="1" ph="1" x14ac:dyDescent="0.35">
      <c r="C2223" s="13" t="s" ph="1">
        <v>7591</v>
      </c>
      <c r="G2223" s="13" t="s" ph="1">
        <v>4758</v>
      </c>
      <c r="H2223" s="13" t="s" ph="1">
        <v>709</v>
      </c>
      <c r="I2223" s="13" t="s" ph="1">
        <v>610</v>
      </c>
      <c r="K2223" s="13" t="s" ph="1">
        <v>8329</v>
      </c>
      <c r="L2223" s="13" t="s" ph="1">
        <v>3628</v>
      </c>
      <c r="M2223" s="14" t="str" ph="1">
        <f>IFERROR(INDEX([1]!_born[生没年],
MATCH(I2223,[1]!_born[作],0)),"")</f>
        <v/>
      </c>
      <c r="N2223" s="14" t="str" ph="1">
        <f>IFERROR(INDEX([1]!_born[生没年],
MATCH(K2223,[1]!_born[作],0)),"")</f>
        <v/>
      </c>
      <c r="O2223" s="13" t="s" ph="1">
        <v>8330</v>
      </c>
      <c r="T2223" s="13" t="s" ph="1">
        <v>5147</v>
      </c>
    </row>
    <row r="2224" spans="1:25" ht="22.5" customHeight="1" ph="1" x14ac:dyDescent="0.35">
      <c r="C2224" s="13" t="s" ph="1">
        <v>7591</v>
      </c>
      <c r="G2224" s="13" t="s" ph="1">
        <v>4758</v>
      </c>
      <c r="H2224" s="13" t="s" ph="1">
        <v>709</v>
      </c>
      <c r="I2224" s="13" t="s" ph="1">
        <v>610</v>
      </c>
      <c r="K2224" s="13" t="s" ph="1">
        <v>8331</v>
      </c>
      <c r="L2224" s="13" t="s" ph="1">
        <v>3628</v>
      </c>
      <c r="M2224" s="14" t="str" ph="1">
        <f>IFERROR(INDEX([1]!_born[生没年],
MATCH(I2224,[1]!_born[作],0)),"")</f>
        <v/>
      </c>
      <c r="N2224" s="14" t="str" ph="1">
        <f>IFERROR(INDEX([1]!_born[生没年],
MATCH(K2224,[1]!_born[作],0)),"")</f>
        <v/>
      </c>
      <c r="O2224" s="13" t="s" ph="1">
        <v>8332</v>
      </c>
      <c r="T2224" s="13" t="s" ph="1">
        <v>7664</v>
      </c>
    </row>
    <row r="2225" spans="1:25" ht="22.5" customHeight="1" ph="1" x14ac:dyDescent="0.35">
      <c r="C2225" s="13" t="s" ph="1">
        <v>7591</v>
      </c>
      <c r="D2225" s="123" ph="1">
        <v>1</v>
      </c>
      <c r="E2225" s="123" ph="1">
        <v>2</v>
      </c>
      <c r="G2225" s="13" t="s" ph="1">
        <v>4758</v>
      </c>
      <c r="H2225" s="13" t="s" ph="1">
        <v>709</v>
      </c>
      <c r="I2225" s="13" t="s" ph="1">
        <v>611</v>
      </c>
      <c r="K2225" s="13" t="s" ph="1">
        <v>8333</v>
      </c>
      <c r="L2225" s="13" t="s" ph="1">
        <v>3628</v>
      </c>
      <c r="M2225" s="14" t="str" ph="1">
        <f>IFERROR(INDEX([1]!_born[生没年],
MATCH(I2225,[1]!_born[作],0)),"")</f>
        <v/>
      </c>
      <c r="N2225" s="14" t="str" ph="1">
        <f>IFERROR(INDEX([1]!_born[生没年],
MATCH(K2225,[1]!_born[作],0)),"")</f>
        <v/>
      </c>
      <c r="O2225" s="13" t="s" ph="1">
        <v>398</v>
      </c>
      <c r="S2225" s="13" t="s" ph="1">
        <v>8334</v>
      </c>
      <c r="T2225" s="13" t="s" ph="1">
        <v>7599</v>
      </c>
    </row>
    <row r="2226" spans="1:25" ht="22.5" customHeight="1" ph="1" x14ac:dyDescent="0.35">
      <c r="C2226" s="13" t="s" ph="1">
        <v>7591</v>
      </c>
      <c r="D2226" s="123" ph="1">
        <v>2</v>
      </c>
      <c r="E2226" s="123" ph="1">
        <v>2</v>
      </c>
      <c r="G2226" s="13" t="s" ph="1">
        <v>4758</v>
      </c>
      <c r="H2226" s="13" t="s" ph="1">
        <v>709</v>
      </c>
      <c r="I2226" s="13" t="s" ph="1">
        <v>611</v>
      </c>
      <c r="K2226" s="13" t="s" ph="1">
        <v>8333</v>
      </c>
      <c r="L2226" s="13" t="s" ph="1">
        <v>3628</v>
      </c>
      <c r="M2226" s="14" t="str" ph="1">
        <f>IFERROR(INDEX([1]!_born[生没年],
MATCH(I2226,[1]!_born[作],0)),"")</f>
        <v/>
      </c>
      <c r="N2226" s="14" t="str" ph="1">
        <f>IFERROR(INDEX([1]!_born[生没年],
MATCH(K2226,[1]!_born[作],0)),"")</f>
        <v/>
      </c>
      <c r="O2226" s="13" t="s" ph="1">
        <v>398</v>
      </c>
      <c r="S2226" s="13" t="s" ph="1">
        <v>8334</v>
      </c>
      <c r="T2226" s="13" t="s" ph="1">
        <v>7599</v>
      </c>
    </row>
    <row r="2227" spans="1:25" ht="22.5" customHeight="1" ph="1" x14ac:dyDescent="0.35">
      <c r="C2227" s="13" t="s" ph="1">
        <v>7591</v>
      </c>
      <c r="G2227" s="13" t="s" ph="1">
        <v>4758</v>
      </c>
      <c r="H2227" s="13" t="s" ph="1">
        <v>709</v>
      </c>
      <c r="I2227" s="13" t="s" ph="1">
        <v>612</v>
      </c>
      <c r="K2227" s="13" t="s" ph="1">
        <v>8335</v>
      </c>
      <c r="L2227" s="13" t="s" ph="1">
        <v>3628</v>
      </c>
      <c r="M2227" s="14" t="str" ph="1">
        <f>IFERROR(INDEX([1]!_born[生没年],
MATCH(I2227,[1]!_born[作],0)),"")</f>
        <v/>
      </c>
      <c r="N2227" s="14" t="str" ph="1">
        <f>IFERROR(INDEX([1]!_born[生没年],
MATCH(K2227,[1]!_born[作],0)),"")</f>
        <v/>
      </c>
      <c r="O2227" s="13" t="s" ph="1">
        <v>8336</v>
      </c>
      <c r="T2227" s="13" t="s" ph="1">
        <v>8266</v>
      </c>
    </row>
    <row r="2228" spans="1:25" ht="22.5" customHeight="1" ph="1" x14ac:dyDescent="0.35">
      <c r="C2228" s="13" t="s" ph="1">
        <v>7591</v>
      </c>
      <c r="G2228" s="13" t="s" ph="1">
        <v>4758</v>
      </c>
      <c r="H2228" s="13" t="s" ph="1">
        <v>709</v>
      </c>
      <c r="I2228" s="13" t="s" ph="1">
        <v>613</v>
      </c>
      <c r="K2228" s="13" t="s" ph="1">
        <v>8337</v>
      </c>
      <c r="L2228" s="13" t="s" ph="1">
        <v>3628</v>
      </c>
      <c r="M2228" s="14" t="str" ph="1">
        <f>IFERROR(INDEX([1]!_born[生没年],
MATCH(I2228,[1]!_born[作],0)),"")</f>
        <v/>
      </c>
      <c r="N2228" s="14" t="str" ph="1">
        <f>IFERROR(INDEX([1]!_born[生没年],
MATCH(K2228,[1]!_born[作],0)),"")</f>
        <v/>
      </c>
      <c r="O2228" s="13" t="s" ph="1">
        <v>8338</v>
      </c>
      <c r="T2228" s="13" t="s" ph="1">
        <v>7599</v>
      </c>
    </row>
    <row r="2229" spans="1:25" ht="22.5" customHeight="1" ph="1" x14ac:dyDescent="0.35">
      <c r="A2229" s="106" t="s" ph="1">
        <v>1493</v>
      </c>
      <c r="B2229" s="5" t="s" ph="1">
        <v>1494</v>
      </c>
      <c r="C2229" s="13" t="s" ph="1">
        <v>7591</v>
      </c>
      <c r="G2229" s="13" t="s" ph="1">
        <v>4758</v>
      </c>
      <c r="H2229" s="13" t="s" ph="1">
        <v>709</v>
      </c>
      <c r="I2229" s="13" t="s" ph="1">
        <v>552</v>
      </c>
      <c r="K2229" s="13" t="s" ph="1">
        <v>8339</v>
      </c>
      <c r="L2229" s="13" t="s" ph="1">
        <v>3628</v>
      </c>
      <c r="M2229" s="14" t="str" ph="1">
        <f>IFERROR(INDEX([1]!_born[生没年],
MATCH(I2229,[1]!_born[作],0)),"")</f>
        <v/>
      </c>
      <c r="N2229" s="14" t="str" ph="1">
        <f>IFERROR(INDEX([1]!_born[生没年],
MATCH(K2229,[1]!_born[作],0)),"")</f>
        <v/>
      </c>
      <c r="O2229" s="13" t="s" ph="1">
        <v>8340</v>
      </c>
      <c r="R2229" s="16" t="s" ph="1">
        <v>1495</v>
      </c>
      <c r="T2229" s="13" t="s" ph="1">
        <v>8276</v>
      </c>
      <c r="U2229" s="16" ph="1">
        <v>38536</v>
      </c>
      <c r="V2229" s="17" ph="1">
        <f>796*1.03</f>
        <v>819.88</v>
      </c>
      <c r="W2229" s="17" ph="1">
        <v>300</v>
      </c>
      <c r="X2229" s="13" t="s" ph="1">
        <v>3792</v>
      </c>
    </row>
    <row r="2230" spans="1:25" ht="22.5" customHeight="1" ph="1" x14ac:dyDescent="0.35">
      <c r="C2230" s="13" t="s" ph="1">
        <v>7591</v>
      </c>
      <c r="G2230" s="13" t="s" ph="1">
        <v>4758</v>
      </c>
      <c r="H2230" s="13" t="s" ph="1">
        <v>709</v>
      </c>
      <c r="I2230" s="13" t="s" ph="1">
        <v>614</v>
      </c>
      <c r="K2230" s="13" t="s" ph="1">
        <v>8341</v>
      </c>
      <c r="L2230" s="13" t="s" ph="1">
        <v>3628</v>
      </c>
      <c r="M2230" s="14" t="str" ph="1">
        <f>IFERROR(INDEX([1]!_born[生没年],
MATCH(I2230,[1]!_born[作],0)),"")</f>
        <v/>
      </c>
      <c r="N2230" s="14" t="str" ph="1">
        <f>IFERROR(INDEX([1]!_born[生没年],
MATCH(K2230,[1]!_born[作],0)),"")</f>
        <v/>
      </c>
      <c r="O2230" s="13" t="s" ph="1">
        <v>8342</v>
      </c>
      <c r="R2230" s="16" t="s" ph="1">
        <v>742</v>
      </c>
      <c r="S2230" s="13" t="s" ph="1">
        <v>1496</v>
      </c>
      <c r="T2230" s="13" t="s" ph="1">
        <v>7870</v>
      </c>
    </row>
    <row r="2231" spans="1:25" ht="22.5" customHeight="1" ph="1" x14ac:dyDescent="0.35">
      <c r="C2231" s="13" t="s" ph="1">
        <v>7591</v>
      </c>
      <c r="D2231" s="123" ph="1">
        <v>1</v>
      </c>
      <c r="E2231" s="123" ph="1">
        <v>2</v>
      </c>
      <c r="G2231" s="13" t="s" ph="1">
        <v>4758</v>
      </c>
      <c r="H2231" s="13" t="s" ph="1">
        <v>1035</v>
      </c>
      <c r="I2231" s="13" t="s" ph="1">
        <v>615</v>
      </c>
      <c r="K2231" s="13" t="s" ph="1">
        <v>8343</v>
      </c>
      <c r="L2231" s="13" t="s" ph="1">
        <v>3628</v>
      </c>
      <c r="M2231" s="14" t="str" ph="1">
        <f>IFERROR(INDEX([1]!_born[生没年],
MATCH(I2231,[1]!_born[作],0)),"")</f>
        <v/>
      </c>
      <c r="N2231" s="14" t="str" ph="1">
        <f>IFERROR(INDEX([1]!_born[生没年],
MATCH(K2231,[1]!_born[作],0)),"")</f>
        <v/>
      </c>
      <c r="O2231" s="13" t="s" ph="1">
        <v>8344</v>
      </c>
      <c r="S2231" s="13" t="s" ph="1">
        <v>4103</v>
      </c>
      <c r="T2231" s="13" t="s" ph="1">
        <v>5147</v>
      </c>
      <c r="U2231" s="16" ph="1">
        <v>36638</v>
      </c>
      <c r="V2231" s="17" ph="1">
        <f>780*1.05</f>
        <v>819</v>
      </c>
      <c r="W2231" s="17" ph="1">
        <f>780*1.05</f>
        <v>819</v>
      </c>
      <c r="X2231" s="13" t="s" ph="1">
        <v>8345</v>
      </c>
    </row>
    <row r="2232" spans="1:25" ht="22.5" customHeight="1" ph="1" x14ac:dyDescent="0.35">
      <c r="C2232" s="13" t="s" ph="1">
        <v>7591</v>
      </c>
      <c r="D2232" s="123" ph="1">
        <v>2</v>
      </c>
      <c r="E2232" s="123" ph="1">
        <v>2</v>
      </c>
      <c r="G2232" s="13" t="s" ph="1">
        <v>4758</v>
      </c>
      <c r="H2232" s="13" t="s" ph="1">
        <v>1035</v>
      </c>
      <c r="I2232" s="13" t="s" ph="1">
        <v>615</v>
      </c>
      <c r="K2232" s="13" t="s" ph="1">
        <v>8343</v>
      </c>
      <c r="L2232" s="13" t="s" ph="1">
        <v>3628</v>
      </c>
      <c r="M2232" s="14" t="str" ph="1">
        <f>IFERROR(INDEX([1]!_born[生没年],
MATCH(I2232,[1]!_born[作],0)),"")</f>
        <v/>
      </c>
      <c r="N2232" s="14" t="str" ph="1">
        <f>IFERROR(INDEX([1]!_born[生没年],
MATCH(K2232,[1]!_born[作],0)),"")</f>
        <v/>
      </c>
      <c r="O2232" s="13" t="s" ph="1">
        <v>8344</v>
      </c>
      <c r="S2232" s="13" t="s" ph="1">
        <v>4103</v>
      </c>
      <c r="T2232" s="13" t="s" ph="1">
        <v>5147</v>
      </c>
      <c r="U2232" s="16" ph="1">
        <v>36638</v>
      </c>
      <c r="V2232" s="17" ph="1">
        <f>780*1.05</f>
        <v>819</v>
      </c>
      <c r="W2232" s="17" ph="1">
        <f>780*1.05</f>
        <v>819</v>
      </c>
      <c r="X2232" s="13" t="s" ph="1">
        <v>8345</v>
      </c>
    </row>
    <row r="2233" spans="1:25" ht="22.5" customHeight="1" ph="1" x14ac:dyDescent="0.35">
      <c r="C2233" s="13" t="s" ph="1">
        <v>7591</v>
      </c>
      <c r="G2233" s="13" t="s" ph="1">
        <v>4758</v>
      </c>
      <c r="H2233" s="13" t="s" ph="1">
        <v>1035</v>
      </c>
      <c r="I2233" s="13" t="s" ph="1">
        <v>615</v>
      </c>
      <c r="K2233" s="13" t="s" ph="1">
        <v>8346</v>
      </c>
      <c r="L2233" s="13" t="s" ph="1">
        <v>3628</v>
      </c>
      <c r="M2233" s="14" t="str" ph="1">
        <f>IFERROR(INDEX([1]!_born[生没年],
MATCH(I2233,[1]!_born[作],0)),"")</f>
        <v/>
      </c>
      <c r="N2233" s="14" t="str" ph="1">
        <f>IFERROR(INDEX([1]!_born[生没年],
MATCH(K2233,[1]!_born[作],0)),"")</f>
        <v/>
      </c>
      <c r="O2233" s="13" t="s" ph="1">
        <v>8347</v>
      </c>
      <c r="T2233" s="13" t="s" ph="1">
        <v>5147</v>
      </c>
    </row>
    <row r="2234" spans="1:25" ht="22.5" customHeight="1" ph="1" x14ac:dyDescent="0.35">
      <c r="C2234" s="13" t="s" ph="1">
        <v>7591</v>
      </c>
      <c r="G2234" s="13" t="s" ph="1">
        <v>4758</v>
      </c>
      <c r="H2234" s="13" t="s" ph="1">
        <v>709</v>
      </c>
      <c r="I2234" s="13" t="s" ph="1">
        <v>243</v>
      </c>
      <c r="K2234" s="13" t="s" ph="1">
        <v>8348</v>
      </c>
      <c r="L2234" s="13" t="s" ph="1">
        <v>3628</v>
      </c>
      <c r="M2234" s="14" t="str" ph="1">
        <f>IFERROR(INDEX([1]!_born[生没年],
MATCH(I2234,[1]!_born[作],0)),"")</f>
        <v/>
      </c>
      <c r="N2234" s="14" t="str" ph="1">
        <f>IFERROR(INDEX([1]!_born[生没年],
MATCH(K2234,[1]!_born[作],0)),"")</f>
        <v/>
      </c>
      <c r="O2234" s="13" t="s" ph="1">
        <v>8349</v>
      </c>
      <c r="T2234" s="13" t="s" ph="1">
        <v>5147</v>
      </c>
    </row>
    <row r="2235" spans="1:25" ht="22.5" customHeight="1" ph="1" x14ac:dyDescent="0.35">
      <c r="C2235" s="13" t="s" ph="1">
        <v>7591</v>
      </c>
      <c r="G2235" s="13" t="s" ph="1">
        <v>4758</v>
      </c>
      <c r="H2235" s="13" t="s" ph="1">
        <v>709</v>
      </c>
      <c r="I2235" s="13" t="s" ph="1">
        <v>661</v>
      </c>
      <c r="K2235" s="13" t="s" ph="1">
        <v>8350</v>
      </c>
      <c r="L2235" s="13" t="s" ph="1">
        <v>3628</v>
      </c>
      <c r="M2235" s="14" t="str" ph="1">
        <f>IFERROR(INDEX([1]!_born[生没年],
MATCH(I2235,[1]!_born[作],0)),"")</f>
        <v/>
      </c>
      <c r="N2235" s="14" t="str" ph="1">
        <f>IFERROR(INDEX([1]!_born[生没年],
MATCH(K2235,[1]!_born[作],0)),"")</f>
        <v/>
      </c>
      <c r="O2235" s="13" t="s" ph="1">
        <v>8351</v>
      </c>
      <c r="T2235" s="13" t="s" ph="1">
        <v>5147</v>
      </c>
    </row>
    <row r="2236" spans="1:25" ht="22.5" customHeight="1" ph="1" x14ac:dyDescent="0.35">
      <c r="A2236" s="106" t="s" ph="1">
        <v>2957</v>
      </c>
      <c r="B2236" s="5" t="s" ph="1">
        <v>1428</v>
      </c>
      <c r="C2236" s="13" t="s" ph="1">
        <v>7591</v>
      </c>
      <c r="G2236" s="13" t="s" ph="1">
        <v>4758</v>
      </c>
      <c r="H2236" s="13" t="s" ph="1">
        <v>43</v>
      </c>
      <c r="I2236" s="13" t="s" ph="1">
        <v>2960</v>
      </c>
      <c r="K2236" s="13" t="s" ph="1">
        <v>8352</v>
      </c>
      <c r="L2236" s="13" t="s" ph="1">
        <v>3628</v>
      </c>
      <c r="M2236" s="14" t="str" ph="1">
        <f>IFERROR(INDEX([1]!_born[生没年],
MATCH(I2236,[1]!_born[作],0)),"")</f>
        <v/>
      </c>
      <c r="N2236" s="14" t="str" ph="1">
        <f>IFERROR(INDEX([1]!_born[生没年],
MATCH(K2236,[1]!_born[作],0)),"")</f>
        <v/>
      </c>
      <c r="O2236" s="13" t="s" ph="1">
        <v>2955</v>
      </c>
      <c r="R2236" s="16" t="s" ph="1">
        <v>2958</v>
      </c>
      <c r="T2236" s="13" t="s" ph="1">
        <v>5147</v>
      </c>
      <c r="U2236" s="16" t="s" ph="1">
        <v>2956</v>
      </c>
      <c r="V2236" s="17" ph="1">
        <f>460*1.08</f>
        <v>496.8</v>
      </c>
      <c r="W2236" s="17" ph="1">
        <f>460*1.08</f>
        <v>496.8</v>
      </c>
      <c r="Y2236" s="13" t="s" ph="1">
        <v>8353</v>
      </c>
    </row>
    <row r="2237" spans="1:25" ht="22.5" customHeight="1" ph="1" x14ac:dyDescent="0.35">
      <c r="A2237" s="106" t="s" ph="1">
        <v>3099</v>
      </c>
      <c r="C2237" s="13" t="s" ph="1">
        <v>7591</v>
      </c>
      <c r="G2237" s="13" t="s" ph="1">
        <v>4758</v>
      </c>
      <c r="H2237" s="13" t="s" ph="1">
        <v>43</v>
      </c>
      <c r="I2237" s="13" t="s" ph="1">
        <v>2960</v>
      </c>
      <c r="K2237" s="13" t="s" ph="1">
        <v>8354</v>
      </c>
      <c r="L2237" s="13" t="s" ph="1">
        <v>3628</v>
      </c>
      <c r="M2237" s="14" t="str" ph="1">
        <f>IFERROR(INDEX([1]!_born[生没年],
MATCH(I2237,[1]!_born[作],0)),"")</f>
        <v/>
      </c>
      <c r="N2237" s="14" t="str" ph="1">
        <f>IFERROR(INDEX([1]!_born[生没年],
MATCH(K2237,[1]!_born[作],0)),"")</f>
        <v/>
      </c>
      <c r="O2237" s="13" t="s" ph="1">
        <v>8355</v>
      </c>
      <c r="R2237" s="16" t="s" ph="1">
        <v>3100</v>
      </c>
      <c r="S2237" s="13" t="s" ph="1">
        <v>3101</v>
      </c>
      <c r="T2237" s="13" t="s" ph="1">
        <v>7847</v>
      </c>
      <c r="U2237" s="16" ph="1">
        <v>44009</v>
      </c>
      <c r="V2237" s="17" ph="1">
        <v>180</v>
      </c>
      <c r="W2237" s="17" ph="1">
        <f>(282+557-14)*192/282</f>
        <v>561.70212765957444</v>
      </c>
      <c r="X2237" s="13" t="s" ph="1">
        <v>2874</v>
      </c>
    </row>
    <row r="2238" spans="1:25" ht="22.5" customHeight="1" ph="1" x14ac:dyDescent="0.35">
      <c r="A2238" s="106" t="s" ph="1">
        <v>3102</v>
      </c>
      <c r="C2238" s="13" t="s" ph="1">
        <v>7591</v>
      </c>
      <c r="G2238" s="13" t="s" ph="1">
        <v>4758</v>
      </c>
      <c r="H2238" s="13" t="s" ph="1">
        <v>43</v>
      </c>
      <c r="I2238" s="13" t="s" ph="1">
        <v>2960</v>
      </c>
      <c r="K2238" s="13" t="s" ph="1">
        <v>8354</v>
      </c>
      <c r="L2238" s="13" t="s" ph="1">
        <v>3628</v>
      </c>
      <c r="M2238" s="14" t="str" ph="1">
        <f>IFERROR(INDEX([1]!_born[生没年],
MATCH(I2238,[1]!_born[作],0)),"")</f>
        <v/>
      </c>
      <c r="N2238" s="14" t="str" ph="1">
        <f>IFERROR(INDEX([1]!_born[生没年],
MATCH(K2238,[1]!_born[作],0)),"")</f>
        <v/>
      </c>
      <c r="O2238" s="13" t="s" ph="1">
        <v>8356</v>
      </c>
      <c r="R2238" s="16" t="s" ph="1">
        <v>3104</v>
      </c>
      <c r="S2238" s="13" t="s" ph="1">
        <v>3103</v>
      </c>
      <c r="T2238" s="13" t="s" ph="1">
        <v>7847</v>
      </c>
      <c r="U2238" s="16" ph="1">
        <v>44009</v>
      </c>
      <c r="V2238" s="17" ph="1">
        <v>150</v>
      </c>
      <c r="W2238" s="17" ph="1">
        <f>(282+557-14)*90/282</f>
        <v>263.29787234042556</v>
      </c>
      <c r="X2238" s="13" t="s" ph="1">
        <v>2874</v>
      </c>
    </row>
    <row r="2239" spans="1:25" ht="22.5" customHeight="1" ph="1" x14ac:dyDescent="0.35">
      <c r="C2239" s="13" t="s" ph="1">
        <v>7591</v>
      </c>
      <c r="G2239" s="13" t="s" ph="1">
        <v>4758</v>
      </c>
      <c r="H2239" s="13" t="s" ph="1">
        <v>709</v>
      </c>
      <c r="I2239" s="13" t="s" ph="1">
        <v>662</v>
      </c>
      <c r="K2239" s="13" t="s" ph="1">
        <v>8357</v>
      </c>
      <c r="L2239" s="13" t="s" ph="1">
        <v>3628</v>
      </c>
      <c r="M2239" s="14" t="str" ph="1">
        <f>IFERROR(INDEX([1]!_born[生没年],
MATCH(I2239,[1]!_born[作],0)),"")</f>
        <v/>
      </c>
      <c r="N2239" s="14" t="str" ph="1">
        <f>IFERROR(INDEX([1]!_born[生没年],
MATCH(K2239,[1]!_born[作],0)),"")</f>
        <v/>
      </c>
      <c r="O2239" s="13" t="s" ph="1">
        <v>483</v>
      </c>
      <c r="T2239" s="13" t="s" ph="1">
        <v>7730</v>
      </c>
    </row>
    <row r="2240" spans="1:25" ht="22.5" customHeight="1" ph="1" x14ac:dyDescent="0.35">
      <c r="A2240" s="106" t="s" ph="1">
        <v>1497</v>
      </c>
      <c r="C2240" s="13" t="s" ph="1">
        <v>7591</v>
      </c>
      <c r="G2240" s="13" t="s" ph="1">
        <v>4758</v>
      </c>
      <c r="H2240" s="13" t="s" ph="1">
        <v>1035</v>
      </c>
      <c r="I2240" s="15" t="s" ph="1">
        <v>240</v>
      </c>
      <c r="K2240" s="13" t="s" ph="1">
        <v>5071</v>
      </c>
      <c r="L2240" s="13" t="s" ph="1">
        <v>3628</v>
      </c>
      <c r="M2240" s="14" t="str" ph="1">
        <f>IFERROR(INDEX([1]!_born[生没年],
MATCH(I2240,[1]!_born[作],0)),"")</f>
        <v/>
      </c>
      <c r="N2240" s="14" t="str" ph="1">
        <f>IFERROR(INDEX([1]!_born[生没年],
MATCH(K2240,[1]!_born[作],0)),"")</f>
        <v/>
      </c>
      <c r="O2240" s="13" t="s" ph="1">
        <v>5169</v>
      </c>
      <c r="R2240" s="16" t="s" ph="1">
        <v>1498</v>
      </c>
      <c r="S2240" s="13" t="s" ph="1">
        <v>5170</v>
      </c>
      <c r="T2240" s="13" t="s" ph="1">
        <v>8358</v>
      </c>
      <c r="U2240" s="16" ph="1">
        <v>38381</v>
      </c>
      <c r="V2240" s="17" ph="1">
        <v>1100</v>
      </c>
      <c r="W2240" s="17" ph="1">
        <v>680</v>
      </c>
      <c r="Y2240" s="13" t="s" ph="1">
        <v>8359</v>
      </c>
    </row>
    <row r="2241" spans="1:25" ht="22.5" customHeight="1" ph="1" x14ac:dyDescent="0.35">
      <c r="C2241" s="13" t="s" ph="1">
        <v>7591</v>
      </c>
      <c r="G2241" s="13" t="s" ph="1">
        <v>4758</v>
      </c>
      <c r="H2241" s="13" t="s" ph="1">
        <v>1035</v>
      </c>
      <c r="I2241" s="15" t="s" ph="1">
        <v>240</v>
      </c>
      <c r="K2241" s="13" t="s" ph="1">
        <v>8360</v>
      </c>
      <c r="L2241" s="13" t="s" ph="1">
        <v>3628</v>
      </c>
      <c r="M2241" s="14" t="str" ph="1">
        <f>IFERROR(INDEX([1]!_born[生没年],
MATCH(I2241,[1]!_born[作],0)),"")</f>
        <v/>
      </c>
      <c r="N2241" s="14" t="str" ph="1">
        <f>IFERROR(INDEX([1]!_born[生没年],
MATCH(K2241,[1]!_born[作],0)),"")</f>
        <v/>
      </c>
      <c r="O2241" s="13" t="s" ph="1">
        <v>8361</v>
      </c>
      <c r="T2241" s="13" t="s" ph="1">
        <v>5147</v>
      </c>
    </row>
    <row r="2242" spans="1:25" ht="22.5" customHeight="1" ph="1" x14ac:dyDescent="0.35">
      <c r="C2242" s="13" t="s" ph="1">
        <v>7591</v>
      </c>
      <c r="G2242" s="13" t="s" ph="1">
        <v>4758</v>
      </c>
      <c r="H2242" s="13" t="s" ph="1">
        <v>1035</v>
      </c>
      <c r="I2242" s="15" t="s" ph="1">
        <v>240</v>
      </c>
      <c r="K2242" s="13" t="s" ph="1">
        <v>7714</v>
      </c>
      <c r="L2242" s="13" t="s" ph="1">
        <v>3628</v>
      </c>
      <c r="M2242" s="14" t="str" ph="1">
        <f>IFERROR(INDEX([1]!_born[生没年],
MATCH(I2242,[1]!_born[作],0)),"")</f>
        <v/>
      </c>
      <c r="N2242" s="14" t="str" ph="1">
        <f>IFERROR(INDEX([1]!_born[生没年],
MATCH(K2242,[1]!_born[作],0)),"")</f>
        <v/>
      </c>
      <c r="O2242" s="13" t="s" ph="1">
        <v>8362</v>
      </c>
      <c r="T2242" s="13" t="s" ph="1">
        <v>5147</v>
      </c>
      <c r="U2242" s="16" ph="1">
        <v>36100</v>
      </c>
      <c r="V2242" s="17" ph="1">
        <v>480</v>
      </c>
      <c r="W2242" s="17" ph="1">
        <v>680</v>
      </c>
      <c r="X2242" s="13" t="s" ph="1">
        <v>8363</v>
      </c>
    </row>
    <row r="2243" spans="1:25" ht="22.5" customHeight="1" ph="1" x14ac:dyDescent="0.35">
      <c r="C2243" s="13" t="s" ph="1">
        <v>7591</v>
      </c>
      <c r="G2243" s="13" t="s" ph="1">
        <v>4758</v>
      </c>
      <c r="H2243" s="13" t="s" ph="1">
        <v>1035</v>
      </c>
      <c r="I2243" s="13" t="s" ph="1">
        <v>376</v>
      </c>
      <c r="K2243" s="13" t="s" ph="1">
        <v>4828</v>
      </c>
      <c r="L2243" s="13" t="s" ph="1">
        <v>3628</v>
      </c>
      <c r="M2243" s="14" t="str" ph="1">
        <f>IFERROR(INDEX([1]!_born[生没年],
MATCH(I2243,[1]!_born[作],0)),"")</f>
        <v/>
      </c>
      <c r="N2243" s="14" t="str" ph="1">
        <f>IFERROR(INDEX([1]!_born[生没年],
MATCH(K2243,[1]!_born[作],0)),"")</f>
        <v/>
      </c>
      <c r="O2243" s="13" t="s" ph="1">
        <v>8364</v>
      </c>
      <c r="T2243" s="13" t="s" ph="1">
        <v>5147</v>
      </c>
    </row>
    <row r="2244" spans="1:25" ht="22.5" customHeight="1" ph="1" x14ac:dyDescent="0.35">
      <c r="C2244" s="13" t="s" ph="1">
        <v>7591</v>
      </c>
      <c r="G2244" s="13" t="s" ph="1">
        <v>4758</v>
      </c>
      <c r="H2244" s="13" t="s" ph="1">
        <v>709</v>
      </c>
      <c r="I2244" s="13" t="s" ph="1">
        <v>570</v>
      </c>
      <c r="K2244" s="13" t="s" ph="1">
        <v>8365</v>
      </c>
      <c r="L2244" s="13" t="s" ph="1">
        <v>3628</v>
      </c>
      <c r="M2244" s="14" t="str" ph="1">
        <f>IFERROR(INDEX([1]!_born[生没年],
MATCH(I2244,[1]!_born[作],0)),"")</f>
        <v/>
      </c>
      <c r="N2244" s="14" t="str" ph="1">
        <f>IFERROR(INDEX([1]!_born[生没年],
MATCH(K2244,[1]!_born[作],0)),"")</f>
        <v/>
      </c>
      <c r="O2244" s="13" t="s" ph="1">
        <v>8366</v>
      </c>
      <c r="T2244" s="13" t="s" ph="1">
        <v>7599</v>
      </c>
      <c r="U2244" s="16" ph="1">
        <v>36807</v>
      </c>
      <c r="V2244" s="17" ph="1">
        <v>410</v>
      </c>
      <c r="W2244" s="17" ph="1">
        <v>0</v>
      </c>
      <c r="X2244" s="13" t="s" ph="1">
        <v>3622</v>
      </c>
      <c r="Y2244" s="13" t="s" ph="1">
        <v>3623</v>
      </c>
    </row>
    <row r="2245" spans="1:25" ht="22.5" customHeight="1" ph="1" x14ac:dyDescent="0.35">
      <c r="C2245" s="13" t="s" ph="1">
        <v>7591</v>
      </c>
      <c r="G2245" s="13" t="s" ph="1">
        <v>4758</v>
      </c>
      <c r="H2245" s="13" t="s" ph="1">
        <v>709</v>
      </c>
      <c r="I2245" s="13" t="s" ph="1">
        <v>254</v>
      </c>
      <c r="K2245" s="13" t="s" ph="1">
        <v>8367</v>
      </c>
      <c r="L2245" s="13" t="s" ph="1">
        <v>3628</v>
      </c>
      <c r="M2245" s="14" t="str" ph="1">
        <f>IFERROR(INDEX([1]!_born[生没年],
MATCH(I2245,[1]!_born[作],0)),"")</f>
        <v/>
      </c>
      <c r="N2245" s="14" t="str" ph="1">
        <f>IFERROR(INDEX([1]!_born[生没年],
MATCH(K2245,[1]!_born[作],0)),"")</f>
        <v/>
      </c>
      <c r="O2245" s="13" t="s" ph="1">
        <v>8368</v>
      </c>
      <c r="R2245" s="16" t="s" ph="1">
        <v>1499</v>
      </c>
      <c r="T2245" s="13" t="s" ph="1">
        <v>8276</v>
      </c>
    </row>
    <row r="2246" spans="1:25" ht="22.5" customHeight="1" ph="1" x14ac:dyDescent="0.35">
      <c r="C2246" s="13" t="s" ph="1">
        <v>7591</v>
      </c>
      <c r="G2246" s="13" t="s" ph="1">
        <v>4597</v>
      </c>
      <c r="H2246" s="13" t="s" ph="1">
        <v>709</v>
      </c>
      <c r="I2246" s="13" t="s" ph="1">
        <v>377</v>
      </c>
      <c r="K2246" s="13" t="s" ph="1">
        <v>8369</v>
      </c>
      <c r="L2246" s="13" t="s" ph="1">
        <v>3628</v>
      </c>
      <c r="M2246" s="14" t="str" ph="1">
        <f>IFERROR(INDEX([1]!_born[生没年],
MATCH(I2246,[1]!_born[作],0)),"")</f>
        <v/>
      </c>
      <c r="N2246" s="14" t="str" ph="1">
        <f>IFERROR(INDEX([1]!_born[生没年],
MATCH(K2246,[1]!_born[作],0)),"")</f>
        <v/>
      </c>
      <c r="O2246" s="13" t="s" ph="1">
        <v>8370</v>
      </c>
      <c r="R2246" s="16" t="s" ph="1">
        <v>804</v>
      </c>
      <c r="T2246" s="13" t="s" ph="1">
        <v>8276</v>
      </c>
    </row>
    <row r="2247" spans="1:25" ht="22.5" customHeight="1" ph="1" x14ac:dyDescent="0.35">
      <c r="C2247" s="13" t="s" ph="1">
        <v>7591</v>
      </c>
      <c r="G2247" s="13" t="s" ph="1">
        <v>4758</v>
      </c>
      <c r="H2247" s="13" t="s" ph="1">
        <v>709</v>
      </c>
      <c r="I2247" s="13" t="s" ph="1">
        <v>400</v>
      </c>
      <c r="K2247" s="13" t="s" ph="1">
        <v>8371</v>
      </c>
      <c r="L2247" s="13" t="s" ph="1">
        <v>3628</v>
      </c>
      <c r="M2247" s="14" t="str" ph="1">
        <f>IFERROR(INDEX([1]!_born[生没年],
MATCH(I2247,[1]!_born[作],0)),"")</f>
        <v/>
      </c>
      <c r="N2247" s="14" t="str" ph="1">
        <f>IFERROR(INDEX([1]!_born[生没年],
MATCH(K2247,[1]!_born[作],0)),"")</f>
        <v/>
      </c>
      <c r="O2247" s="13" t="s" ph="1">
        <v>8372</v>
      </c>
      <c r="T2247" s="13" t="s" ph="1">
        <v>7614</v>
      </c>
    </row>
    <row r="2248" spans="1:25" ht="22.5" customHeight="1" ph="1" x14ac:dyDescent="0.35">
      <c r="C2248" s="13" t="s" ph="1">
        <v>7591</v>
      </c>
      <c r="G2248" s="13" t="s" ph="1">
        <v>4758</v>
      </c>
      <c r="H2248" s="13" t="s" ph="1">
        <v>709</v>
      </c>
      <c r="I2248" s="13" t="s" ph="1">
        <v>400</v>
      </c>
      <c r="K2248" s="13" t="s" ph="1">
        <v>8373</v>
      </c>
      <c r="L2248" s="13" t="s" ph="1">
        <v>3628</v>
      </c>
      <c r="M2248" s="14" t="str" ph="1">
        <f>IFERROR(INDEX([1]!_born[生没年],
MATCH(I2248,[1]!_born[作],0)),"")</f>
        <v/>
      </c>
      <c r="N2248" s="14" t="str" ph="1">
        <f>IFERROR(INDEX([1]!_born[生没年],
MATCH(K2248,[1]!_born[作],0)),"")</f>
        <v/>
      </c>
      <c r="O2248" s="13" t="s" ph="1">
        <v>8374</v>
      </c>
      <c r="T2248" s="13" t="s" ph="1">
        <v>5147</v>
      </c>
    </row>
    <row r="2249" spans="1:25" ht="22.5" customHeight="1" ph="1" x14ac:dyDescent="0.35">
      <c r="A2249" s="106" t="s" ph="1">
        <v>1500</v>
      </c>
      <c r="B2249" s="5" t="s" ph="1">
        <v>1484</v>
      </c>
      <c r="C2249" s="13" t="s" ph="1">
        <v>7591</v>
      </c>
      <c r="D2249" s="123" ph="1">
        <v>1</v>
      </c>
      <c r="E2249" s="123" ph="1">
        <v>3</v>
      </c>
      <c r="G2249" s="13" t="s" ph="1">
        <v>4758</v>
      </c>
      <c r="H2249" s="13" t="s" ph="1">
        <v>709</v>
      </c>
      <c r="I2249" s="13" t="s" ph="1">
        <v>400</v>
      </c>
      <c r="K2249" s="13" t="s" ph="1">
        <v>8375</v>
      </c>
      <c r="L2249" s="13" t="s" ph="1">
        <v>3628</v>
      </c>
      <c r="M2249" s="14" t="str" ph="1">
        <f>IFERROR(INDEX([1]!_born[生没年],
MATCH(I2249,[1]!_born[作],0)),"")</f>
        <v/>
      </c>
      <c r="N2249" s="14" t="str" ph="1">
        <f>IFERROR(INDEX([1]!_born[生没年],
MATCH(K2249,[1]!_born[作],0)),"")</f>
        <v/>
      </c>
      <c r="O2249" s="13" t="s" ph="1">
        <v>342</v>
      </c>
      <c r="R2249" s="16" t="s" ph="1">
        <v>1485</v>
      </c>
      <c r="T2249" s="13" t="s" ph="1">
        <v>7649</v>
      </c>
      <c r="U2249" s="16" t="s" ph="1">
        <v>1501</v>
      </c>
    </row>
    <row r="2250" spans="1:25" ht="22.5" customHeight="1" ph="1" x14ac:dyDescent="0.35">
      <c r="A2250" s="106" t="s" ph="1">
        <v>1502</v>
      </c>
      <c r="B2250" s="5" t="s" ph="1">
        <v>1484</v>
      </c>
      <c r="C2250" s="13" t="s" ph="1">
        <v>7591</v>
      </c>
      <c r="D2250" s="123" ph="1">
        <v>2</v>
      </c>
      <c r="E2250" s="123" ph="1">
        <v>3</v>
      </c>
      <c r="G2250" s="13" t="s" ph="1">
        <v>4758</v>
      </c>
      <c r="H2250" s="13" t="s" ph="1">
        <v>709</v>
      </c>
      <c r="I2250" s="13" t="s" ph="1">
        <v>400</v>
      </c>
      <c r="K2250" s="13" t="s" ph="1">
        <v>8375</v>
      </c>
      <c r="L2250" s="13" t="s" ph="1">
        <v>3628</v>
      </c>
      <c r="M2250" s="14" t="str" ph="1">
        <f>IFERROR(INDEX([1]!_born[生没年],
MATCH(I2250,[1]!_born[作],0)),"")</f>
        <v/>
      </c>
      <c r="N2250" s="14" t="str" ph="1">
        <f>IFERROR(INDEX([1]!_born[生没年],
MATCH(K2250,[1]!_born[作],0)),"")</f>
        <v/>
      </c>
      <c r="O2250" s="13" t="s" ph="1">
        <v>341</v>
      </c>
      <c r="R2250" s="16" t="s" ph="1">
        <v>1485</v>
      </c>
      <c r="T2250" s="13" t="s" ph="1">
        <v>7649</v>
      </c>
      <c r="U2250" s="16" t="s" ph="1">
        <v>1501</v>
      </c>
      <c r="V2250" s="17" ph="1">
        <f>1200*1.05</f>
        <v>1260</v>
      </c>
      <c r="W2250" s="17" ph="1">
        <f>1200*1.05</f>
        <v>1260</v>
      </c>
    </row>
    <row r="2251" spans="1:25" ht="22.5" customHeight="1" ph="1" x14ac:dyDescent="0.35">
      <c r="A2251" s="106" t="s" ph="1">
        <v>1503</v>
      </c>
      <c r="B2251" s="5" t="s" ph="1">
        <v>1484</v>
      </c>
      <c r="C2251" s="13" t="s" ph="1">
        <v>7591</v>
      </c>
      <c r="D2251" s="123" ph="1">
        <v>3</v>
      </c>
      <c r="E2251" s="123" ph="1">
        <v>3</v>
      </c>
      <c r="G2251" s="13" t="s" ph="1">
        <v>4758</v>
      </c>
      <c r="H2251" s="13" t="s" ph="1">
        <v>709</v>
      </c>
      <c r="I2251" s="13" t="s" ph="1">
        <v>400</v>
      </c>
      <c r="K2251" s="13" t="s" ph="1">
        <v>8375</v>
      </c>
      <c r="L2251" s="13" t="s" ph="1">
        <v>3628</v>
      </c>
      <c r="M2251" s="14" t="str" ph="1">
        <f>IFERROR(INDEX([1]!_born[生没年],
MATCH(I2251,[1]!_born[作],0)),"")</f>
        <v/>
      </c>
      <c r="N2251" s="14" t="str" ph="1">
        <f>IFERROR(INDEX([1]!_born[生没年],
MATCH(K2251,[1]!_born[作],0)),"")</f>
        <v/>
      </c>
      <c r="O2251" s="13" t="s" ph="1">
        <v>343</v>
      </c>
      <c r="R2251" s="16" t="s" ph="1">
        <v>1485</v>
      </c>
      <c r="T2251" s="13" t="s" ph="1">
        <v>7649</v>
      </c>
      <c r="U2251" s="16" t="s" ph="1">
        <v>1501</v>
      </c>
      <c r="V2251" s="17" ph="1">
        <f>1300*1.05</f>
        <v>1365</v>
      </c>
      <c r="W2251" s="17" ph="1">
        <f>1200*1.05</f>
        <v>1260</v>
      </c>
    </row>
    <row r="2252" spans="1:25" ht="22.5" customHeight="1" ph="1" x14ac:dyDescent="0.35">
      <c r="C2252" s="13" t="s" ph="1">
        <v>7591</v>
      </c>
      <c r="G2252" s="13" t="s" ph="1">
        <v>4758</v>
      </c>
      <c r="H2252" s="13" t="s" ph="1">
        <v>709</v>
      </c>
      <c r="I2252" s="13" t="s" ph="1">
        <v>620</v>
      </c>
      <c r="K2252" s="13" t="s" ph="1">
        <v>8376</v>
      </c>
      <c r="L2252" s="13" t="s" ph="1">
        <v>3628</v>
      </c>
      <c r="M2252" s="14" t="str" ph="1">
        <f>IFERROR(INDEX([1]!_born[生没年],
MATCH(I2252,[1]!_born[作],0)),"")</f>
        <v/>
      </c>
      <c r="N2252" s="14" t="str" ph="1">
        <f>IFERROR(INDEX([1]!_born[生没年],
MATCH(K2252,[1]!_born[作],0)),"")</f>
        <v/>
      </c>
      <c r="R2252" s="16" t="s" ph="1">
        <v>1504</v>
      </c>
      <c r="S2252" s="13" t="s" ph="1">
        <v>8377</v>
      </c>
      <c r="T2252" s="13" t="s" ph="1">
        <v>7870</v>
      </c>
      <c r="U2252" s="16" ph="1">
        <v>38536</v>
      </c>
      <c r="V2252" s="17" ph="1">
        <v>300</v>
      </c>
      <c r="W2252" s="17" ph="1">
        <v>150</v>
      </c>
      <c r="X2252" s="13" t="s" ph="1">
        <v>3792</v>
      </c>
    </row>
    <row r="2253" spans="1:25" ht="22.5" customHeight="1" ph="1" x14ac:dyDescent="0.35">
      <c r="C2253" s="13" t="s" ph="1">
        <v>7591</v>
      </c>
      <c r="G2253" s="13" t="s" ph="1">
        <v>4758</v>
      </c>
      <c r="H2253" s="13" t="s" ph="1">
        <v>709</v>
      </c>
      <c r="I2253" s="13" t="s" ph="1">
        <v>620</v>
      </c>
      <c r="K2253" s="13" t="s" ph="1">
        <v>8376</v>
      </c>
      <c r="L2253" s="13" t="s" ph="1">
        <v>3628</v>
      </c>
      <c r="M2253" s="14" t="str" ph="1">
        <f>IFERROR(INDEX([1]!_born[生没年],
MATCH(I2253,[1]!_born[作],0)),"")</f>
        <v/>
      </c>
      <c r="N2253" s="14" t="str" ph="1">
        <f>IFERROR(INDEX([1]!_born[生没年],
MATCH(K2253,[1]!_born[作],0)),"")</f>
        <v/>
      </c>
      <c r="O2253" s="13" t="s" ph="1">
        <v>8378</v>
      </c>
      <c r="T2253" s="13" t="s" ph="1">
        <v>7870</v>
      </c>
    </row>
    <row r="2254" spans="1:25" ht="22.5" customHeight="1" ph="1" x14ac:dyDescent="0.35">
      <c r="C2254" s="13" t="s" ph="1">
        <v>7591</v>
      </c>
      <c r="G2254" s="13" t="s" ph="1">
        <v>4758</v>
      </c>
      <c r="H2254" s="13" t="s" ph="1">
        <v>709</v>
      </c>
      <c r="I2254" s="13" t="s" ph="1">
        <v>620</v>
      </c>
      <c r="K2254" s="13" t="s" ph="1">
        <v>8379</v>
      </c>
      <c r="L2254" s="13" t="s" ph="1">
        <v>3628</v>
      </c>
      <c r="M2254" s="14" t="str" ph="1">
        <f>IFERROR(INDEX([1]!_born[生没年],
MATCH(I2254,[1]!_born[作],0)),"")</f>
        <v/>
      </c>
      <c r="N2254" s="14" t="str" ph="1">
        <f>IFERROR(INDEX([1]!_born[生没年],
MATCH(K2254,[1]!_born[作],0)),"")</f>
        <v/>
      </c>
      <c r="O2254" s="13" t="s" ph="1">
        <v>8380</v>
      </c>
      <c r="T2254" s="13" t="s" ph="1">
        <v>8276</v>
      </c>
      <c r="Y2254" s="13" t="s" ph="1">
        <v>8381</v>
      </c>
    </row>
    <row r="2255" spans="1:25" ht="22.5" customHeight="1" ph="1" x14ac:dyDescent="0.35">
      <c r="C2255" s="13" t="s" ph="1">
        <v>7591</v>
      </c>
      <c r="G2255" s="13" t="s" ph="1">
        <v>7759</v>
      </c>
      <c r="H2255" s="13" t="s" ph="1">
        <v>709</v>
      </c>
      <c r="I2255" s="13" t="s" ph="1">
        <v>621</v>
      </c>
      <c r="K2255" s="13" t="s" ph="1">
        <v>8382</v>
      </c>
      <c r="L2255" s="13" t="s" ph="1">
        <v>3628</v>
      </c>
      <c r="M2255" s="14" t="str" ph="1">
        <f>IFERROR(INDEX([1]!_born[生没年],
MATCH(I2255,[1]!_born[作],0)),"")</f>
        <v/>
      </c>
      <c r="N2255" s="14" t="str" ph="1">
        <f>IFERROR(INDEX([1]!_born[生没年],
MATCH(K2255,[1]!_born[作],0)),"")</f>
        <v/>
      </c>
      <c r="O2255" s="13" t="s" ph="1">
        <v>8383</v>
      </c>
      <c r="R2255" s="16" t="s" ph="1">
        <v>1505</v>
      </c>
      <c r="T2255" s="13" t="s" ph="1">
        <v>7599</v>
      </c>
    </row>
    <row r="2256" spans="1:25" ht="22.5" customHeight="1" ph="1" x14ac:dyDescent="0.35">
      <c r="C2256" s="13" t="s" ph="1">
        <v>7591</v>
      </c>
      <c r="D2256" s="123" ph="1">
        <v>1</v>
      </c>
      <c r="E2256" s="123" ph="1">
        <v>2</v>
      </c>
      <c r="G2256" s="13" t="s" ph="1">
        <v>4758</v>
      </c>
      <c r="H2256" s="13" t="s" ph="1">
        <v>1035</v>
      </c>
      <c r="I2256" s="13" t="s" ph="1">
        <v>8384</v>
      </c>
      <c r="K2256" s="13" t="s" ph="1">
        <v>5071</v>
      </c>
      <c r="L2256" s="13" t="s" ph="1">
        <v>3628</v>
      </c>
      <c r="M2256" s="14" t="str" ph="1">
        <f>IFERROR(INDEX([1]!_born[生没年],
MATCH(I2256,[1]!_born[作],0)),"")</f>
        <v/>
      </c>
      <c r="N2256" s="14" t="str" ph="1">
        <f>IFERROR(INDEX([1]!_born[生没年],
MATCH(K2256,[1]!_born[作],0)),"")</f>
        <v/>
      </c>
      <c r="O2256" s="13" t="s" ph="1">
        <v>8385</v>
      </c>
      <c r="S2256" s="13" t="s" ph="1">
        <v>4103</v>
      </c>
      <c r="T2256" s="13" t="s" ph="1">
        <v>7375</v>
      </c>
    </row>
    <row r="2257" spans="1:25" ht="22.5" customHeight="1" ph="1" x14ac:dyDescent="0.35">
      <c r="C2257" s="13" t="s" ph="1">
        <v>7591</v>
      </c>
      <c r="D2257" s="123" ph="1">
        <v>2</v>
      </c>
      <c r="E2257" s="123" ph="1">
        <v>2</v>
      </c>
      <c r="G2257" s="13" t="s" ph="1">
        <v>4758</v>
      </c>
      <c r="H2257" s="13" t="s" ph="1">
        <v>1035</v>
      </c>
      <c r="I2257" s="13" t="s" ph="1">
        <v>8384</v>
      </c>
      <c r="K2257" s="13" t="s" ph="1">
        <v>5071</v>
      </c>
      <c r="L2257" s="13" t="s" ph="1">
        <v>3628</v>
      </c>
      <c r="M2257" s="14" t="str" ph="1">
        <f>IFERROR(INDEX([1]!_born[生没年],
MATCH(I2257,[1]!_born[作],0)),"")</f>
        <v/>
      </c>
      <c r="N2257" s="14" t="str" ph="1">
        <f>IFERROR(INDEX([1]!_born[生没年],
MATCH(K2257,[1]!_born[作],0)),"")</f>
        <v/>
      </c>
      <c r="O2257" s="13" t="s" ph="1">
        <v>8385</v>
      </c>
      <c r="S2257" s="13" t="s" ph="1">
        <v>4103</v>
      </c>
      <c r="T2257" s="13" t="s" ph="1">
        <v>7375</v>
      </c>
    </row>
    <row r="2258" spans="1:25" ht="22.5" customHeight="1" ph="1" x14ac:dyDescent="0.35">
      <c r="C2258" s="13" t="s" ph="1">
        <v>7591</v>
      </c>
      <c r="D2258" s="123" ph="1">
        <v>1</v>
      </c>
      <c r="E2258" s="123" ph="1">
        <v>2</v>
      </c>
      <c r="G2258" s="13" t="s" ph="1">
        <v>4758</v>
      </c>
      <c r="H2258" s="13" t="s" ph="1">
        <v>1035</v>
      </c>
      <c r="I2258" s="13" t="s" ph="1">
        <v>272</v>
      </c>
      <c r="K2258" s="13" t="s" ph="1">
        <v>8386</v>
      </c>
      <c r="L2258" s="13" t="s" ph="1">
        <v>3628</v>
      </c>
      <c r="M2258" s="14" t="str" ph="1">
        <f>IFERROR(INDEX([1]!_born[生没年],
MATCH(I2258,[1]!_born[作],0)),"")</f>
        <v/>
      </c>
      <c r="N2258" s="14" t="str" ph="1">
        <f>IFERROR(INDEX([1]!_born[生没年],
MATCH(K2258,[1]!_born[作],0)),"")</f>
        <v/>
      </c>
      <c r="O2258" s="13" t="s" ph="1">
        <v>8387</v>
      </c>
      <c r="R2258" s="16" t="s" ph="1">
        <v>1506</v>
      </c>
      <c r="U2258" s="16" ph="1">
        <v>37556</v>
      </c>
      <c r="V2258" s="17" ph="1">
        <f>700*2</f>
        <v>1400</v>
      </c>
      <c r="W2258" s="17" ph="1">
        <v>900</v>
      </c>
      <c r="X2258" s="13" t="s" ph="1">
        <v>5812</v>
      </c>
    </row>
    <row r="2259" spans="1:25" ht="22.5" customHeight="1" ph="1" x14ac:dyDescent="0.35">
      <c r="C2259" s="13" t="s" ph="1">
        <v>7591</v>
      </c>
      <c r="D2259" s="123" ph="1">
        <v>2</v>
      </c>
      <c r="E2259" s="123" ph="1">
        <v>2</v>
      </c>
      <c r="G2259" s="13" t="s" ph="1">
        <v>4758</v>
      </c>
      <c r="H2259" s="13" t="s" ph="1">
        <v>1035</v>
      </c>
      <c r="I2259" s="13" t="s" ph="1">
        <v>272</v>
      </c>
      <c r="K2259" s="13" t="s" ph="1">
        <v>8386</v>
      </c>
      <c r="L2259" s="13" t="s" ph="1">
        <v>3628</v>
      </c>
      <c r="M2259" s="14" t="str" ph="1">
        <f>IFERROR(INDEX([1]!_born[生没年],
MATCH(I2259,[1]!_born[作],0)),"")</f>
        <v/>
      </c>
      <c r="N2259" s="14" t="str" ph="1">
        <f>IFERROR(INDEX([1]!_born[生没年],
MATCH(K2259,[1]!_born[作],0)),"")</f>
        <v/>
      </c>
      <c r="O2259" s="13" t="s" ph="1">
        <v>8387</v>
      </c>
      <c r="R2259" s="16" t="s" ph="1">
        <v>1506</v>
      </c>
      <c r="U2259" s="16" ph="1">
        <v>37556</v>
      </c>
      <c r="V2259" s="17" ph="1">
        <f>700*2</f>
        <v>1400</v>
      </c>
      <c r="W2259" s="17" ph="1">
        <v>900</v>
      </c>
      <c r="X2259" s="13" t="s" ph="1">
        <v>5812</v>
      </c>
    </row>
    <row r="2260" spans="1:25" ht="22.5" customHeight="1" ph="1" x14ac:dyDescent="0.35">
      <c r="C2260" s="13" t="s" ph="1">
        <v>7591</v>
      </c>
      <c r="G2260" s="13" t="s" ph="1">
        <v>4758</v>
      </c>
      <c r="H2260" s="13" t="s" ph="1">
        <v>709</v>
      </c>
      <c r="I2260" s="13" t="s" ph="1">
        <v>503</v>
      </c>
      <c r="K2260" s="13" t="s" ph="1">
        <v>8388</v>
      </c>
      <c r="L2260" s="13" t="s" ph="1">
        <v>3628</v>
      </c>
      <c r="M2260" s="14" t="str" ph="1">
        <f>IFERROR(INDEX([1]!_born[生没年],
MATCH(I2260,[1]!_born[作],0)),"")</f>
        <v/>
      </c>
      <c r="N2260" s="14" t="str" ph="1">
        <f>IFERROR(INDEX([1]!_born[生没年],
MATCH(K2260,[1]!_born[作],0)),"")</f>
        <v/>
      </c>
      <c r="O2260" s="13" t="s" ph="1">
        <v>8389</v>
      </c>
      <c r="R2260" s="16" t="s" ph="1">
        <v>764</v>
      </c>
      <c r="T2260" s="13" t="s" ph="1">
        <v>8276</v>
      </c>
    </row>
    <row r="2261" spans="1:25" ht="22.5" customHeight="1" ph="1" x14ac:dyDescent="0.35">
      <c r="C2261" s="13" t="s" ph="1">
        <v>7591</v>
      </c>
      <c r="G2261" s="13" t="s" ph="1">
        <v>4758</v>
      </c>
      <c r="H2261" s="13" t="s" ph="1">
        <v>709</v>
      </c>
      <c r="I2261" s="13" t="s" ph="1">
        <v>504</v>
      </c>
      <c r="K2261" s="13" t="s" ph="1">
        <v>8390</v>
      </c>
      <c r="L2261" s="13" t="s" ph="1">
        <v>3628</v>
      </c>
      <c r="M2261" s="14" t="str" ph="1">
        <f>IFERROR(INDEX([1]!_born[生没年],
MATCH(I2261,[1]!_born[作],0)),"")</f>
        <v/>
      </c>
      <c r="N2261" s="14" t="str" ph="1">
        <f>IFERROR(INDEX([1]!_born[生没年],
MATCH(K2261,[1]!_born[作],0)),"")</f>
        <v/>
      </c>
      <c r="O2261" s="13" t="s" ph="1">
        <v>8391</v>
      </c>
      <c r="R2261" s="16" t="s" ph="1">
        <v>800</v>
      </c>
      <c r="T2261" s="13" t="s" ph="1">
        <v>8276</v>
      </c>
    </row>
    <row r="2262" spans="1:25" ht="22.5" customHeight="1" ph="1" x14ac:dyDescent="0.35">
      <c r="C2262" s="13" t="s" ph="1">
        <v>7591</v>
      </c>
      <c r="G2262" s="13" t="s" ph="1">
        <v>4758</v>
      </c>
      <c r="H2262" s="13" t="s" ph="1">
        <v>709</v>
      </c>
      <c r="I2262" s="13" t="s" ph="1">
        <v>505</v>
      </c>
      <c r="K2262" s="13" t="s" ph="1">
        <v>8392</v>
      </c>
      <c r="L2262" s="13" t="s" ph="1">
        <v>3628</v>
      </c>
      <c r="M2262" s="14" t="str" ph="1">
        <f>IFERROR(INDEX([1]!_born[生没年],
MATCH(I2262,[1]!_born[作],0)),"")</f>
        <v/>
      </c>
      <c r="N2262" s="14" t="str" ph="1">
        <f>IFERROR(INDEX([1]!_born[生没年],
MATCH(K2262,[1]!_born[作],0)),"")</f>
        <v/>
      </c>
      <c r="O2262" s="13" t="s" ph="1">
        <v>8393</v>
      </c>
      <c r="T2262" s="13" t="s" ph="1">
        <v>8276</v>
      </c>
    </row>
    <row r="2263" spans="1:25" ht="22.5" customHeight="1" ph="1" x14ac:dyDescent="0.35">
      <c r="C2263" s="13" t="s" ph="1">
        <v>7591</v>
      </c>
      <c r="G2263" s="13" t="s" ph="1">
        <v>4758</v>
      </c>
      <c r="H2263" s="13" t="s" ph="1">
        <v>1035</v>
      </c>
      <c r="I2263" s="13" t="s" ph="1">
        <v>557</v>
      </c>
      <c r="K2263" s="13" t="s" ph="1">
        <v>7714</v>
      </c>
      <c r="L2263" s="13" t="s" ph="1">
        <v>3628</v>
      </c>
      <c r="M2263" s="14" t="str" ph="1">
        <f>IFERROR(INDEX([1]!_born[生没年],
MATCH(I2263,[1]!_born[作],0)),"")</f>
        <v/>
      </c>
      <c r="N2263" s="14" t="str" ph="1">
        <f>IFERROR(INDEX([1]!_born[生没年],
MATCH(K2263,[1]!_born[作],0)),"")</f>
        <v/>
      </c>
      <c r="O2263" s="13" t="s" ph="1">
        <v>8394</v>
      </c>
      <c r="R2263" s="16" t="s" ph="1">
        <v>1507</v>
      </c>
      <c r="T2263" s="13" t="s" ph="1">
        <v>5147</v>
      </c>
      <c r="Y2263" s="13" t="s" ph="1">
        <v>8035</v>
      </c>
    </row>
    <row r="2264" spans="1:25" ht="22.5" customHeight="1" ph="1" x14ac:dyDescent="0.35">
      <c r="A2264" s="106" t="s" ph="1">
        <v>1508</v>
      </c>
      <c r="B2264" s="5" t="s" ph="1">
        <v>1484</v>
      </c>
      <c r="C2264" s="13" t="s" ph="1">
        <v>7591</v>
      </c>
      <c r="G2264" s="13" t="s" ph="1">
        <v>4758</v>
      </c>
      <c r="H2264" s="13" t="s" ph="1">
        <v>1035</v>
      </c>
      <c r="I2264" s="13" t="s" ph="1">
        <v>194</v>
      </c>
      <c r="K2264" s="13" t="s" ph="1">
        <v>5056</v>
      </c>
      <c r="L2264" s="13" t="s" ph="1">
        <v>3628</v>
      </c>
      <c r="M2264" s="14" t="str" ph="1">
        <f>IFERROR(INDEX([1]!_born[生没年],
MATCH(I2264,[1]!_born[作],0)),"")</f>
        <v/>
      </c>
      <c r="N2264" s="14" t="str" ph="1">
        <f>IFERROR(INDEX([1]!_born[生没年],
MATCH(K2264,[1]!_born[作],0)),"")</f>
        <v/>
      </c>
      <c r="O2264" s="13" t="s" ph="1">
        <v>8395</v>
      </c>
      <c r="R2264" s="16" t="s" ph="1">
        <v>1492</v>
      </c>
      <c r="T2264" s="13" t="s" ph="1">
        <v>8396</v>
      </c>
      <c r="U2264" s="16" ph="1">
        <v>38897</v>
      </c>
      <c r="V2264" s="17" ph="1">
        <v>520</v>
      </c>
      <c r="W2264" s="17" ph="1">
        <v>730</v>
      </c>
      <c r="X2264" s="13" t="s" ph="1">
        <v>3792</v>
      </c>
      <c r="Y2264" s="13" t="s" ph="1">
        <v>7680</v>
      </c>
    </row>
    <row r="2265" spans="1:25" ht="22.5" customHeight="1" ph="1" x14ac:dyDescent="0.35">
      <c r="A2265" s="106" t="s" ph="1">
        <v>1509</v>
      </c>
      <c r="B2265" s="5" t="s" ph="1">
        <v>1484</v>
      </c>
      <c r="C2265" s="13" t="s" ph="1">
        <v>7591</v>
      </c>
      <c r="G2265" s="13" t="s" ph="1">
        <v>4758</v>
      </c>
      <c r="H2265" s="13" t="s" ph="1">
        <v>1035</v>
      </c>
      <c r="I2265" s="13" t="s" ph="1">
        <v>194</v>
      </c>
      <c r="K2265" s="13" t="s" ph="1">
        <v>5056</v>
      </c>
      <c r="L2265" s="13" t="s" ph="1">
        <v>3628</v>
      </c>
      <c r="M2265" s="14" t="str" ph="1">
        <f>IFERROR(INDEX([1]!_born[生没年],
MATCH(I2265,[1]!_born[作],0)),"")</f>
        <v/>
      </c>
      <c r="N2265" s="14" t="str" ph="1">
        <f>IFERROR(INDEX([1]!_born[生没年],
MATCH(K2265,[1]!_born[作],0)),"")</f>
        <v/>
      </c>
      <c r="O2265" s="13" t="s" ph="1">
        <v>353</v>
      </c>
      <c r="R2265" s="16" t="s" ph="1">
        <v>1510</v>
      </c>
      <c r="T2265" s="13" t="s" ph="1">
        <v>7649</v>
      </c>
      <c r="U2265" s="16" ph="1">
        <v>38588</v>
      </c>
      <c r="V2265" s="17" ph="1">
        <f>470*1.05</f>
        <v>493.5</v>
      </c>
      <c r="W2265" s="17" ph="1">
        <v>270</v>
      </c>
      <c r="X2265" s="13" t="s" ph="1">
        <v>3792</v>
      </c>
    </row>
    <row r="2266" spans="1:25" ht="22.5" customHeight="1" ph="1" x14ac:dyDescent="0.35">
      <c r="A2266" s="106" t="s" ph="1">
        <v>1511</v>
      </c>
      <c r="B2266" s="5" t="s" ph="1">
        <v>1484</v>
      </c>
      <c r="C2266" s="13" t="s" ph="1">
        <v>7591</v>
      </c>
      <c r="G2266" s="13" t="s" ph="1">
        <v>4758</v>
      </c>
      <c r="H2266" s="13" t="s" ph="1">
        <v>1035</v>
      </c>
      <c r="I2266" s="13" t="s" ph="1">
        <v>194</v>
      </c>
      <c r="K2266" s="13" t="s" ph="1">
        <v>8397</v>
      </c>
      <c r="L2266" s="13" t="s" ph="1">
        <v>3628</v>
      </c>
      <c r="M2266" s="14" t="str" ph="1">
        <f>IFERROR(INDEX([1]!_born[生没年],
MATCH(I2266,[1]!_born[作],0)),"")</f>
        <v/>
      </c>
      <c r="N2266" s="14" t="str" ph="1">
        <f>IFERROR(INDEX([1]!_born[生没年],
MATCH(K2266,[1]!_born[作],0)),"")</f>
        <v/>
      </c>
      <c r="O2266" s="13" t="s" ph="1">
        <v>8398</v>
      </c>
      <c r="R2266" s="16" t="s" ph="1">
        <v>809</v>
      </c>
      <c r="T2266" s="13" t="s" ph="1">
        <v>7730</v>
      </c>
      <c r="U2266" s="16" ph="1">
        <v>38897</v>
      </c>
      <c r="V2266" s="17" ph="1">
        <f>466*1.03</f>
        <v>479.98</v>
      </c>
      <c r="W2266" s="17" ph="1">
        <v>630</v>
      </c>
      <c r="X2266" s="13" t="s" ph="1">
        <v>3792</v>
      </c>
      <c r="Y2266" s="13" t="s" ph="1">
        <v>7680</v>
      </c>
    </row>
    <row r="2267" spans="1:25" ht="22.5" customHeight="1" ph="1" x14ac:dyDescent="0.35">
      <c r="A2267" s="106" t="s" ph="1">
        <v>1512</v>
      </c>
      <c r="B2267" s="5" t="s" ph="1">
        <v>1484</v>
      </c>
      <c r="C2267" s="13" t="s" ph="1">
        <v>7591</v>
      </c>
      <c r="G2267" s="13" t="s" ph="1">
        <v>4758</v>
      </c>
      <c r="H2267" s="13" t="s" ph="1">
        <v>1035</v>
      </c>
      <c r="I2267" s="13" t="s" ph="1">
        <v>194</v>
      </c>
      <c r="K2267" s="13" t="s" ph="1">
        <v>5056</v>
      </c>
      <c r="L2267" s="13" t="s" ph="1">
        <v>3628</v>
      </c>
      <c r="M2267" s="14" t="str" ph="1">
        <f>IFERROR(INDEX([1]!_born[生没年],
MATCH(I2267,[1]!_born[作],0)),"")</f>
        <v/>
      </c>
      <c r="N2267" s="14" t="str" ph="1">
        <f>IFERROR(INDEX([1]!_born[生没年],
MATCH(K2267,[1]!_born[作],0)),"")</f>
        <v/>
      </c>
      <c r="O2267" s="13" t="s" ph="1">
        <v>8399</v>
      </c>
      <c r="R2267" s="16" t="s" ph="1">
        <v>1513</v>
      </c>
      <c r="T2267" s="13" t="s" ph="1">
        <v>7649</v>
      </c>
      <c r="U2267" s="16" ph="1">
        <v>38897</v>
      </c>
      <c r="V2267" s="17" ph="1">
        <f>544*1.03</f>
        <v>560.32000000000005</v>
      </c>
      <c r="W2267" s="17" ph="1">
        <v>500</v>
      </c>
      <c r="X2267" s="13" t="s" ph="1">
        <v>3792</v>
      </c>
      <c r="Y2267" s="13" t="s" ph="1">
        <v>7680</v>
      </c>
    </row>
    <row r="2268" spans="1:25" ht="22.5" customHeight="1" ph="1" x14ac:dyDescent="0.35">
      <c r="C2268" s="13" t="s" ph="1">
        <v>7591</v>
      </c>
      <c r="G2268" s="13" t="s" ph="1">
        <v>4758</v>
      </c>
      <c r="H2268" s="13" t="s" ph="1">
        <v>1035</v>
      </c>
      <c r="I2268" s="13" t="s" ph="1">
        <v>392</v>
      </c>
      <c r="K2268" s="13" t="s" ph="1">
        <v>8400</v>
      </c>
      <c r="L2268" s="13" t="s" ph="1">
        <v>3628</v>
      </c>
      <c r="M2268" s="14" t="str" ph="1">
        <f>IFERROR(INDEX([1]!_born[生没年],
MATCH(I2268,[1]!_born[作],0)),"")</f>
        <v/>
      </c>
      <c r="N2268" s="14" t="str" ph="1">
        <f>IFERROR(INDEX([1]!_born[生没年],
MATCH(K2268,[1]!_born[作],0)),"")</f>
        <v/>
      </c>
      <c r="O2268" s="13" t="s" ph="1">
        <v>8401</v>
      </c>
      <c r="R2268" s="16" t="s" ph="1">
        <v>1486</v>
      </c>
      <c r="T2268" s="13" t="s" ph="1">
        <v>7730</v>
      </c>
    </row>
    <row r="2269" spans="1:25" ht="22.5" customHeight="1" ph="1" x14ac:dyDescent="0.35">
      <c r="C2269" s="13" t="s" ph="1">
        <v>7591</v>
      </c>
      <c r="G2269" s="13" t="s" ph="1">
        <v>4758</v>
      </c>
      <c r="H2269" s="13" t="s" ph="1">
        <v>1035</v>
      </c>
      <c r="I2269" s="13" t="s" ph="1">
        <v>194</v>
      </c>
      <c r="K2269" s="13" t="s" ph="1">
        <v>5056</v>
      </c>
      <c r="L2269" s="13" t="s" ph="1">
        <v>3628</v>
      </c>
      <c r="M2269" s="14" t="str" ph="1">
        <f>IFERROR(INDEX([1]!_born[生没年],
MATCH(I2269,[1]!_born[作],0)),"")</f>
        <v/>
      </c>
      <c r="N2269" s="14" t="str" ph="1">
        <f>IFERROR(INDEX([1]!_born[生没年],
MATCH(K2269,[1]!_born[作],0)),"")</f>
        <v/>
      </c>
      <c r="O2269" s="13" t="s" ph="1">
        <v>8402</v>
      </c>
      <c r="R2269" s="16" t="s" ph="1">
        <v>801</v>
      </c>
      <c r="T2269" s="13" t="s" ph="1">
        <v>7649</v>
      </c>
    </row>
    <row r="2270" spans="1:25" ht="22.5" customHeight="1" ph="1" x14ac:dyDescent="0.35">
      <c r="A2270" s="106" t="s" ph="1">
        <v>1509</v>
      </c>
      <c r="B2270" s="5" t="s" ph="1">
        <v>1484</v>
      </c>
      <c r="C2270" s="13" t="s" ph="1">
        <v>7591</v>
      </c>
      <c r="G2270" s="13" t="s" ph="1">
        <v>4758</v>
      </c>
      <c r="H2270" s="13" t="s" ph="1">
        <v>1035</v>
      </c>
      <c r="I2270" s="13" t="s" ph="1">
        <v>194</v>
      </c>
      <c r="K2270" s="13" t="s" ph="1">
        <v>5056</v>
      </c>
      <c r="L2270" s="13" t="s" ph="1">
        <v>3628</v>
      </c>
      <c r="M2270" s="14" t="str" ph="1">
        <f>IFERROR(INDEX([1]!_born[生没年],
MATCH(I2270,[1]!_born[作],0)),"")</f>
        <v/>
      </c>
      <c r="N2270" s="14" t="str" ph="1">
        <f>IFERROR(INDEX([1]!_born[生没年],
MATCH(K2270,[1]!_born[作],0)),"")</f>
        <v/>
      </c>
      <c r="O2270" s="13" t="s" ph="1">
        <v>8403</v>
      </c>
      <c r="R2270" s="16" t="s" ph="1">
        <v>784</v>
      </c>
      <c r="T2270" s="13" t="s" ph="1">
        <v>7649</v>
      </c>
      <c r="U2270" s="16" ph="1">
        <v>38588</v>
      </c>
      <c r="V2270" s="17" ph="1">
        <f>825*1.03</f>
        <v>849.75</v>
      </c>
      <c r="W2270" s="17" ph="1">
        <v>450</v>
      </c>
      <c r="X2270" s="13" t="s" ph="1">
        <v>3792</v>
      </c>
    </row>
    <row r="2271" spans="1:25" ht="22.5" customHeight="1" ph="1" x14ac:dyDescent="0.35">
      <c r="C2271" s="13" t="s" ph="1">
        <v>7591</v>
      </c>
      <c r="G2271" s="13" t="s" ph="1">
        <v>4758</v>
      </c>
      <c r="H2271" s="13" t="s" ph="1">
        <v>1035</v>
      </c>
      <c r="I2271" s="13" t="s" ph="1">
        <v>194</v>
      </c>
      <c r="K2271" s="13" t="s" ph="1">
        <v>8404</v>
      </c>
      <c r="L2271" s="13" t="s" ph="1">
        <v>3628</v>
      </c>
      <c r="M2271" s="14" t="str" ph="1">
        <f>IFERROR(INDEX([1]!_born[生没年],
MATCH(I2271,[1]!_born[作],0)),"")</f>
        <v/>
      </c>
      <c r="N2271" s="14" t="str" ph="1">
        <f>IFERROR(INDEX([1]!_born[生没年],
MATCH(K2271,[1]!_born[作],0)),"")</f>
        <v/>
      </c>
      <c r="O2271" s="13" t="s" ph="1">
        <v>8405</v>
      </c>
      <c r="R2271" s="16" t="s" ph="1">
        <v>1005</v>
      </c>
      <c r="T2271" s="13" t="s" ph="1">
        <v>7649</v>
      </c>
    </row>
    <row r="2272" spans="1:25" ht="22.5" customHeight="1" ph="1" x14ac:dyDescent="0.35">
      <c r="C2272" s="13" t="s" ph="1">
        <v>7591</v>
      </c>
      <c r="G2272" s="13" t="s" ph="1">
        <v>4758</v>
      </c>
      <c r="H2272" s="13" t="s" ph="1">
        <v>1035</v>
      </c>
      <c r="I2272" s="13" t="s" ph="1">
        <v>194</v>
      </c>
      <c r="K2272" s="13" t="s" ph="1">
        <v>8404</v>
      </c>
      <c r="L2272" s="13" t="s" ph="1">
        <v>3628</v>
      </c>
      <c r="M2272" s="14" t="str" ph="1">
        <f>IFERROR(INDEX([1]!_born[生没年],
MATCH(I2272,[1]!_born[作],0)),"")</f>
        <v/>
      </c>
      <c r="N2272" s="14" t="str" ph="1">
        <f>IFERROR(INDEX([1]!_born[生没年],
MATCH(K2272,[1]!_born[作],0)),"")</f>
        <v/>
      </c>
      <c r="O2272" s="13" t="s" ph="1">
        <v>8406</v>
      </c>
      <c r="R2272" s="16" t="s" ph="1">
        <v>930</v>
      </c>
      <c r="T2272" s="13" t="s" ph="1">
        <v>7649</v>
      </c>
      <c r="X2272" s="14" ph="1"/>
      <c r="Y2272" s="14" t="s" ph="1">
        <v>8407</v>
      </c>
    </row>
    <row r="2273" spans="1:25" ht="22.5" customHeight="1" ph="1" x14ac:dyDescent="0.35">
      <c r="C2273" s="13" t="s" ph="1">
        <v>7591</v>
      </c>
      <c r="G2273" s="13" t="s" ph="1">
        <v>4758</v>
      </c>
      <c r="H2273" s="13" t="s" ph="1">
        <v>709</v>
      </c>
      <c r="I2273" s="13" t="s" ph="1">
        <v>138</v>
      </c>
      <c r="K2273" s="13" t="s" ph="1">
        <v>8408</v>
      </c>
      <c r="L2273" s="13" t="s" ph="1">
        <v>3628</v>
      </c>
      <c r="M2273" s="14" t="str" ph="1">
        <f>IFERROR(INDEX([1]!_born[生没年],
MATCH(I2273,[1]!_born[作],0)),"")</f>
        <v/>
      </c>
      <c r="N2273" s="14" t="str" ph="1">
        <f>IFERROR(INDEX([1]!_born[生没年],
MATCH(K2273,[1]!_born[作],0)),"")</f>
        <v/>
      </c>
      <c r="O2273" s="13" t="s" ph="1">
        <v>447</v>
      </c>
      <c r="R2273" s="16" t="s" ph="1">
        <v>1514</v>
      </c>
      <c r="T2273" s="13" t="s" ph="1">
        <v>5147</v>
      </c>
    </row>
    <row r="2274" spans="1:25" ht="22.5" customHeight="1" ph="1" x14ac:dyDescent="0.35">
      <c r="C2274" s="13" t="s" ph="1">
        <v>7591</v>
      </c>
      <c r="D2274" s="123" ph="1">
        <v>1</v>
      </c>
      <c r="E2274" s="123" ph="1">
        <v>2</v>
      </c>
      <c r="G2274" s="13" t="s" ph="1">
        <v>4758</v>
      </c>
      <c r="H2274" s="13" t="s" ph="1">
        <v>709</v>
      </c>
      <c r="I2274" s="13" t="s" ph="1">
        <v>127</v>
      </c>
      <c r="K2274" s="13" t="s" ph="1">
        <v>8409</v>
      </c>
      <c r="L2274" s="13" t="s" ph="1">
        <v>3628</v>
      </c>
      <c r="M2274" s="14" t="str" ph="1">
        <f>IFERROR(INDEX([1]!_born[生没年],
MATCH(I2274,[1]!_born[作],0)),"")</f>
        <v/>
      </c>
      <c r="N2274" s="14" t="str" ph="1">
        <f>IFERROR(INDEX([1]!_born[生没年],
MATCH(K2274,[1]!_born[作],0)),"")</f>
        <v/>
      </c>
      <c r="O2274" s="13" t="s" ph="1">
        <v>8410</v>
      </c>
      <c r="S2274" s="13" t="s" ph="1">
        <v>4103</v>
      </c>
      <c r="T2274" s="13" t="s" ph="1">
        <v>5147</v>
      </c>
      <c r="Y2274" s="13" t="s" ph="1">
        <v>8035</v>
      </c>
    </row>
    <row r="2275" spans="1:25" ht="22.5" customHeight="1" ph="1" x14ac:dyDescent="0.35">
      <c r="C2275" s="13" t="s" ph="1">
        <v>7591</v>
      </c>
      <c r="D2275" s="123" ph="1">
        <v>2</v>
      </c>
      <c r="E2275" s="123" ph="1">
        <v>2</v>
      </c>
      <c r="G2275" s="13" t="s" ph="1">
        <v>4758</v>
      </c>
      <c r="H2275" s="13" t="s" ph="1">
        <v>709</v>
      </c>
      <c r="I2275" s="13" t="s" ph="1">
        <v>127</v>
      </c>
      <c r="K2275" s="13" t="s" ph="1">
        <v>8409</v>
      </c>
      <c r="L2275" s="13" t="s" ph="1">
        <v>3628</v>
      </c>
      <c r="M2275" s="14" t="str" ph="1">
        <f>IFERROR(INDEX([1]!_born[生没年],
MATCH(I2275,[1]!_born[作],0)),"")</f>
        <v/>
      </c>
      <c r="N2275" s="14" t="str" ph="1">
        <f>IFERROR(INDEX([1]!_born[生没年],
MATCH(K2275,[1]!_born[作],0)),"")</f>
        <v/>
      </c>
      <c r="O2275" s="13" t="s" ph="1">
        <v>8410</v>
      </c>
      <c r="S2275" s="13" t="s" ph="1">
        <v>4103</v>
      </c>
      <c r="T2275" s="13" t="s" ph="1">
        <v>5147</v>
      </c>
      <c r="Y2275" s="13" t="s" ph="1">
        <v>8035</v>
      </c>
    </row>
    <row r="2276" spans="1:25" ht="22.5" customHeight="1" ph="1" x14ac:dyDescent="0.35">
      <c r="C2276" s="13" t="s" ph="1">
        <v>7591</v>
      </c>
      <c r="D2276" s="123" ph="1">
        <v>1</v>
      </c>
      <c r="E2276" s="123" ph="1">
        <v>3</v>
      </c>
      <c r="G2276" s="13" t="s" ph="1">
        <v>4758</v>
      </c>
      <c r="H2276" s="13" t="s" ph="1">
        <v>709</v>
      </c>
      <c r="I2276" s="13" t="s" ph="1">
        <v>127</v>
      </c>
      <c r="K2276" s="13" t="s" ph="1">
        <v>8411</v>
      </c>
      <c r="L2276" s="13" t="s" ph="1">
        <v>3628</v>
      </c>
      <c r="M2276" s="14" t="str" ph="1">
        <f>IFERROR(INDEX([1]!_born[生没年],
MATCH(I2276,[1]!_born[作],0)),"")</f>
        <v/>
      </c>
      <c r="N2276" s="14" t="str" ph="1">
        <f>IFERROR(INDEX([1]!_born[生没年],
MATCH(K2276,[1]!_born[作],0)),"")</f>
        <v/>
      </c>
      <c r="O2276" s="13" t="s" ph="1">
        <v>8412</v>
      </c>
      <c r="S2276" s="13" t="s" ph="1">
        <v>8413</v>
      </c>
      <c r="T2276" s="13" t="s" ph="1">
        <v>5147</v>
      </c>
    </row>
    <row r="2277" spans="1:25" ht="22.5" customHeight="1" ph="1" x14ac:dyDescent="0.35">
      <c r="C2277" s="13" t="s" ph="1">
        <v>7591</v>
      </c>
      <c r="D2277" s="123" ph="1">
        <v>2</v>
      </c>
      <c r="E2277" s="123" ph="1">
        <v>3</v>
      </c>
      <c r="G2277" s="13" t="s" ph="1">
        <v>4758</v>
      </c>
      <c r="H2277" s="13" t="s" ph="1">
        <v>709</v>
      </c>
      <c r="I2277" s="13" t="s" ph="1">
        <v>127</v>
      </c>
      <c r="K2277" s="13" t="s" ph="1">
        <v>8411</v>
      </c>
      <c r="L2277" s="13" t="s" ph="1">
        <v>3628</v>
      </c>
      <c r="M2277" s="14" t="str" ph="1">
        <f>IFERROR(INDEX([1]!_born[生没年],
MATCH(I2277,[1]!_born[作],0)),"")</f>
        <v/>
      </c>
      <c r="N2277" s="14" t="str" ph="1">
        <f>IFERROR(INDEX([1]!_born[生没年],
MATCH(K2277,[1]!_born[作],0)),"")</f>
        <v/>
      </c>
      <c r="O2277" s="13" t="s" ph="1">
        <v>8412</v>
      </c>
      <c r="S2277" s="13" t="s" ph="1">
        <v>8413</v>
      </c>
      <c r="T2277" s="13" t="s" ph="1">
        <v>5147</v>
      </c>
    </row>
    <row r="2278" spans="1:25" ht="22.5" customHeight="1" ph="1" x14ac:dyDescent="0.35">
      <c r="C2278" s="13" t="s" ph="1">
        <v>7591</v>
      </c>
      <c r="D2278" s="123" ph="1">
        <v>3</v>
      </c>
      <c r="E2278" s="123" ph="1">
        <v>3</v>
      </c>
      <c r="G2278" s="13" t="s" ph="1">
        <v>4758</v>
      </c>
      <c r="H2278" s="13" t="s" ph="1">
        <v>709</v>
      </c>
      <c r="I2278" s="13" t="s" ph="1">
        <v>127</v>
      </c>
      <c r="K2278" s="13" t="s" ph="1">
        <v>8411</v>
      </c>
      <c r="L2278" s="13" t="s" ph="1">
        <v>3628</v>
      </c>
      <c r="M2278" s="14" t="str" ph="1">
        <f>IFERROR(INDEX([1]!_born[生没年],
MATCH(I2278,[1]!_born[作],0)),"")</f>
        <v/>
      </c>
      <c r="N2278" s="14" t="str" ph="1">
        <f>IFERROR(INDEX([1]!_born[生没年],
MATCH(K2278,[1]!_born[作],0)),"")</f>
        <v/>
      </c>
      <c r="O2278" s="13" t="s" ph="1">
        <v>8412</v>
      </c>
      <c r="S2278" s="13" t="s" ph="1">
        <v>8413</v>
      </c>
      <c r="T2278" s="13" t="s" ph="1">
        <v>5147</v>
      </c>
    </row>
    <row r="2279" spans="1:25" ht="22.5" customHeight="1" ph="1" x14ac:dyDescent="0.35">
      <c r="C2279" s="13" t="s" ph="1">
        <v>7591</v>
      </c>
      <c r="G2279" s="13" t="s" ph="1">
        <v>4758</v>
      </c>
      <c r="H2279" s="13" t="s" ph="1">
        <v>709</v>
      </c>
      <c r="I2279" s="13" t="s" ph="1">
        <v>127</v>
      </c>
      <c r="K2279" s="13" t="s" ph="1">
        <v>8414</v>
      </c>
      <c r="L2279" s="13" t="s" ph="1">
        <v>3628</v>
      </c>
      <c r="M2279" s="14" t="str" ph="1">
        <f>IFERROR(INDEX([1]!_born[生没年],
MATCH(I2279,[1]!_born[作],0)),"")</f>
        <v/>
      </c>
      <c r="N2279" s="14" t="str" ph="1">
        <f>IFERROR(INDEX([1]!_born[生没年],
MATCH(K2279,[1]!_born[作],0)),"")</f>
        <v/>
      </c>
      <c r="O2279" s="13" t="s" ph="1">
        <v>8415</v>
      </c>
      <c r="T2279" s="13" t="s" ph="1">
        <v>7599</v>
      </c>
    </row>
    <row r="2280" spans="1:25" ht="22.5" customHeight="1" ph="1" x14ac:dyDescent="0.35">
      <c r="A2280" s="106" t="s" ph="1">
        <v>1515</v>
      </c>
      <c r="B2280" s="5" t="s" ph="1">
        <v>1484</v>
      </c>
      <c r="C2280" s="13" t="s" ph="1">
        <v>7591</v>
      </c>
      <c r="G2280" s="13" t="s" ph="1">
        <v>4758</v>
      </c>
      <c r="H2280" s="13" t="s" ph="1">
        <v>709</v>
      </c>
      <c r="I2280" s="13" t="s" ph="1">
        <v>10</v>
      </c>
      <c r="K2280" s="13" t="s" ph="1">
        <v>8416</v>
      </c>
      <c r="L2280" s="13" t="s" ph="1">
        <v>3628</v>
      </c>
      <c r="M2280" s="14" t="str" ph="1">
        <f>IFERROR(INDEX([1]!_born[生没年],
MATCH(I2280,[1]!_born[作],0)),"")</f>
        <v/>
      </c>
      <c r="N2280" s="14" t="str" ph="1">
        <f>IFERROR(INDEX([1]!_born[生没年],
MATCH(K2280,[1]!_born[作],0)),"")</f>
        <v/>
      </c>
      <c r="O2280" s="13" t="s" ph="1">
        <v>8417</v>
      </c>
      <c r="R2280" s="16" t="s" ph="1">
        <v>1516</v>
      </c>
      <c r="T2280" s="13" t="s" ph="1">
        <v>7649</v>
      </c>
      <c r="U2280" s="16" t="s" ph="1">
        <v>873</v>
      </c>
      <c r="V2280" s="17" ph="1">
        <f>524*1.05</f>
        <v>550.20000000000005</v>
      </c>
      <c r="W2280" s="17" ph="1">
        <f>524*1.05</f>
        <v>550.20000000000005</v>
      </c>
      <c r="X2280" s="13" t="s" ph="1">
        <v>3802</v>
      </c>
    </row>
    <row r="2281" spans="1:25" ht="22.5" customHeight="1" ph="1" x14ac:dyDescent="0.35">
      <c r="C2281" s="13" t="s" ph="1">
        <v>7591</v>
      </c>
      <c r="D2281" s="123" ph="1">
        <v>1</v>
      </c>
      <c r="E2281" s="123" ph="1">
        <v>2</v>
      </c>
      <c r="G2281" s="13" t="s" ph="1">
        <v>4758</v>
      </c>
      <c r="H2281" s="13" t="s" ph="1">
        <v>709</v>
      </c>
      <c r="I2281" s="13" t="s" ph="1">
        <v>128</v>
      </c>
      <c r="K2281" s="13" t="s" ph="1">
        <v>8418</v>
      </c>
      <c r="L2281" s="13" t="s" ph="1">
        <v>3628</v>
      </c>
      <c r="M2281" s="14" t="str" ph="1">
        <f>IFERROR(INDEX([1]!_born[生没年],
MATCH(I2281,[1]!_born[作],0)),"")</f>
        <v/>
      </c>
      <c r="N2281" s="14" t="str" ph="1">
        <f>IFERROR(INDEX([1]!_born[生没年],
MATCH(K2281,[1]!_born[作],0)),"")</f>
        <v/>
      </c>
      <c r="O2281" s="13" t="s" ph="1">
        <v>8419</v>
      </c>
      <c r="S2281" s="13" t="s" ph="1">
        <v>4103</v>
      </c>
      <c r="T2281" s="13" t="s" ph="1">
        <v>5147</v>
      </c>
    </row>
    <row r="2282" spans="1:25" ht="22.5" customHeight="1" ph="1" x14ac:dyDescent="0.35">
      <c r="C2282" s="13" t="s" ph="1">
        <v>7591</v>
      </c>
      <c r="D2282" s="123" ph="1">
        <v>2</v>
      </c>
      <c r="E2282" s="123" ph="1">
        <v>2</v>
      </c>
      <c r="G2282" s="13" t="s" ph="1">
        <v>4758</v>
      </c>
      <c r="H2282" s="13" t="s" ph="1">
        <v>709</v>
      </c>
      <c r="I2282" s="13" t="s" ph="1">
        <v>128</v>
      </c>
      <c r="K2282" s="13" t="s" ph="1">
        <v>8418</v>
      </c>
      <c r="L2282" s="13" t="s" ph="1">
        <v>3628</v>
      </c>
      <c r="M2282" s="14" t="str" ph="1">
        <f>IFERROR(INDEX([1]!_born[生没年],
MATCH(I2282,[1]!_born[作],0)),"")</f>
        <v/>
      </c>
      <c r="N2282" s="14" t="str" ph="1">
        <f>IFERROR(INDEX([1]!_born[生没年],
MATCH(K2282,[1]!_born[作],0)),"")</f>
        <v/>
      </c>
      <c r="O2282" s="13" t="s" ph="1">
        <v>8419</v>
      </c>
      <c r="S2282" s="13" t="s" ph="1">
        <v>4103</v>
      </c>
      <c r="T2282" s="13" t="s" ph="1">
        <v>5147</v>
      </c>
    </row>
    <row r="2283" spans="1:25" ht="22.5" customHeight="1" ph="1" x14ac:dyDescent="0.35">
      <c r="C2283" s="13" t="s" ph="1">
        <v>7591</v>
      </c>
      <c r="G2283" s="13" t="s" ph="1">
        <v>4758</v>
      </c>
      <c r="H2283" s="13" t="s" ph="1">
        <v>709</v>
      </c>
      <c r="I2283" s="13" t="s" ph="1">
        <v>129</v>
      </c>
      <c r="K2283" s="13" t="s" ph="1">
        <v>8420</v>
      </c>
      <c r="L2283" s="13" t="s" ph="1">
        <v>3628</v>
      </c>
      <c r="M2283" s="14" t="str" ph="1">
        <f>IFERROR(INDEX([1]!_born[生没年],
MATCH(I2283,[1]!_born[作],0)),"")</f>
        <v/>
      </c>
      <c r="N2283" s="14" t="str" ph="1">
        <f>IFERROR(INDEX([1]!_born[生没年],
MATCH(K2283,[1]!_born[作],0)),"")</f>
        <v/>
      </c>
      <c r="O2283" s="13" t="s" ph="1">
        <v>622</v>
      </c>
      <c r="R2283" s="16" t="s" ph="1">
        <v>1517</v>
      </c>
      <c r="T2283" s="13" t="s" ph="1">
        <v>5147</v>
      </c>
    </row>
    <row r="2284" spans="1:25" ht="22.5" customHeight="1" ph="1" x14ac:dyDescent="0.35">
      <c r="C2284" s="13" t="s" ph="1">
        <v>7591</v>
      </c>
      <c r="G2284" s="13" t="s" ph="1">
        <v>4758</v>
      </c>
      <c r="H2284" s="13" t="s" ph="1">
        <v>709</v>
      </c>
      <c r="I2284" s="13" t="s" ph="1">
        <v>22</v>
      </c>
      <c r="K2284" s="13" t="s" ph="1">
        <v>8421</v>
      </c>
      <c r="L2284" s="13" t="s" ph="1">
        <v>3628</v>
      </c>
      <c r="M2284" s="14" t="str" ph="1">
        <f>IFERROR(INDEX([1]!_born[生没年],
MATCH(I2284,[1]!_born[作],0)),"")</f>
        <v/>
      </c>
      <c r="N2284" s="14" t="str" ph="1">
        <f>IFERROR(INDEX([1]!_born[生没年],
MATCH(K2284,[1]!_born[作],0)),"")</f>
        <v/>
      </c>
      <c r="O2284" s="13" t="s" ph="1">
        <v>8422</v>
      </c>
      <c r="R2284" s="16" t="s" ph="1">
        <v>774</v>
      </c>
      <c r="T2284" s="13" t="s" ph="1">
        <v>7870</v>
      </c>
      <c r="V2284" s="17" ph="1">
        <v>320</v>
      </c>
      <c r="W2284" s="17" ph="1">
        <v>150</v>
      </c>
      <c r="X2284" s="5" t="s" ph="1">
        <v>8423</v>
      </c>
      <c r="Y2284" s="5" ph="1"/>
    </row>
    <row r="2285" spans="1:25" ht="22.5" customHeight="1" ph="1" x14ac:dyDescent="0.35">
      <c r="C2285" s="13" t="s" ph="1">
        <v>7591</v>
      </c>
      <c r="G2285" s="13" t="s" ph="1">
        <v>4758</v>
      </c>
      <c r="H2285" s="13" t="s" ph="1">
        <v>709</v>
      </c>
      <c r="I2285" s="13" t="s" ph="1">
        <v>23</v>
      </c>
      <c r="K2285" s="13" t="s" ph="1">
        <v>8424</v>
      </c>
      <c r="L2285" s="13" t="s" ph="1">
        <v>3628</v>
      </c>
      <c r="M2285" s="14" t="str" ph="1">
        <f>IFERROR(INDEX([1]!_born[生没年],
MATCH(I2285,[1]!_born[作],0)),"")</f>
        <v/>
      </c>
      <c r="N2285" s="14" t="str" ph="1">
        <f>IFERROR(INDEX([1]!_born[生没年],
MATCH(K2285,[1]!_born[作],0)),"")</f>
        <v/>
      </c>
      <c r="O2285" s="13" t="s" ph="1">
        <v>8425</v>
      </c>
      <c r="R2285" s="16" t="s" ph="1">
        <v>1518</v>
      </c>
      <c r="T2285" s="13" t="s" ph="1">
        <v>8276</v>
      </c>
    </row>
    <row r="2286" spans="1:25" ht="22.5" customHeight="1" ph="1" x14ac:dyDescent="0.35">
      <c r="C2286" s="13" t="s" ph="1">
        <v>7591</v>
      </c>
      <c r="G2286" s="13" t="s" ph="1">
        <v>4758</v>
      </c>
      <c r="H2286" s="13" t="s" ph="1">
        <v>709</v>
      </c>
      <c r="I2286" s="13" t="s" ph="1">
        <v>199</v>
      </c>
      <c r="K2286" s="13" t="s" ph="1">
        <v>8426</v>
      </c>
      <c r="L2286" s="13" t="s" ph="1">
        <v>3628</v>
      </c>
      <c r="M2286" s="14" t="str" ph="1">
        <f>IFERROR(INDEX([1]!_born[生没年],
MATCH(I2286,[1]!_born[作],0)),"")</f>
        <v/>
      </c>
      <c r="N2286" s="14" t="str" ph="1">
        <f>IFERROR(INDEX([1]!_born[生没年],
MATCH(K2286,[1]!_born[作],0)),"")</f>
        <v/>
      </c>
      <c r="O2286" s="13" t="s" ph="1">
        <v>198</v>
      </c>
      <c r="R2286" s="16" t="s" ph="1">
        <v>1519</v>
      </c>
      <c r="T2286" s="13" t="s" ph="1">
        <v>7730</v>
      </c>
      <c r="U2286" s="16" ph="1">
        <v>37700</v>
      </c>
      <c r="V2286" s="17" ph="1">
        <f>760*1.05</f>
        <v>798</v>
      </c>
    </row>
    <row r="2287" spans="1:25" ht="22.5" customHeight="1" ph="1" x14ac:dyDescent="0.35">
      <c r="C2287" s="13" t="s" ph="1">
        <v>7591</v>
      </c>
      <c r="D2287" s="123" ph="1">
        <v>1</v>
      </c>
      <c r="E2287" s="123" ph="1">
        <v>2</v>
      </c>
      <c r="G2287" s="13" t="s" ph="1">
        <v>4758</v>
      </c>
      <c r="H2287" s="13" t="s" ph="1">
        <v>709</v>
      </c>
      <c r="I2287" s="13" t="s" ph="1">
        <v>24</v>
      </c>
      <c r="K2287" s="13" t="s" ph="1">
        <v>8427</v>
      </c>
      <c r="L2287" s="13" t="s" ph="1">
        <v>3628</v>
      </c>
      <c r="M2287" s="14" t="str" ph="1">
        <f>IFERROR(INDEX([1]!_born[生没年],
MATCH(I2287,[1]!_born[作],0)),"")</f>
        <v/>
      </c>
      <c r="N2287" s="14" t="str" ph="1">
        <f>IFERROR(INDEX([1]!_born[生没年],
MATCH(K2287,[1]!_born[作],0)),"")</f>
        <v/>
      </c>
      <c r="O2287" s="13" t="s" ph="1">
        <v>443</v>
      </c>
      <c r="R2287" s="16" t="s" ph="1">
        <v>1520</v>
      </c>
      <c r="S2287" s="13" t="s" ph="1">
        <v>4103</v>
      </c>
      <c r="T2287" s="13" t="s" ph="1">
        <v>7599</v>
      </c>
    </row>
    <row r="2288" spans="1:25" ht="22.5" customHeight="1" ph="1" x14ac:dyDescent="0.35">
      <c r="C2288" s="13" t="s" ph="1">
        <v>7591</v>
      </c>
      <c r="D2288" s="123" ph="1">
        <v>2</v>
      </c>
      <c r="E2288" s="123" ph="1">
        <v>2</v>
      </c>
      <c r="G2288" s="13" t="s" ph="1">
        <v>4758</v>
      </c>
      <c r="H2288" s="13" t="s" ph="1">
        <v>709</v>
      </c>
      <c r="I2288" s="13" t="s" ph="1">
        <v>24</v>
      </c>
      <c r="K2288" s="13" t="s" ph="1">
        <v>8427</v>
      </c>
      <c r="L2288" s="13" t="s" ph="1">
        <v>3628</v>
      </c>
      <c r="M2288" s="14" t="str" ph="1">
        <f>IFERROR(INDEX([1]!_born[生没年],
MATCH(I2288,[1]!_born[作],0)),"")</f>
        <v/>
      </c>
      <c r="N2288" s="14" t="str" ph="1">
        <f>IFERROR(INDEX([1]!_born[生没年],
MATCH(K2288,[1]!_born[作],0)),"")</f>
        <v/>
      </c>
      <c r="O2288" s="13" t="s" ph="1">
        <v>443</v>
      </c>
      <c r="R2288" s="16" t="s" ph="1">
        <v>1520</v>
      </c>
      <c r="S2288" s="13" t="s" ph="1">
        <v>4103</v>
      </c>
      <c r="T2288" s="13" t="s" ph="1">
        <v>7599</v>
      </c>
    </row>
    <row r="2289" spans="1:25" ht="22.5" customHeight="1" ph="1" x14ac:dyDescent="0.35">
      <c r="C2289" s="13" t="s" ph="1">
        <v>7591</v>
      </c>
      <c r="G2289" s="13" t="s" ph="1">
        <v>4758</v>
      </c>
      <c r="H2289" s="13" t="s" ph="1">
        <v>1035</v>
      </c>
      <c r="I2289" s="13" t="s" ph="1">
        <v>276</v>
      </c>
      <c r="K2289" s="13" t="s" ph="1">
        <v>5071</v>
      </c>
      <c r="L2289" s="13" t="s" ph="1">
        <v>3628</v>
      </c>
      <c r="M2289" s="14" t="str" ph="1">
        <f>IFERROR(INDEX([1]!_born[生没年],
MATCH(I2289,[1]!_born[作],0)),"")</f>
        <v/>
      </c>
      <c r="N2289" s="14" t="str" ph="1">
        <f>IFERROR(INDEX([1]!_born[生没年],
MATCH(K2289,[1]!_born[作],0)),"")</f>
        <v/>
      </c>
      <c r="O2289" s="13" t="s" ph="1">
        <v>275</v>
      </c>
      <c r="R2289" s="16" t="s" ph="1">
        <v>1521</v>
      </c>
      <c r="T2289" s="13" t="s" ph="1">
        <v>7611</v>
      </c>
    </row>
    <row r="2290" spans="1:25" ht="22.5" customHeight="1" ph="1" x14ac:dyDescent="0.35">
      <c r="C2290" s="13" t="s" ph="1">
        <v>7591</v>
      </c>
      <c r="G2290" s="13" t="s" ph="1">
        <v>3599</v>
      </c>
      <c r="H2290" s="13" t="s" ph="1">
        <v>1035</v>
      </c>
      <c r="I2290" s="13" t="s" ph="1">
        <v>276</v>
      </c>
      <c r="K2290" s="13" t="s" ph="1">
        <v>8428</v>
      </c>
      <c r="L2290" s="13" t="s" ph="1">
        <v>3628</v>
      </c>
      <c r="M2290" s="14" t="str" ph="1">
        <f>IFERROR(INDEX([1]!_born[生没年],
MATCH(I2290,[1]!_born[作],0)),"")</f>
        <v/>
      </c>
      <c r="N2290" s="14" t="str" ph="1">
        <f>IFERROR(INDEX([1]!_born[生没年],
MATCH(K2290,[1]!_born[作],0)),"")</f>
        <v/>
      </c>
      <c r="O2290" s="13" t="s" ph="1">
        <v>8429</v>
      </c>
      <c r="R2290" s="16" t="s" ph="1">
        <v>1522</v>
      </c>
      <c r="T2290" s="13" t="s" ph="1">
        <v>7820</v>
      </c>
      <c r="V2290" s="17" ph="1">
        <f>1200*1.05</f>
        <v>1260</v>
      </c>
    </row>
    <row r="2291" spans="1:25" ht="22.5" customHeight="1" ph="1" x14ac:dyDescent="0.35">
      <c r="C2291" s="13" t="s" ph="1">
        <v>7591</v>
      </c>
      <c r="G2291" s="13" t="s" ph="1">
        <v>4758</v>
      </c>
      <c r="H2291" s="13" t="s" ph="1">
        <v>709</v>
      </c>
      <c r="I2291" s="13" t="s" ph="1">
        <v>146</v>
      </c>
      <c r="K2291" s="13" t="s" ph="1">
        <v>8430</v>
      </c>
      <c r="L2291" s="13" t="s" ph="1">
        <v>3628</v>
      </c>
      <c r="M2291" s="14" t="str" ph="1">
        <f>IFERROR(INDEX([1]!_born[生没年],
MATCH(I2291,[1]!_born[作],0)),"")</f>
        <v/>
      </c>
      <c r="N2291" s="14" t="str" ph="1">
        <f>IFERROR(INDEX([1]!_born[生没年],
MATCH(K2291,[1]!_born[作],0)),"")</f>
        <v/>
      </c>
      <c r="O2291" s="13" t="s" ph="1">
        <v>135</v>
      </c>
      <c r="R2291" s="16" t="s" ph="1">
        <v>1005</v>
      </c>
      <c r="T2291" s="13" t="s" ph="1">
        <v>7611</v>
      </c>
    </row>
    <row r="2292" spans="1:25" ht="22.5" customHeight="1" ph="1" x14ac:dyDescent="0.35">
      <c r="C2292" s="13" t="s" ph="1">
        <v>7591</v>
      </c>
      <c r="G2292" s="13" t="s" ph="1">
        <v>4758</v>
      </c>
      <c r="H2292" s="13" t="s" ph="1">
        <v>709</v>
      </c>
      <c r="I2292" s="13" t="s" ph="1">
        <v>242</v>
      </c>
      <c r="K2292" s="13" t="s" ph="1">
        <v>8431</v>
      </c>
      <c r="L2292" s="13" t="s" ph="1">
        <v>3628</v>
      </c>
      <c r="M2292" s="14" t="str" ph="1">
        <f>IFERROR(INDEX([1]!_born[生没年],
MATCH(I2292,[1]!_born[作],0)),"")</f>
        <v/>
      </c>
      <c r="N2292" s="14" t="str" ph="1">
        <f>IFERROR(INDEX([1]!_born[生没年],
MATCH(K2292,[1]!_born[作],0)),"")</f>
        <v/>
      </c>
      <c r="O2292" s="13" t="s" ph="1">
        <v>8432</v>
      </c>
      <c r="R2292" s="16" t="s" ph="1">
        <v>1518</v>
      </c>
      <c r="T2292" s="13" t="s" ph="1">
        <v>7870</v>
      </c>
    </row>
    <row r="2293" spans="1:25" ht="22.5" customHeight="1" ph="1" x14ac:dyDescent="0.35">
      <c r="C2293" s="13" t="s" ph="1">
        <v>7591</v>
      </c>
      <c r="G2293" s="13" t="s" ph="1">
        <v>4758</v>
      </c>
      <c r="H2293" s="13" t="s" ph="1">
        <v>709</v>
      </c>
      <c r="I2293" s="13" t="s" ph="1">
        <v>242</v>
      </c>
      <c r="K2293" s="13" t="s" ph="1">
        <v>8317</v>
      </c>
      <c r="L2293" s="13" t="s" ph="1">
        <v>3628</v>
      </c>
      <c r="M2293" s="14" t="str" ph="1">
        <f>IFERROR(INDEX([1]!_born[生没年],
MATCH(I2293,[1]!_born[作],0)),"")</f>
        <v/>
      </c>
      <c r="N2293" s="14" t="str" ph="1">
        <f>IFERROR(INDEX([1]!_born[生没年],
MATCH(K2293,[1]!_born[作],0)),"")</f>
        <v/>
      </c>
      <c r="O2293" s="13" t="s" ph="1">
        <v>8433</v>
      </c>
      <c r="R2293" s="16" t="s" ph="1">
        <v>1523</v>
      </c>
      <c r="T2293" s="13" t="s" ph="1">
        <v>7870</v>
      </c>
    </row>
    <row r="2294" spans="1:25" ht="22.5" customHeight="1" ph="1" x14ac:dyDescent="0.35">
      <c r="C2294" s="13" t="s" ph="1">
        <v>7591</v>
      </c>
      <c r="G2294" s="13" t="s" ph="1">
        <v>4758</v>
      </c>
      <c r="H2294" s="13" t="s" ph="1">
        <v>709</v>
      </c>
      <c r="I2294" s="13" t="s" ph="1">
        <v>242</v>
      </c>
      <c r="K2294" s="13" t="s" ph="1">
        <v>8376</v>
      </c>
      <c r="L2294" s="13" t="s" ph="1">
        <v>3628</v>
      </c>
      <c r="M2294" s="14" t="str" ph="1">
        <f>IFERROR(INDEX([1]!_born[生没年],
MATCH(I2294,[1]!_born[作],0)),"")</f>
        <v/>
      </c>
      <c r="N2294" s="14" t="str" ph="1">
        <f>IFERROR(INDEX([1]!_born[生没年],
MATCH(K2294,[1]!_born[作],0)),"")</f>
        <v/>
      </c>
      <c r="O2294" s="13" t="s" ph="1">
        <v>8434</v>
      </c>
      <c r="R2294" s="16" t="s" ph="1">
        <v>1524</v>
      </c>
      <c r="T2294" s="13" t="s" ph="1">
        <v>7870</v>
      </c>
    </row>
    <row r="2295" spans="1:25" ht="22.5" customHeight="1" ph="1" x14ac:dyDescent="0.35">
      <c r="C2295" s="13" t="s" ph="1">
        <v>7591</v>
      </c>
      <c r="G2295" s="13" t="s" ph="1">
        <v>4758</v>
      </c>
      <c r="H2295" s="13" t="s" ph="1">
        <v>709</v>
      </c>
      <c r="I2295" s="13" t="s" ph="1">
        <v>242</v>
      </c>
      <c r="K2295" s="13" t="s" ph="1">
        <v>8376</v>
      </c>
      <c r="L2295" s="13" t="s" ph="1">
        <v>3628</v>
      </c>
      <c r="M2295" s="14" t="str" ph="1">
        <f>IFERROR(INDEX([1]!_born[生没年],
MATCH(I2295,[1]!_born[作],0)),"")</f>
        <v/>
      </c>
      <c r="N2295" s="14" t="str" ph="1">
        <f>IFERROR(INDEX([1]!_born[生没年],
MATCH(K2295,[1]!_born[作],0)),"")</f>
        <v/>
      </c>
      <c r="O2295" s="13" t="s" ph="1">
        <v>8435</v>
      </c>
      <c r="R2295" s="16" t="s" ph="1">
        <v>789</v>
      </c>
      <c r="T2295" s="13" t="s" ph="1">
        <v>7870</v>
      </c>
    </row>
    <row r="2296" spans="1:25" ht="22.5" customHeight="1" ph="1" x14ac:dyDescent="0.35">
      <c r="C2296" s="13" t="s" ph="1">
        <v>7591</v>
      </c>
      <c r="G2296" s="13" t="s" ph="1">
        <v>4758</v>
      </c>
      <c r="H2296" s="13" t="s" ph="1">
        <v>709</v>
      </c>
      <c r="I2296" s="13" t="s" ph="1">
        <v>242</v>
      </c>
      <c r="K2296" s="13" t="s" ph="1">
        <v>8392</v>
      </c>
      <c r="L2296" s="13" t="s" ph="1">
        <v>3628</v>
      </c>
      <c r="M2296" s="14" t="str" ph="1">
        <f>IFERROR(INDEX([1]!_born[生没年],
MATCH(I2296,[1]!_born[作],0)),"")</f>
        <v/>
      </c>
      <c r="N2296" s="14" t="str" ph="1">
        <f>IFERROR(INDEX([1]!_born[生没年],
MATCH(K2296,[1]!_born[作],0)),"")</f>
        <v/>
      </c>
      <c r="O2296" s="13" t="s" ph="1">
        <v>449</v>
      </c>
      <c r="R2296" s="16" t="s" ph="1">
        <v>784</v>
      </c>
      <c r="T2296" s="13" t="s" ph="1">
        <v>8276</v>
      </c>
    </row>
    <row r="2297" spans="1:25" ht="22.5" customHeight="1" ph="1" x14ac:dyDescent="0.35">
      <c r="C2297" s="13" t="s" ph="1">
        <v>7591</v>
      </c>
      <c r="G2297" s="13" t="s" ph="1">
        <v>4758</v>
      </c>
      <c r="H2297" s="13" t="s" ph="1">
        <v>709</v>
      </c>
      <c r="I2297" s="13" t="s" ph="1">
        <v>242</v>
      </c>
      <c r="K2297" s="13" t="s" ph="1">
        <v>8436</v>
      </c>
      <c r="L2297" s="13" t="s" ph="1">
        <v>3628</v>
      </c>
      <c r="M2297" s="14" t="str" ph="1">
        <f>IFERROR(INDEX([1]!_born[生没年],
MATCH(I2297,[1]!_born[作],0)),"")</f>
        <v/>
      </c>
      <c r="N2297" s="14" t="str" ph="1">
        <f>IFERROR(INDEX([1]!_born[生没年],
MATCH(K2297,[1]!_born[作],0)),"")</f>
        <v/>
      </c>
      <c r="O2297" s="13" t="s" ph="1">
        <v>134</v>
      </c>
      <c r="R2297" s="16" t="s" ph="1">
        <v>1525</v>
      </c>
      <c r="T2297" s="13" t="s" ph="1">
        <v>8276</v>
      </c>
    </row>
    <row r="2298" spans="1:25" ht="22.5" customHeight="1" ph="1" x14ac:dyDescent="0.35">
      <c r="C2298" s="13" t="s" ph="1">
        <v>7591</v>
      </c>
      <c r="G2298" s="13" t="s" ph="1">
        <v>4758</v>
      </c>
      <c r="H2298" s="13" t="s" ph="1">
        <v>709</v>
      </c>
      <c r="I2298" s="13" t="s" ph="1">
        <v>242</v>
      </c>
      <c r="K2298" s="13" t="s" ph="1">
        <v>8437</v>
      </c>
      <c r="L2298" s="13" t="s" ph="1">
        <v>3628</v>
      </c>
      <c r="M2298" s="14" t="str" ph="1">
        <f>IFERROR(INDEX([1]!_born[生没年],
MATCH(I2298,[1]!_born[作],0)),"")</f>
        <v/>
      </c>
      <c r="N2298" s="14" t="str" ph="1">
        <f>IFERROR(INDEX([1]!_born[生没年],
MATCH(K2298,[1]!_born[作],0)),"")</f>
        <v/>
      </c>
      <c r="O2298" s="13" t="s" ph="1">
        <v>8438</v>
      </c>
      <c r="R2298" s="16" t="s" ph="1">
        <v>1514</v>
      </c>
      <c r="T2298" s="13" t="s" ph="1">
        <v>7870</v>
      </c>
    </row>
    <row r="2299" spans="1:25" ht="22.5" customHeight="1" ph="1" x14ac:dyDescent="0.35">
      <c r="C2299" s="13" t="s" ph="1">
        <v>7591</v>
      </c>
      <c r="G2299" s="13" t="s" ph="1">
        <v>4758</v>
      </c>
      <c r="H2299" s="13" t="s" ph="1">
        <v>709</v>
      </c>
      <c r="I2299" s="13" t="s" ph="1">
        <v>242</v>
      </c>
      <c r="K2299" s="13" t="s" ph="1">
        <v>8439</v>
      </c>
      <c r="L2299" s="13" t="s" ph="1">
        <v>3628</v>
      </c>
      <c r="M2299" s="14" t="str" ph="1">
        <f>IFERROR(INDEX([1]!_born[生没年],
MATCH(I2299,[1]!_born[作],0)),"")</f>
        <v/>
      </c>
      <c r="N2299" s="14" t="str" ph="1">
        <f>IFERROR(INDEX([1]!_born[生没年],
MATCH(K2299,[1]!_born[作],0)),"")</f>
        <v/>
      </c>
      <c r="O2299" s="22" t="s" ph="1">
        <v>8440</v>
      </c>
      <c r="R2299" s="16" t="s" ph="1">
        <v>8441</v>
      </c>
      <c r="T2299" s="13" t="s" ph="1">
        <v>7730</v>
      </c>
      <c r="U2299" s="16" ph="1">
        <v>36807</v>
      </c>
      <c r="V2299" s="17" ph="1">
        <v>580</v>
      </c>
      <c r="W2299" s="17" ph="1">
        <v>0</v>
      </c>
      <c r="X2299" s="13" t="s" ph="1">
        <v>3622</v>
      </c>
      <c r="Y2299" s="13" t="s" ph="1">
        <v>3623</v>
      </c>
    </row>
    <row r="2300" spans="1:25" ht="22.5" customHeight="1" ph="1" x14ac:dyDescent="0.35">
      <c r="C2300" s="13" t="s" ph="1">
        <v>7591</v>
      </c>
      <c r="G2300" s="13" t="s" ph="1">
        <v>4758</v>
      </c>
      <c r="H2300" s="13" t="s" ph="1">
        <v>709</v>
      </c>
      <c r="I2300" s="13" t="s" ph="1">
        <v>242</v>
      </c>
      <c r="K2300" s="13" t="s" ph="1">
        <v>8392</v>
      </c>
      <c r="L2300" s="13" t="s" ph="1">
        <v>3628</v>
      </c>
      <c r="M2300" s="14" t="str" ph="1">
        <f>IFERROR(INDEX([1]!_born[生没年],
MATCH(I2300,[1]!_born[作],0)),"")</f>
        <v/>
      </c>
      <c r="N2300" s="14" t="str" ph="1">
        <f>IFERROR(INDEX([1]!_born[生没年],
MATCH(K2300,[1]!_born[作],0)),"")</f>
        <v/>
      </c>
      <c r="O2300" s="13" t="s" ph="1">
        <v>8442</v>
      </c>
      <c r="R2300" s="16" t="s" ph="1">
        <v>924</v>
      </c>
      <c r="T2300" s="13" t="s" ph="1">
        <v>5147</v>
      </c>
      <c r="U2300" s="16" ph="1">
        <v>36861</v>
      </c>
      <c r="V2300" s="17" ph="1">
        <v>480</v>
      </c>
      <c r="W2300" s="17" ph="1">
        <v>600</v>
      </c>
      <c r="X2300" s="13" t="s" ph="1">
        <v>1526</v>
      </c>
      <c r="Y2300" s="13" t="s" ph="1">
        <v>8443</v>
      </c>
    </row>
    <row r="2301" spans="1:25" ht="22.5" customHeight="1" ph="1" x14ac:dyDescent="0.35">
      <c r="C2301" s="13" t="s" ph="1">
        <v>7591</v>
      </c>
      <c r="G2301" s="13" t="s" ph="1">
        <v>4758</v>
      </c>
      <c r="H2301" s="13" t="s" ph="1">
        <v>709</v>
      </c>
      <c r="I2301" s="13" t="s" ph="1">
        <v>242</v>
      </c>
      <c r="K2301" s="13" t="s" ph="1">
        <v>8444</v>
      </c>
      <c r="L2301" s="13" t="s" ph="1">
        <v>5187</v>
      </c>
      <c r="M2301" s="14" t="str" ph="1">
        <f>IFERROR(INDEX([1]!_born[生没年],
MATCH(I2301,[1]!_born[作],0)),"")</f>
        <v/>
      </c>
      <c r="N2301" s="14" t="str" ph="1">
        <f>IFERROR(INDEX([1]!_born[生没年],
MATCH(K2301,[1]!_born[作],0)),"")</f>
        <v/>
      </c>
      <c r="O2301" s="13" t="s" ph="1">
        <v>8445</v>
      </c>
      <c r="R2301" s="16" t="s" ph="1">
        <v>1488</v>
      </c>
      <c r="T2301" s="13" t="s" ph="1">
        <v>8446</v>
      </c>
    </row>
    <row r="2302" spans="1:25" ht="22.5" customHeight="1" ph="1" x14ac:dyDescent="0.35">
      <c r="A2302" s="106" t="s" ph="1">
        <v>1527</v>
      </c>
      <c r="B2302" s="5" t="s" ph="1">
        <v>1494</v>
      </c>
      <c r="C2302" s="13" t="s" ph="1">
        <v>7591</v>
      </c>
      <c r="G2302" s="13" t="s" ph="1">
        <v>4758</v>
      </c>
      <c r="H2302" s="13" t="s" ph="1">
        <v>709</v>
      </c>
      <c r="I2302" s="13" t="s" ph="1">
        <v>344</v>
      </c>
      <c r="K2302" s="13" t="s" ph="1">
        <v>8447</v>
      </c>
      <c r="L2302" s="13" t="s" ph="1">
        <v>3628</v>
      </c>
      <c r="M2302" s="14" t="str" ph="1">
        <f>IFERROR(INDEX([1]!_born[生没年],
MATCH(I2302,[1]!_born[作],0)),"")</f>
        <v/>
      </c>
      <c r="N2302" s="14" t="str" ph="1">
        <f>IFERROR(INDEX([1]!_born[生没年],
MATCH(K2302,[1]!_born[作],0)),"")</f>
        <v/>
      </c>
      <c r="O2302" s="13" t="s" ph="1">
        <v>517</v>
      </c>
      <c r="T2302" s="13" t="s" ph="1">
        <v>5147</v>
      </c>
      <c r="U2302" s="16" t="s" ph="1">
        <v>1501</v>
      </c>
      <c r="V2302" s="17" ph="1">
        <f>483*1.05</f>
        <v>507.15000000000003</v>
      </c>
      <c r="W2302" s="17" ph="1">
        <f>483*1.05</f>
        <v>507.15000000000003</v>
      </c>
    </row>
    <row r="2303" spans="1:25" ht="22.5" customHeight="1" ph="1" x14ac:dyDescent="0.35">
      <c r="C2303" s="13" t="s" ph="1">
        <v>7591</v>
      </c>
      <c r="G2303" s="13" t="s" ph="1">
        <v>4758</v>
      </c>
      <c r="H2303" s="13" t="s" ph="1">
        <v>709</v>
      </c>
      <c r="I2303" s="13" t="s" ph="1">
        <v>38</v>
      </c>
      <c r="K2303" s="13" t="s" ph="1">
        <v>8448</v>
      </c>
      <c r="L2303" s="13" t="s" ph="1">
        <v>3628</v>
      </c>
      <c r="M2303" s="14" t="str" ph="1">
        <f>IFERROR(INDEX([1]!_born[生没年],
MATCH(I2303,[1]!_born[作],0)),"")</f>
        <v/>
      </c>
      <c r="N2303" s="14" t="str" ph="1">
        <f>IFERROR(INDEX([1]!_born[生没年],
MATCH(K2303,[1]!_born[作],0)),"")</f>
        <v/>
      </c>
      <c r="O2303" s="13" t="s" ph="1">
        <v>576</v>
      </c>
      <c r="T2303" s="13" t="s" ph="1">
        <v>7611</v>
      </c>
    </row>
    <row r="2304" spans="1:25" ht="22.5" customHeight="1" ph="1" x14ac:dyDescent="0.35">
      <c r="C2304" s="13" t="s" ph="1">
        <v>7591</v>
      </c>
      <c r="G2304" s="13" t="s" ph="1">
        <v>4758</v>
      </c>
      <c r="H2304" s="13" t="s" ph="1">
        <v>709</v>
      </c>
      <c r="I2304" s="13" t="s" ph="1">
        <v>39</v>
      </c>
      <c r="K2304" s="13" t="s" ph="1">
        <v>8449</v>
      </c>
      <c r="L2304" s="13" t="s" ph="1">
        <v>3628</v>
      </c>
      <c r="M2304" s="14" t="str" ph="1">
        <f>IFERROR(INDEX([1]!_born[生没年],
MATCH(I2304,[1]!_born[作],0)),"")</f>
        <v/>
      </c>
      <c r="N2304" s="14" t="str" ph="1">
        <f>IFERROR(INDEX([1]!_born[生没年],
MATCH(K2304,[1]!_born[作],0)),"")</f>
        <v/>
      </c>
      <c r="O2304" s="13" t="s" ph="1">
        <v>577</v>
      </c>
      <c r="R2304" s="16" t="s" ph="1">
        <v>1528</v>
      </c>
      <c r="T2304" s="13" t="s" ph="1">
        <v>7870</v>
      </c>
    </row>
    <row r="2305" spans="1:25" ht="22.5" customHeight="1" ph="1" x14ac:dyDescent="0.35">
      <c r="C2305" s="13" t="s" ph="1">
        <v>7591</v>
      </c>
      <c r="G2305" s="13" t="s" ph="1">
        <v>4758</v>
      </c>
      <c r="H2305" s="13" t="s" ph="1">
        <v>709</v>
      </c>
      <c r="I2305" s="13" t="s" ph="1">
        <v>289</v>
      </c>
      <c r="K2305" s="13" t="s" ph="1">
        <v>8450</v>
      </c>
      <c r="L2305" s="13" t="s" ph="1">
        <v>3628</v>
      </c>
      <c r="M2305" s="14" t="str" ph="1">
        <f>IFERROR(INDEX([1]!_born[生没年],
MATCH(I2305,[1]!_born[作],0)),"")</f>
        <v/>
      </c>
      <c r="N2305" s="14" t="str" ph="1">
        <f>IFERROR(INDEX([1]!_born[生没年],
MATCH(K2305,[1]!_born[作],0)),"")</f>
        <v/>
      </c>
      <c r="O2305" s="13" t="s" ph="1">
        <v>8451</v>
      </c>
      <c r="R2305" s="16" t="s" ph="1">
        <v>1529</v>
      </c>
      <c r="T2305" s="13" t="s" ph="1">
        <v>7870</v>
      </c>
    </row>
    <row r="2306" spans="1:25" ht="22.5" customHeight="1" ph="1" x14ac:dyDescent="0.35">
      <c r="C2306" s="13" t="s" ph="1">
        <v>7591</v>
      </c>
      <c r="G2306" s="13" t="s" ph="1">
        <v>4758</v>
      </c>
      <c r="H2306" s="13" t="s" ph="1">
        <v>1035</v>
      </c>
      <c r="I2306" s="13" t="s" ph="1">
        <v>20</v>
      </c>
      <c r="K2306" s="13" t="s" ph="1">
        <v>8452</v>
      </c>
      <c r="L2306" s="13" t="s" ph="1">
        <v>3628</v>
      </c>
      <c r="M2306" s="14" t="str" ph="1">
        <f>IFERROR(INDEX([1]!_born[生没年],
MATCH(I2306,[1]!_born[作],0)),"")</f>
        <v/>
      </c>
      <c r="N2306" s="14" t="str" ph="1">
        <f>IFERROR(INDEX([1]!_born[生没年],
MATCH(K2306,[1]!_born[作],0)),"")</f>
        <v/>
      </c>
      <c r="O2306" s="13" t="s" ph="1">
        <v>8453</v>
      </c>
      <c r="R2306" s="16" t="s" ph="1">
        <v>8454</v>
      </c>
      <c r="T2306" s="13" t="s" ph="1">
        <v>8455</v>
      </c>
      <c r="U2306" s="16" ph="1">
        <v>37073</v>
      </c>
      <c r="V2306" s="17" ph="1">
        <f>700*1.05</f>
        <v>735</v>
      </c>
      <c r="X2306" s="13" t="s" ph="1">
        <v>8456</v>
      </c>
    </row>
    <row r="2307" spans="1:25" ht="22.5" customHeight="1" ph="1" x14ac:dyDescent="0.35">
      <c r="C2307" s="13" t="s" ph="1">
        <v>7591</v>
      </c>
      <c r="G2307" s="13" t="s" ph="1">
        <v>4758</v>
      </c>
      <c r="H2307" s="13" t="s" ph="1">
        <v>709</v>
      </c>
      <c r="I2307" s="13" t="s" ph="1">
        <v>290</v>
      </c>
      <c r="K2307" s="13" t="s" ph="1">
        <v>8457</v>
      </c>
      <c r="L2307" s="13" t="s" ph="1">
        <v>3628</v>
      </c>
      <c r="M2307" s="14" t="str" ph="1">
        <f>IFERROR(INDEX([1]!_born[生没年],
MATCH(I2307,[1]!_born[作],0)),"")</f>
        <v/>
      </c>
      <c r="N2307" s="14" t="str" ph="1">
        <f>IFERROR(INDEX([1]!_born[生没年],
MATCH(K2307,[1]!_born[作],0)),"")</f>
        <v/>
      </c>
      <c r="O2307" s="13" t="s" ph="1">
        <v>442</v>
      </c>
      <c r="R2307" s="16" t="s" ph="1">
        <v>1005</v>
      </c>
      <c r="T2307" s="13" t="s" ph="1">
        <v>5147</v>
      </c>
    </row>
    <row r="2308" spans="1:25" ht="22.5" customHeight="1" ph="1" x14ac:dyDescent="0.35">
      <c r="A2308" s="106" t="s" ph="1">
        <v>1530</v>
      </c>
      <c r="B2308" s="5" t="s" ph="1">
        <v>1484</v>
      </c>
      <c r="C2308" s="13" t="s" ph="1">
        <v>7591</v>
      </c>
      <c r="G2308" s="13" t="s" ph="1">
        <v>4758</v>
      </c>
      <c r="H2308" s="13" t="s" ph="1">
        <v>709</v>
      </c>
      <c r="I2308" s="13" t="s" ph="1">
        <v>440</v>
      </c>
      <c r="K2308" s="13" t="s" ph="1">
        <v>8458</v>
      </c>
      <c r="L2308" s="13" t="s" ph="1">
        <v>3628</v>
      </c>
      <c r="M2308" s="14" t="str" ph="1">
        <f>IFERROR(INDEX([1]!_born[生没年],
MATCH(I2308,[1]!_born[作],0)),"")</f>
        <v/>
      </c>
      <c r="N2308" s="14" t="str" ph="1">
        <f>IFERROR(INDEX([1]!_born[生没年],
MATCH(K2308,[1]!_born[作],0)),"")</f>
        <v/>
      </c>
      <c r="O2308" s="13" t="s" ph="1">
        <v>8459</v>
      </c>
      <c r="R2308" s="16" t="s" ph="1">
        <v>1525</v>
      </c>
      <c r="T2308" s="13" t="s">
        <v>7649</v>
      </c>
      <c r="U2308" s="16" t="s" ph="1">
        <v>1531</v>
      </c>
      <c r="V2308" s="17" ph="1">
        <f>690*1.05</f>
        <v>724.5</v>
      </c>
      <c r="W2308" s="17" ph="1">
        <f>690*1.05</f>
        <v>724.5</v>
      </c>
    </row>
    <row r="2309" spans="1:25" ht="22.5" customHeight="1" ph="1" x14ac:dyDescent="0.35">
      <c r="A2309" s="106" t="s" ph="1">
        <v>1532</v>
      </c>
      <c r="B2309" s="5" t="s" ph="1">
        <v>1484</v>
      </c>
      <c r="C2309" s="13" t="s" ph="1">
        <v>7591</v>
      </c>
      <c r="G2309" s="13" t="s" ph="1">
        <v>4758</v>
      </c>
      <c r="H2309" s="13" t="s" ph="1">
        <v>709</v>
      </c>
      <c r="I2309" s="13" t="s" ph="1">
        <v>440</v>
      </c>
      <c r="K2309" s="13" t="s" ph="1">
        <v>8460</v>
      </c>
      <c r="L2309" s="13" t="s" ph="1">
        <v>3628</v>
      </c>
      <c r="M2309" s="14" t="str" ph="1">
        <f>IFERROR(INDEX([1]!_born[生没年],
MATCH(I2309,[1]!_born[作],0)),"")</f>
        <v/>
      </c>
      <c r="N2309" s="14" t="str" ph="1">
        <f>IFERROR(INDEX([1]!_born[生没年],
MATCH(K2309,[1]!_born[作],0)),"")</f>
        <v/>
      </c>
      <c r="O2309" s="13" t="s" ph="1">
        <v>8461</v>
      </c>
      <c r="R2309" s="16" t="s" ph="1">
        <v>764</v>
      </c>
      <c r="T2309" s="13" t="s">
        <v>7649</v>
      </c>
      <c r="U2309" s="16" ph="1">
        <v>38549</v>
      </c>
      <c r="V2309" s="17" ph="1">
        <f>1165*1.05</f>
        <v>1223.25</v>
      </c>
      <c r="W2309" s="17" ph="1">
        <f>1165*1.05</f>
        <v>1223.25</v>
      </c>
      <c r="X2309" s="13" t="s" ph="1">
        <v>7903</v>
      </c>
    </row>
    <row r="2310" spans="1:25" ht="22.5" customHeight="1" ph="1" x14ac:dyDescent="0.35">
      <c r="A2310" s="106" t="s" ph="1">
        <v>1533</v>
      </c>
      <c r="B2310" s="5" t="s" ph="1">
        <v>1494</v>
      </c>
      <c r="C2310" s="13" t="s" ph="1">
        <v>7591</v>
      </c>
      <c r="G2310" s="13" t="s" ph="1">
        <v>4758</v>
      </c>
      <c r="H2310" s="13" t="s" ph="1">
        <v>709</v>
      </c>
      <c r="I2310" s="13" t="s" ph="1">
        <v>440</v>
      </c>
      <c r="K2310" s="13" t="s" ph="1">
        <v>8460</v>
      </c>
      <c r="L2310" s="13" t="s" ph="1">
        <v>3628</v>
      </c>
      <c r="M2310" s="14" t="str" ph="1">
        <f>IFERROR(INDEX([1]!_born[生没年],
MATCH(I2310,[1]!_born[作],0)),"")</f>
        <v/>
      </c>
      <c r="N2310" s="14" t="str" ph="1">
        <f>IFERROR(INDEX([1]!_born[生没年],
MATCH(K2310,[1]!_born[作],0)),"")</f>
        <v/>
      </c>
      <c r="O2310" s="13" t="s" ph="1">
        <v>8462</v>
      </c>
      <c r="R2310" s="16" t="s" ph="1">
        <v>743</v>
      </c>
      <c r="T2310" s="13" t="s">
        <v>7649</v>
      </c>
      <c r="U2310" s="16" ph="1">
        <v>38588</v>
      </c>
      <c r="V2310" s="17" ph="1">
        <f>680*1.05</f>
        <v>714</v>
      </c>
      <c r="W2310" s="17" ph="1">
        <v>380</v>
      </c>
      <c r="X2310" s="13" t="s" ph="1">
        <v>3792</v>
      </c>
    </row>
    <row r="2311" spans="1:25" ht="22.5" customHeight="1" ph="1" x14ac:dyDescent="0.35">
      <c r="C2311" s="13" t="s" ph="1">
        <v>7591</v>
      </c>
      <c r="G2311" s="13" t="s" ph="1">
        <v>4758</v>
      </c>
      <c r="H2311" s="13" t="s" ph="1">
        <v>709</v>
      </c>
      <c r="I2311" s="13" t="s" ph="1">
        <v>562</v>
      </c>
      <c r="K2311" s="13" t="s" ph="1">
        <v>8463</v>
      </c>
      <c r="L2311" s="13" t="s" ph="1">
        <v>3628</v>
      </c>
      <c r="M2311" s="14" t="str" ph="1">
        <f>IFERROR(INDEX([1]!_born[生没年],
MATCH(I2311,[1]!_born[作],0)),"")</f>
        <v/>
      </c>
      <c r="N2311" s="14" t="str" ph="1">
        <f>IFERROR(INDEX([1]!_born[生没年],
MATCH(K2311,[1]!_born[作],0)),"")</f>
        <v/>
      </c>
      <c r="O2311" s="13" t="s" ph="1">
        <v>8464</v>
      </c>
      <c r="T2311" s="13" t="s" ph="1">
        <v>7652</v>
      </c>
    </row>
    <row r="2312" spans="1:25" ht="22.5" customHeight="1" ph="1" x14ac:dyDescent="0.35">
      <c r="C2312" s="13" t="s" ph="1">
        <v>7591</v>
      </c>
      <c r="G2312" s="13" t="s" ph="1">
        <v>4758</v>
      </c>
      <c r="H2312" s="13" t="s" ph="1">
        <v>709</v>
      </c>
      <c r="I2312" s="13" t="s" ph="1">
        <v>8465</v>
      </c>
      <c r="K2312" s="13" t="s" ph="1">
        <v>8466</v>
      </c>
      <c r="L2312" s="13" t="s" ph="1">
        <v>3628</v>
      </c>
      <c r="M2312" s="14" t="str" ph="1">
        <f>IFERROR(INDEX([1]!_born[生没年],
MATCH(I2312,[1]!_born[作],0)),"")</f>
        <v/>
      </c>
      <c r="N2312" s="14" t="str" ph="1">
        <f>IFERROR(INDEX([1]!_born[生没年],
MATCH(K2312,[1]!_born[作],0)),"")</f>
        <v/>
      </c>
      <c r="O2312" s="13" t="s" ph="1">
        <v>132</v>
      </c>
      <c r="T2312" s="13" t="s" ph="1">
        <v>5147</v>
      </c>
      <c r="V2312" s="17" ph="1">
        <v>240</v>
      </c>
      <c r="W2312" s="17" ph="1">
        <v>150</v>
      </c>
    </row>
    <row r="2313" spans="1:25" ht="22.5" customHeight="1" ph="1" x14ac:dyDescent="0.35">
      <c r="C2313" s="13" t="s" ph="1">
        <v>7591</v>
      </c>
      <c r="G2313" s="13" t="s" ph="1">
        <v>4758</v>
      </c>
      <c r="H2313" s="13" t="s" ph="1">
        <v>709</v>
      </c>
      <c r="I2313" s="13" t="s" ph="1">
        <v>563</v>
      </c>
      <c r="K2313" s="13" t="s" ph="1">
        <v>8467</v>
      </c>
      <c r="L2313" s="13" t="s" ph="1">
        <v>8468</v>
      </c>
      <c r="M2313" s="14" t="str" ph="1">
        <f>IFERROR(INDEX([1]!_born[生没年],
MATCH(I2313,[1]!_born[作],0)),"")</f>
        <v/>
      </c>
      <c r="N2313" s="14" t="str" ph="1">
        <f>IFERROR(INDEX([1]!_born[生没年],
MATCH(K2313,[1]!_born[作],0)),"")</f>
        <v/>
      </c>
      <c r="O2313" s="13" t="s" ph="1">
        <v>8469</v>
      </c>
      <c r="R2313" s="16" t="s" ph="1">
        <v>1534</v>
      </c>
      <c r="T2313" s="13" t="s" ph="1">
        <v>7599</v>
      </c>
    </row>
    <row r="2314" spans="1:25" ht="22.5" customHeight="1" ph="1" x14ac:dyDescent="0.35">
      <c r="C2314" s="13" t="s" ph="1">
        <v>7591</v>
      </c>
      <c r="E2314" s="123" ph="1">
        <v>2</v>
      </c>
      <c r="G2314" s="13" t="s" ph="1">
        <v>4758</v>
      </c>
      <c r="H2314" s="13" t="s" ph="1">
        <v>43</v>
      </c>
      <c r="I2314" s="13" t="s" ph="1">
        <v>3168</v>
      </c>
      <c r="K2314" s="13" t="s" ph="1">
        <v>8420</v>
      </c>
      <c r="L2314" s="13" t="s" ph="1">
        <v>3628</v>
      </c>
      <c r="M2314" s="14" t="str" ph="1">
        <f>IFERROR(INDEX([1]!_born[生没年],
MATCH(I2314,[1]!_born[作],0)),"")</f>
        <v/>
      </c>
      <c r="N2314" s="14" t="str" ph="1">
        <f>IFERROR(INDEX([1]!_born[生没年],
MATCH(K2314,[1]!_born[作],0)),"")</f>
        <v/>
      </c>
      <c r="O2314" s="13" t="s" ph="1">
        <v>8470</v>
      </c>
      <c r="T2314" s="13" t="s" ph="1">
        <v>5147</v>
      </c>
      <c r="U2314" s="16" t="s" ph="1">
        <v>3169</v>
      </c>
      <c r="V2314" s="17" ph="1">
        <f>583*1.03+629*1.05</f>
        <v>1260.94</v>
      </c>
      <c r="W2314" s="17" ph="1">
        <f>110+110</f>
        <v>220</v>
      </c>
      <c r="X2314" s="13" t="s" ph="1">
        <v>1692</v>
      </c>
    </row>
    <row r="2315" spans="1:25" ht="22.5" customHeight="1" ph="1" x14ac:dyDescent="0.35">
      <c r="C2315" s="13" t="s" ph="1">
        <v>7591</v>
      </c>
      <c r="G2315" s="13" t="s" ph="1">
        <v>4758</v>
      </c>
      <c r="H2315" s="13" t="s" ph="1">
        <v>709</v>
      </c>
      <c r="I2315" s="13" t="s" ph="1">
        <v>4</v>
      </c>
      <c r="K2315" s="13" t="s" ph="1">
        <v>8471</v>
      </c>
      <c r="L2315" s="13" t="s" ph="1">
        <v>3628</v>
      </c>
      <c r="M2315" s="14" t="str" ph="1">
        <f>IFERROR(INDEX([1]!_born[生没年],
MATCH(I2315,[1]!_born[作],0)),"")</f>
        <v/>
      </c>
      <c r="N2315" s="14" t="str" ph="1">
        <f>IFERROR(INDEX([1]!_born[生没年],
MATCH(K2315,[1]!_born[作],0)),"")</f>
        <v/>
      </c>
      <c r="O2315" s="13" t="s" ph="1">
        <v>8472</v>
      </c>
      <c r="T2315" s="13" t="s" ph="1">
        <v>7611</v>
      </c>
    </row>
    <row r="2316" spans="1:25" ht="22.5" customHeight="1" ph="1" x14ac:dyDescent="0.35">
      <c r="C2316" s="13" t="s" ph="1">
        <v>7591</v>
      </c>
      <c r="G2316" s="13" t="s" ph="1">
        <v>4758</v>
      </c>
      <c r="H2316" s="13" t="s" ph="1">
        <v>709</v>
      </c>
      <c r="I2316" s="13" t="s" ph="1">
        <v>4</v>
      </c>
      <c r="K2316" s="13" t="s" ph="1">
        <v>8471</v>
      </c>
      <c r="L2316" s="13" t="s" ph="1">
        <v>3628</v>
      </c>
      <c r="M2316" s="14" t="str" ph="1">
        <f>IFERROR(INDEX([1]!_born[生没年],
MATCH(I2316,[1]!_born[作],0)),"")</f>
        <v/>
      </c>
      <c r="N2316" s="14" t="str" ph="1">
        <f>IFERROR(INDEX([1]!_born[生没年],
MATCH(K2316,[1]!_born[作],0)),"")</f>
        <v/>
      </c>
      <c r="O2316" s="13" t="s" ph="1">
        <v>8473</v>
      </c>
      <c r="R2316" s="16" t="s" ph="1">
        <v>1535</v>
      </c>
      <c r="T2316" s="13" t="s" ph="1">
        <v>7599</v>
      </c>
    </row>
    <row r="2317" spans="1:25" ht="22.5" customHeight="1" ph="1" x14ac:dyDescent="0.35">
      <c r="C2317" s="13" t="s" ph="1">
        <v>7591</v>
      </c>
      <c r="G2317" s="13" t="s" ph="1">
        <v>4758</v>
      </c>
      <c r="H2317" s="13" t="s" ph="1">
        <v>709</v>
      </c>
      <c r="I2317" s="13" t="s" ph="1">
        <v>564</v>
      </c>
      <c r="K2317" s="13" t="s" ph="1">
        <v>8474</v>
      </c>
      <c r="L2317" s="13" t="s" ph="1">
        <v>3628</v>
      </c>
      <c r="M2317" s="14" t="str" ph="1">
        <f>IFERROR(INDEX([1]!_born[生没年],
MATCH(I2317,[1]!_born[作],0)),"")</f>
        <v/>
      </c>
      <c r="N2317" s="14" t="str" ph="1">
        <f>IFERROR(INDEX([1]!_born[生没年],
MATCH(K2317,[1]!_born[作],0)),"")</f>
        <v/>
      </c>
      <c r="O2317" s="13" t="s" ph="1">
        <v>8475</v>
      </c>
      <c r="T2317" s="13" t="s" ph="1">
        <v>7611</v>
      </c>
      <c r="V2317" s="17" ph="1">
        <v>340</v>
      </c>
      <c r="W2317" s="17" ph="1">
        <v>150</v>
      </c>
    </row>
    <row r="2318" spans="1:25" ht="22.5" customHeight="1" ph="1" x14ac:dyDescent="0.35">
      <c r="C2318" s="13" t="s" ph="1">
        <v>7591</v>
      </c>
      <c r="G2318" s="13" t="s" ph="1">
        <v>8476</v>
      </c>
      <c r="H2318" s="13" t="s" ph="1">
        <v>709</v>
      </c>
      <c r="I2318" s="13" t="s" ph="1">
        <v>8477</v>
      </c>
      <c r="K2318" s="13" t="s" ph="1">
        <v>8478</v>
      </c>
      <c r="L2318" s="13" t="s" ph="1">
        <v>3628</v>
      </c>
      <c r="M2318" s="14" t="str" ph="1">
        <f>IFERROR(INDEX([1]!_born[生没年],
MATCH(I2318,[1]!_born[作],0)),"")</f>
        <v/>
      </c>
      <c r="N2318" s="14" t="str" ph="1">
        <f>IFERROR(INDEX([1]!_born[生没年],
MATCH(K2318,[1]!_born[作],0)),"")</f>
        <v/>
      </c>
      <c r="O2318" s="13" t="s" ph="1">
        <v>8479</v>
      </c>
      <c r="T2318" s="13" t="s" ph="1">
        <v>7599</v>
      </c>
      <c r="Y2318" s="13" t="s" ph="1">
        <v>8480</v>
      </c>
    </row>
    <row r="2319" spans="1:25" ht="22.5" customHeight="1" ph="1" x14ac:dyDescent="0.35">
      <c r="C2319" s="13" t="s" ph="1">
        <v>7591</v>
      </c>
      <c r="D2319" s="123" ph="1">
        <v>1</v>
      </c>
      <c r="E2319" s="123" ph="1">
        <v>4</v>
      </c>
      <c r="G2319" s="13" t="s" ph="1">
        <v>4758</v>
      </c>
      <c r="H2319" s="13" t="s" ph="1">
        <v>709</v>
      </c>
      <c r="I2319" s="13" t="s" ph="1">
        <v>565</v>
      </c>
      <c r="K2319" s="13" t="s" ph="1">
        <v>8481</v>
      </c>
      <c r="L2319" s="13" t="s" ph="1">
        <v>3628</v>
      </c>
      <c r="M2319" s="14" t="str" ph="1">
        <f>IFERROR(INDEX([1]!_born[生没年],
MATCH(I2319,[1]!_born[作],0)),"")</f>
        <v/>
      </c>
      <c r="N2319" s="14" t="str" ph="1">
        <f>IFERROR(INDEX([1]!_born[生没年],
MATCH(K2319,[1]!_born[作],0)),"")</f>
        <v/>
      </c>
      <c r="O2319" s="13" t="s" ph="1">
        <v>8482</v>
      </c>
      <c r="R2319" s="16" t="s" ph="1">
        <v>791</v>
      </c>
      <c r="T2319" s="13" t="s" ph="1">
        <v>7870</v>
      </c>
      <c r="U2319" s="16" ph="1">
        <v>37073</v>
      </c>
      <c r="V2319" s="17" ph="1">
        <f>680*1.05</f>
        <v>714</v>
      </c>
      <c r="X2319" s="13" t="s" ph="1">
        <v>3802</v>
      </c>
    </row>
    <row r="2320" spans="1:25" ht="22.5" customHeight="1" ph="1" x14ac:dyDescent="0.35">
      <c r="C2320" s="13" t="s" ph="1">
        <v>7591</v>
      </c>
      <c r="G2320" s="13" t="s" ph="1">
        <v>5417</v>
      </c>
      <c r="H2320" s="13" t="s" ph="1">
        <v>709</v>
      </c>
      <c r="I2320" s="13" t="s" ph="1">
        <v>528</v>
      </c>
      <c r="K2320" s="13" t="s" ph="1">
        <v>8483</v>
      </c>
      <c r="L2320" s="13" t="s" ph="1">
        <v>8468</v>
      </c>
      <c r="M2320" s="14" t="str" ph="1">
        <f>IFERROR(INDEX([1]!_born[生没年],
MATCH(I2320,[1]!_born[作],0)),"")</f>
        <v/>
      </c>
      <c r="N2320" s="14" t="str" ph="1">
        <f>IFERROR(INDEX([1]!_born[生没年],
MATCH(K2320,[1]!_born[作],0)),"")</f>
        <v/>
      </c>
      <c r="O2320" s="13" t="s" ph="1">
        <v>8484</v>
      </c>
      <c r="T2320" s="13" t="s" ph="1">
        <v>7730</v>
      </c>
      <c r="V2320" s="17" ph="1">
        <v>520</v>
      </c>
      <c r="W2320" s="17" ph="1">
        <v>350</v>
      </c>
    </row>
    <row r="2321" spans="1:25" ht="22.5" customHeight="1" ph="1" x14ac:dyDescent="0.35">
      <c r="C2321" s="13" t="s" ph="1">
        <v>7591</v>
      </c>
      <c r="G2321" s="13" t="s" ph="1">
        <v>7759</v>
      </c>
      <c r="H2321" s="13" t="s" ph="1">
        <v>709</v>
      </c>
      <c r="I2321" s="13" t="s" ph="1">
        <v>528</v>
      </c>
      <c r="K2321" s="13" t="s" ph="1">
        <v>8485</v>
      </c>
      <c r="L2321" s="13" t="s" ph="1">
        <v>3628</v>
      </c>
      <c r="M2321" s="14" t="str" ph="1">
        <f>IFERROR(INDEX([1]!_born[生没年],
MATCH(I2321,[1]!_born[作],0)),"")</f>
        <v/>
      </c>
      <c r="N2321" s="14" t="str" ph="1">
        <f>IFERROR(INDEX([1]!_born[生没年],
MATCH(K2321,[1]!_born[作],0)),"")</f>
        <v/>
      </c>
      <c r="O2321" s="13" t="s" ph="1">
        <v>8486</v>
      </c>
      <c r="R2321" s="16" t="s" ph="1">
        <v>1536</v>
      </c>
      <c r="T2321" s="13" t="s" ph="1">
        <v>7599</v>
      </c>
    </row>
    <row r="2322" spans="1:25" ht="22.5" customHeight="1" ph="1" x14ac:dyDescent="0.35">
      <c r="C2322" s="13" t="s" ph="1">
        <v>7591</v>
      </c>
      <c r="D2322" s="123" ph="1">
        <v>1</v>
      </c>
      <c r="E2322" s="123" ph="1">
        <v>2</v>
      </c>
      <c r="G2322" s="13" t="s" ph="1">
        <v>4758</v>
      </c>
      <c r="H2322" s="13" t="s" ph="1">
        <v>709</v>
      </c>
      <c r="I2322" s="13" t="s" ph="1">
        <v>528</v>
      </c>
      <c r="K2322" s="13" t="s" ph="1">
        <v>8487</v>
      </c>
      <c r="L2322" s="13" t="s" ph="1">
        <v>3628</v>
      </c>
      <c r="M2322" s="14" t="str" ph="1">
        <f>IFERROR(INDEX([1]!_born[生没年],
MATCH(I2322,[1]!_born[作],0)),"")</f>
        <v/>
      </c>
      <c r="N2322" s="14" t="str" ph="1">
        <f>IFERROR(INDEX([1]!_born[生没年],
MATCH(K2322,[1]!_born[作],0)),"")</f>
        <v/>
      </c>
      <c r="O2322" s="13" t="s" ph="1">
        <v>8488</v>
      </c>
      <c r="S2322" s="13" t="s" ph="1">
        <v>4103</v>
      </c>
      <c r="T2322" s="13" t="s" ph="1">
        <v>7599</v>
      </c>
    </row>
    <row r="2323" spans="1:25" ht="22.5" customHeight="1" ph="1" x14ac:dyDescent="0.35">
      <c r="C2323" s="13" t="s" ph="1">
        <v>7591</v>
      </c>
      <c r="D2323" s="123" ph="1">
        <v>2</v>
      </c>
      <c r="E2323" s="123" ph="1">
        <v>2</v>
      </c>
      <c r="G2323" s="13" t="s" ph="1">
        <v>4758</v>
      </c>
      <c r="H2323" s="13" t="s" ph="1">
        <v>709</v>
      </c>
      <c r="I2323" s="13" t="s" ph="1">
        <v>528</v>
      </c>
      <c r="K2323" s="13" t="s" ph="1">
        <v>8487</v>
      </c>
      <c r="L2323" s="13" t="s" ph="1">
        <v>3628</v>
      </c>
      <c r="M2323" s="14" t="str" ph="1">
        <f>IFERROR(INDEX([1]!_born[生没年],
MATCH(I2323,[1]!_born[作],0)),"")</f>
        <v/>
      </c>
      <c r="N2323" s="14" t="str" ph="1">
        <f>IFERROR(INDEX([1]!_born[生没年],
MATCH(K2323,[1]!_born[作],0)),"")</f>
        <v/>
      </c>
      <c r="O2323" s="13" t="s" ph="1">
        <v>8488</v>
      </c>
      <c r="S2323" s="13" t="s" ph="1">
        <v>4103</v>
      </c>
      <c r="T2323" s="13" t="s" ph="1">
        <v>7599</v>
      </c>
    </row>
    <row r="2324" spans="1:25" ht="22.5" customHeight="1" ph="1" x14ac:dyDescent="0.35">
      <c r="A2324" s="106" t="s" ph="1">
        <v>1537</v>
      </c>
      <c r="B2324" s="5" t="s" ph="1">
        <v>1484</v>
      </c>
      <c r="C2324" s="13" t="s" ph="1">
        <v>7591</v>
      </c>
      <c r="D2324" s="123" ph="1">
        <v>1</v>
      </c>
      <c r="E2324" s="123" ph="1">
        <v>2</v>
      </c>
      <c r="G2324" s="13" t="s" ph="1">
        <v>4758</v>
      </c>
      <c r="H2324" s="13" t="s" ph="1">
        <v>709</v>
      </c>
      <c r="I2324" s="13" t="s" ph="1">
        <v>528</v>
      </c>
      <c r="K2324" s="13" t="s" ph="1">
        <v>8489</v>
      </c>
      <c r="L2324" s="13" t="s" ph="1">
        <v>3628</v>
      </c>
      <c r="M2324" s="14" t="str" ph="1">
        <f>IFERROR(INDEX([1]!_born[生没年],
MATCH(I2324,[1]!_born[作],0)),"")</f>
        <v/>
      </c>
      <c r="N2324" s="14" t="str" ph="1">
        <f>IFERROR(INDEX([1]!_born[生没年],
MATCH(K2324,[1]!_born[作],0)),"")</f>
        <v/>
      </c>
      <c r="O2324" s="13" t="s" ph="1">
        <v>8490</v>
      </c>
      <c r="S2324" s="13" t="s" ph="1">
        <v>4103</v>
      </c>
      <c r="T2324" s="13" t="s" ph="1">
        <v>7730</v>
      </c>
      <c r="U2324" s="16" t="s" ph="1">
        <v>1501</v>
      </c>
      <c r="V2324" s="17" ph="1">
        <f>1200*1.05</f>
        <v>1260</v>
      </c>
      <c r="W2324" s="17" ph="1">
        <f>1200*1.05</f>
        <v>1260</v>
      </c>
    </row>
    <row r="2325" spans="1:25" ht="22.5" customHeight="1" ph="1" x14ac:dyDescent="0.35">
      <c r="A2325" s="106" t="s" ph="1">
        <v>1538</v>
      </c>
      <c r="B2325" s="5" t="s" ph="1">
        <v>1484</v>
      </c>
      <c r="C2325" s="13" t="s" ph="1">
        <v>7591</v>
      </c>
      <c r="D2325" s="123" ph="1">
        <v>2</v>
      </c>
      <c r="E2325" s="123" ph="1">
        <v>2</v>
      </c>
      <c r="G2325" s="13" t="s" ph="1">
        <v>4758</v>
      </c>
      <c r="H2325" s="13" t="s" ph="1">
        <v>709</v>
      </c>
      <c r="I2325" s="13" t="s" ph="1">
        <v>528</v>
      </c>
      <c r="K2325" s="13" t="s" ph="1">
        <v>8489</v>
      </c>
      <c r="L2325" s="13" t="s" ph="1">
        <v>3628</v>
      </c>
      <c r="M2325" s="14" t="str" ph="1">
        <f>IFERROR(INDEX([1]!_born[生没年],
MATCH(I2325,[1]!_born[作],0)),"")</f>
        <v/>
      </c>
      <c r="N2325" s="14" t="str" ph="1">
        <f>IFERROR(INDEX([1]!_born[生没年],
MATCH(K2325,[1]!_born[作],0)),"")</f>
        <v/>
      </c>
      <c r="O2325" s="13" t="s" ph="1">
        <v>8490</v>
      </c>
      <c r="S2325" s="13" t="s" ph="1">
        <v>4103</v>
      </c>
      <c r="T2325" s="13" t="s" ph="1">
        <v>7730</v>
      </c>
      <c r="U2325" s="16" t="s" ph="1">
        <v>1501</v>
      </c>
      <c r="V2325" s="17" ph="1">
        <f>1200*1.05</f>
        <v>1260</v>
      </c>
      <c r="W2325" s="17" ph="1">
        <f>1200*1.05</f>
        <v>1260</v>
      </c>
    </row>
    <row r="2326" spans="1:25" ht="22.5" customHeight="1" ph="1" x14ac:dyDescent="0.35">
      <c r="C2326" s="13" t="s" ph="1">
        <v>7591</v>
      </c>
      <c r="G2326" s="13" t="s" ph="1">
        <v>4758</v>
      </c>
      <c r="H2326" s="13" t="s" ph="1">
        <v>709</v>
      </c>
      <c r="I2326" s="13" t="s" ph="1">
        <v>202</v>
      </c>
      <c r="K2326" s="13" t="s" ph="1">
        <v>8491</v>
      </c>
      <c r="L2326" s="13" t="s" ph="1">
        <v>3628</v>
      </c>
      <c r="M2326" s="14" t="str" ph="1">
        <f>IFERROR(INDEX([1]!_born[生没年],
MATCH(I2326,[1]!_born[作],0)),"")</f>
        <v/>
      </c>
      <c r="N2326" s="14" t="str" ph="1">
        <f>IFERROR(INDEX([1]!_born[生没年],
MATCH(K2326,[1]!_born[作],0)),"")</f>
        <v/>
      </c>
      <c r="O2326" s="13" t="s" ph="1">
        <v>8492</v>
      </c>
      <c r="R2326" s="16" t="s" ph="1">
        <v>764</v>
      </c>
      <c r="T2326" s="13" t="s" ph="1">
        <v>8276</v>
      </c>
    </row>
    <row r="2327" spans="1:25" ht="22.5" customHeight="1" ph="1" x14ac:dyDescent="0.35">
      <c r="A2327" s="106" t="s" ph="1">
        <v>1539</v>
      </c>
      <c r="B2327" s="5" t="s" ph="1">
        <v>1484</v>
      </c>
      <c r="C2327" s="13" t="s" ph="1">
        <v>7591</v>
      </c>
      <c r="G2327" s="13" t="s" ph="1">
        <v>4758</v>
      </c>
      <c r="H2327" s="13" t="s" ph="1">
        <v>709</v>
      </c>
      <c r="I2327" s="13" t="s" ph="1">
        <v>482</v>
      </c>
      <c r="K2327" s="13" t="s" ph="1">
        <v>7248</v>
      </c>
      <c r="L2327" s="13" t="s" ph="1">
        <v>3628</v>
      </c>
      <c r="M2327" s="14" t="str" ph="1">
        <f>IFERROR(INDEX([1]!_born[生没年],
MATCH(I2327,[1]!_born[作],0)),"")</f>
        <v/>
      </c>
      <c r="N2327" s="14" t="str" ph="1">
        <f>IFERROR(INDEX([1]!_born[生没年],
MATCH(K2327,[1]!_born[作],0)),"")</f>
        <v/>
      </c>
      <c r="O2327" s="13" t="s" ph="1">
        <v>8493</v>
      </c>
      <c r="R2327" s="16" t="s" ph="1">
        <v>988</v>
      </c>
      <c r="T2327" s="13" t="s" ph="1">
        <v>5147</v>
      </c>
      <c r="U2327" s="16" ph="1">
        <v>38423</v>
      </c>
      <c r="V2327" s="17" ph="1">
        <f>777*1.03</f>
        <v>800.31000000000006</v>
      </c>
      <c r="Y2327" s="13" t="s" ph="1">
        <v>3635</v>
      </c>
    </row>
    <row r="2328" spans="1:25" ht="22.5" customHeight="1" ph="1" x14ac:dyDescent="0.35">
      <c r="A2328" s="106" t="s" ph="1">
        <v>1540</v>
      </c>
      <c r="B2328" s="5" t="s" ph="1">
        <v>1494</v>
      </c>
      <c r="C2328" s="13" t="s" ph="1">
        <v>7591</v>
      </c>
      <c r="G2328" s="13" t="s" ph="1">
        <v>4758</v>
      </c>
      <c r="H2328" s="13" t="s" ph="1">
        <v>709</v>
      </c>
      <c r="I2328" s="13" t="s" ph="1">
        <v>348</v>
      </c>
      <c r="K2328" s="13" t="s" ph="1">
        <v>8494</v>
      </c>
      <c r="M2328" s="14" t="str" ph="1">
        <f>IFERROR(INDEX([1]!_born[生没年],
MATCH(I2328,[1]!_born[作],0)),"")</f>
        <v/>
      </c>
      <c r="N2328" s="14" t="str" ph="1">
        <f>IFERROR(INDEX([1]!_born[生没年],
MATCH(K2328,[1]!_born[作],0)),"")</f>
        <v/>
      </c>
      <c r="O2328" s="13" t="s" ph="1">
        <v>8495</v>
      </c>
      <c r="R2328" s="16" t="s" ph="1">
        <v>742</v>
      </c>
      <c r="T2328" s="13" t="s" ph="1">
        <v>8260</v>
      </c>
      <c r="U2328" s="16" ph="1">
        <v>38588</v>
      </c>
      <c r="V2328" s="17" ph="1">
        <f>714*1.05</f>
        <v>749.7</v>
      </c>
      <c r="W2328" s="17" ph="1">
        <v>250</v>
      </c>
      <c r="X2328" s="13" t="s" ph="1">
        <v>3792</v>
      </c>
    </row>
    <row r="2329" spans="1:25" ht="22.5" customHeight="1" ph="1" x14ac:dyDescent="0.35">
      <c r="C2329" s="13" t="s" ph="1">
        <v>7591</v>
      </c>
      <c r="G2329" s="13" t="s" ph="1">
        <v>4758</v>
      </c>
      <c r="H2329" s="13" t="s" ph="1">
        <v>709</v>
      </c>
      <c r="I2329" s="13" t="s" ph="1">
        <v>383</v>
      </c>
      <c r="K2329" s="13" t="s" ph="1">
        <v>8496</v>
      </c>
      <c r="L2329" s="13" t="s" ph="1">
        <v>3628</v>
      </c>
      <c r="M2329" s="14" t="str" ph="1">
        <f>IFERROR(INDEX([1]!_born[生没年],
MATCH(I2329,[1]!_born[作],0)),"")</f>
        <v/>
      </c>
      <c r="N2329" s="14" t="str" ph="1">
        <f>IFERROR(INDEX([1]!_born[生没年],
MATCH(K2329,[1]!_born[作],0)),"")</f>
        <v/>
      </c>
      <c r="O2329" s="13" t="s" ph="1">
        <v>8497</v>
      </c>
      <c r="T2329" s="13" t="s" ph="1">
        <v>5147</v>
      </c>
    </row>
    <row r="2330" spans="1:25" ht="22.5" customHeight="1" ph="1" x14ac:dyDescent="0.35">
      <c r="C2330" s="13" t="s" ph="1">
        <v>7591</v>
      </c>
      <c r="G2330" s="13" t="s" ph="1">
        <v>4758</v>
      </c>
      <c r="H2330" s="13" t="s" ph="1">
        <v>1541</v>
      </c>
      <c r="I2330" s="13" t="s" ph="1">
        <v>268</v>
      </c>
      <c r="K2330" s="13" t="s" ph="1">
        <v>8498</v>
      </c>
      <c r="L2330" s="13" t="s" ph="1">
        <v>3628</v>
      </c>
      <c r="M2330" s="14" t="str" ph="1">
        <f>IFERROR(INDEX([1]!_born[生没年],
MATCH(I2330,[1]!_born[作],0)),"")</f>
        <v/>
      </c>
      <c r="N2330" s="14" t="str" ph="1">
        <f>IFERROR(INDEX([1]!_born[生没年],
MATCH(K2330,[1]!_born[作],0)),"")</f>
        <v/>
      </c>
      <c r="O2330" s="13" t="s" ph="1">
        <v>8499</v>
      </c>
      <c r="R2330" s="16" t="s" ph="1">
        <v>1518</v>
      </c>
      <c r="T2330" s="13" t="s" ph="1">
        <v>7664</v>
      </c>
    </row>
    <row r="2331" spans="1:25" ht="22.5" customHeight="1" ph="1" x14ac:dyDescent="0.35">
      <c r="C2331" s="13" t="s" ph="1">
        <v>7591</v>
      </c>
      <c r="G2331" s="13" t="s" ph="1">
        <v>4758</v>
      </c>
      <c r="H2331" s="13" t="s" ph="1">
        <v>1541</v>
      </c>
      <c r="I2331" s="13" t="s" ph="1">
        <v>268</v>
      </c>
      <c r="K2331" s="13" t="s" ph="1">
        <v>8500</v>
      </c>
      <c r="L2331" s="13" t="s" ph="1">
        <v>3628</v>
      </c>
      <c r="M2331" s="14" t="str" ph="1">
        <f>IFERROR(INDEX([1]!_born[生没年],
MATCH(I2331,[1]!_born[作],0)),"")</f>
        <v/>
      </c>
      <c r="N2331" s="14" t="str" ph="1">
        <f>IFERROR(INDEX([1]!_born[生没年],
MATCH(K2331,[1]!_born[作],0)),"")</f>
        <v/>
      </c>
      <c r="O2331" s="13" t="s" ph="1">
        <v>40</v>
      </c>
      <c r="R2331" s="16" t="s" ph="1">
        <v>783</v>
      </c>
      <c r="T2331" s="13" t="s" ph="1">
        <v>8501</v>
      </c>
    </row>
    <row r="2332" spans="1:25" ht="22.5" customHeight="1" ph="1" x14ac:dyDescent="0.35">
      <c r="C2332" s="13" t="s" ph="1">
        <v>7591</v>
      </c>
      <c r="D2332" s="123" ph="1">
        <v>1</v>
      </c>
      <c r="E2332" s="123" ph="1">
        <v>2</v>
      </c>
      <c r="G2332" s="13" t="s" ph="1">
        <v>7759</v>
      </c>
      <c r="H2332" s="13" t="s" ph="1">
        <v>709</v>
      </c>
      <c r="I2332" s="13" t="s" ph="1">
        <v>8502</v>
      </c>
      <c r="K2332" s="13" t="s" ph="1">
        <v>8382</v>
      </c>
      <c r="L2332" s="13" t="s" ph="1">
        <v>3628</v>
      </c>
      <c r="M2332" s="14" t="str" ph="1">
        <f>IFERROR(INDEX([1]!_born[生没年],
MATCH(I2332,[1]!_born[作],0)),"")</f>
        <v/>
      </c>
      <c r="N2332" s="14" t="str" ph="1">
        <f>IFERROR(INDEX([1]!_born[生没年],
MATCH(K2332,[1]!_born[作],0)),"")</f>
        <v/>
      </c>
      <c r="O2332" s="13" t="s" ph="1">
        <v>8503</v>
      </c>
      <c r="R2332" s="16" t="s" ph="1">
        <v>1542</v>
      </c>
      <c r="S2332" s="13" t="s" ph="1">
        <v>4103</v>
      </c>
      <c r="T2332" s="13" t="s" ph="1">
        <v>7599</v>
      </c>
      <c r="V2332" s="17" ph="1">
        <f>700*2</f>
        <v>1400</v>
      </c>
    </row>
    <row r="2333" spans="1:25" ht="22.5" customHeight="1" ph="1" x14ac:dyDescent="0.35">
      <c r="C2333" s="13" t="s" ph="1">
        <v>7591</v>
      </c>
      <c r="D2333" s="123" ph="1">
        <v>2</v>
      </c>
      <c r="E2333" s="123" ph="1">
        <v>2</v>
      </c>
      <c r="G2333" s="13" t="s" ph="1">
        <v>7759</v>
      </c>
      <c r="H2333" s="13" t="s" ph="1">
        <v>709</v>
      </c>
      <c r="I2333" s="13" t="s" ph="1">
        <v>8502</v>
      </c>
      <c r="K2333" s="13" t="s" ph="1">
        <v>8382</v>
      </c>
      <c r="L2333" s="13" t="s" ph="1">
        <v>3628</v>
      </c>
      <c r="M2333" s="14" t="str" ph="1">
        <f>IFERROR(INDEX([1]!_born[生没年],
MATCH(I2333,[1]!_born[作],0)),"")</f>
        <v/>
      </c>
      <c r="N2333" s="14" t="str" ph="1">
        <f>IFERROR(INDEX([1]!_born[生没年],
MATCH(K2333,[1]!_born[作],0)),"")</f>
        <v/>
      </c>
      <c r="O2333" s="13" t="s" ph="1">
        <v>8503</v>
      </c>
      <c r="R2333" s="16" t="s" ph="1">
        <v>1542</v>
      </c>
      <c r="S2333" s="13" t="s" ph="1">
        <v>4103</v>
      </c>
      <c r="T2333" s="13" t="s" ph="1">
        <v>7599</v>
      </c>
      <c r="V2333" s="17" ph="1">
        <f>700*2</f>
        <v>1400</v>
      </c>
    </row>
    <row r="2334" spans="1:25" ht="22.5" customHeight="1" ph="1" x14ac:dyDescent="0.35">
      <c r="A2334" s="106" t="s" ph="1">
        <v>1543</v>
      </c>
      <c r="B2334" s="5" t="s" ph="1">
        <v>1484</v>
      </c>
      <c r="C2334" s="13" t="s" ph="1">
        <v>7591</v>
      </c>
      <c r="G2334" s="13" t="s" ph="1">
        <v>4758</v>
      </c>
      <c r="H2334" s="13" t="s" ph="1">
        <v>1035</v>
      </c>
      <c r="I2334" s="13" t="s" ph="1">
        <v>632</v>
      </c>
      <c r="K2334" s="13" t="s" ph="1">
        <v>8504</v>
      </c>
      <c r="L2334" s="13" t="s" ph="1">
        <v>3628</v>
      </c>
      <c r="M2334" s="14" t="str" ph="1">
        <f>IFERROR(INDEX([1]!_born[生没年],
MATCH(I2334,[1]!_born[作],0)),"")</f>
        <v/>
      </c>
      <c r="N2334" s="14" t="str" ph="1">
        <f>IFERROR(INDEX([1]!_born[生没年],
MATCH(K2334,[1]!_born[作],0)),"")</f>
        <v/>
      </c>
      <c r="O2334" s="13" t="s" ph="1">
        <v>8505</v>
      </c>
      <c r="R2334" s="16" t="s" ph="1">
        <v>1513</v>
      </c>
      <c r="T2334" s="13" t="s" ph="1">
        <v>7649</v>
      </c>
      <c r="U2334" s="16" ph="1">
        <v>38588</v>
      </c>
      <c r="V2334" s="17" ph="1">
        <f>780*1.05</f>
        <v>819</v>
      </c>
      <c r="W2334" s="17" ph="1">
        <v>420</v>
      </c>
      <c r="X2334" s="13" t="s" ph="1">
        <v>3792</v>
      </c>
    </row>
    <row r="2335" spans="1:25" ht="22.5" customHeight="1" ph="1" x14ac:dyDescent="0.35">
      <c r="C2335" s="13" t="s" ph="1">
        <v>7591</v>
      </c>
      <c r="G2335" s="13" t="s" ph="1">
        <v>4758</v>
      </c>
      <c r="H2335" s="13" t="s" ph="1">
        <v>709</v>
      </c>
      <c r="I2335" s="13" t="s" ph="1">
        <v>338</v>
      </c>
      <c r="K2335" s="13" t="s" ph="1">
        <v>8506</v>
      </c>
      <c r="L2335" s="13" t="s" ph="1">
        <v>3628</v>
      </c>
      <c r="M2335" s="14" t="str" ph="1">
        <f>IFERROR(INDEX([1]!_born[生没年],
MATCH(I2335,[1]!_born[作],0)),"")</f>
        <v/>
      </c>
      <c r="N2335" s="14" t="str" ph="1">
        <f>IFERROR(INDEX([1]!_born[生没年],
MATCH(K2335,[1]!_born[作],0)),"")</f>
        <v/>
      </c>
      <c r="O2335" s="13" t="s" ph="1">
        <v>8507</v>
      </c>
      <c r="R2335" s="16" t="s" ph="1">
        <v>1520</v>
      </c>
      <c r="T2335" s="13" t="s" ph="1">
        <v>7870</v>
      </c>
      <c r="V2335" s="17" ph="1">
        <v>500</v>
      </c>
    </row>
    <row r="2336" spans="1:25" ht="22.5" customHeight="1" ph="1" x14ac:dyDescent="0.35">
      <c r="C2336" s="13" t="s" ph="1">
        <v>7591</v>
      </c>
      <c r="G2336" s="13" t="s" ph="1">
        <v>4758</v>
      </c>
      <c r="H2336" s="13" t="s" ph="1">
        <v>709</v>
      </c>
      <c r="I2336" s="13" t="s" ph="1">
        <v>337</v>
      </c>
      <c r="K2336" s="13" t="s" ph="1">
        <v>8508</v>
      </c>
      <c r="L2336" s="13" t="s" ph="1">
        <v>3628</v>
      </c>
      <c r="M2336" s="14" t="str" ph="1">
        <f>IFERROR(INDEX([1]!_born[生没年],
MATCH(I2336,[1]!_born[作],0)),"")</f>
        <v/>
      </c>
      <c r="N2336" s="14" t="str" ph="1">
        <f>IFERROR(INDEX([1]!_born[生没年],
MATCH(K2336,[1]!_born[作],0)),"")</f>
        <v/>
      </c>
      <c r="O2336" s="13" t="s" ph="1">
        <v>8509</v>
      </c>
      <c r="R2336" s="16" t="s" ph="1">
        <v>1524</v>
      </c>
      <c r="T2336" s="13" t="s" ph="1">
        <v>8510</v>
      </c>
      <c r="V2336" s="17" ph="1">
        <v>460</v>
      </c>
    </row>
    <row r="2337" spans="3:24" ht="22.5" customHeight="1" ph="1" x14ac:dyDescent="0.35">
      <c r="C2337" s="13" t="s" ph="1">
        <v>7591</v>
      </c>
      <c r="G2337" s="13" t="s" ph="1">
        <v>4758</v>
      </c>
      <c r="H2337" s="13" t="s" ph="1">
        <v>709</v>
      </c>
      <c r="I2337" s="13" t="s" ph="1">
        <v>336</v>
      </c>
      <c r="K2337" s="13" t="s" ph="1">
        <v>8511</v>
      </c>
      <c r="L2337" s="13" t="s" ph="1">
        <v>3628</v>
      </c>
      <c r="M2337" s="14" t="str" ph="1">
        <f>IFERROR(INDEX([1]!_born[生没年],
MATCH(I2337,[1]!_born[作],0)),"")</f>
        <v/>
      </c>
      <c r="N2337" s="14" t="str" ph="1">
        <f>IFERROR(INDEX([1]!_born[生没年],
MATCH(K2337,[1]!_born[作],0)),"")</f>
        <v/>
      </c>
      <c r="O2337" s="13" t="s" ph="1">
        <v>8512</v>
      </c>
      <c r="R2337" s="16" t="s" ph="1">
        <v>804</v>
      </c>
      <c r="T2337" s="13" t="s" ph="1">
        <v>7611</v>
      </c>
      <c r="V2337" s="17" ph="1">
        <v>460</v>
      </c>
    </row>
    <row r="2338" spans="3:24" ht="22.5" customHeight="1" ph="1" x14ac:dyDescent="0.35">
      <c r="C2338" s="13" t="s" ph="1">
        <v>7591</v>
      </c>
      <c r="G2338" s="13" t="s" ph="1">
        <v>4758</v>
      </c>
      <c r="H2338" s="13" t="s" ph="1">
        <v>709</v>
      </c>
      <c r="I2338" s="13" t="s" ph="1">
        <v>336</v>
      </c>
      <c r="K2338" s="13" t="s" ph="1">
        <v>8513</v>
      </c>
      <c r="L2338" s="13" t="s" ph="1">
        <v>3628</v>
      </c>
      <c r="M2338" s="14" t="str" ph="1">
        <f>IFERROR(INDEX([1]!_born[生没年],
MATCH(I2338,[1]!_born[作],0)),"")</f>
        <v/>
      </c>
      <c r="N2338" s="14" t="str" ph="1">
        <f>IFERROR(INDEX([1]!_born[生没年],
MATCH(K2338,[1]!_born[作],0)),"")</f>
        <v/>
      </c>
      <c r="O2338" s="13" t="s" ph="1">
        <v>8514</v>
      </c>
      <c r="R2338" s="16" t="s" ph="1">
        <v>1525</v>
      </c>
      <c r="T2338" s="13" t="s" ph="1">
        <v>7611</v>
      </c>
      <c r="V2338" s="17" ph="1">
        <v>580</v>
      </c>
      <c r="W2338" s="17" ph="1">
        <v>300</v>
      </c>
    </row>
    <row r="2339" spans="3:24" ht="22.5" customHeight="1" ph="1" x14ac:dyDescent="0.35">
      <c r="C2339" s="13" t="s" ph="1">
        <v>7591</v>
      </c>
      <c r="G2339" s="13" t="s" ph="1">
        <v>4758</v>
      </c>
      <c r="H2339" s="13" t="s" ph="1">
        <v>709</v>
      </c>
      <c r="I2339" s="13" t="s" ph="1">
        <v>335</v>
      </c>
      <c r="K2339" s="13" t="s" ph="1">
        <v>8515</v>
      </c>
      <c r="L2339" s="13" t="s" ph="1">
        <v>3628</v>
      </c>
      <c r="M2339" s="14" t="str" ph="1">
        <f>IFERROR(INDEX([1]!_born[生没年],
MATCH(I2339,[1]!_born[作],0)),"")</f>
        <v/>
      </c>
      <c r="N2339" s="14" t="str" ph="1">
        <f>IFERROR(INDEX([1]!_born[生没年],
MATCH(K2339,[1]!_born[作],0)),"")</f>
        <v/>
      </c>
      <c r="O2339" s="13" t="s" ph="1">
        <v>8516</v>
      </c>
      <c r="R2339" s="16" t="s" ph="1">
        <v>1544</v>
      </c>
      <c r="T2339" s="13" t="s" ph="1">
        <v>8276</v>
      </c>
      <c r="V2339" s="17" ph="1">
        <v>360</v>
      </c>
    </row>
    <row r="2340" spans="3:24" ht="22.5" customHeight="1" ph="1" x14ac:dyDescent="0.35">
      <c r="C2340" s="13" t="s" ph="1">
        <v>7591</v>
      </c>
      <c r="G2340" s="13" t="s" ph="1">
        <v>4758</v>
      </c>
      <c r="H2340" s="13" t="s" ph="1">
        <v>709</v>
      </c>
      <c r="I2340" s="13" t="s" ph="1">
        <v>335</v>
      </c>
      <c r="K2340" s="13" t="s" ph="1">
        <v>8517</v>
      </c>
      <c r="L2340" s="13" t="s" ph="1">
        <v>3628</v>
      </c>
      <c r="M2340" s="14" t="str" ph="1">
        <f>IFERROR(INDEX([1]!_born[生没年],
MATCH(I2340,[1]!_born[作],0)),"")</f>
        <v/>
      </c>
      <c r="N2340" s="14" t="str" ph="1">
        <f>IFERROR(INDEX([1]!_born[生没年],
MATCH(K2340,[1]!_born[作],0)),"")</f>
        <v/>
      </c>
      <c r="O2340" s="13" t="s" ph="1">
        <v>8518</v>
      </c>
      <c r="T2340" s="13" t="s" ph="1">
        <v>8276</v>
      </c>
      <c r="V2340" s="17" ph="1">
        <v>380</v>
      </c>
    </row>
    <row r="2341" spans="3:24" ht="22.5" customHeight="1" ph="1" x14ac:dyDescent="0.35">
      <c r="C2341" s="13" t="s" ph="1">
        <v>7591</v>
      </c>
      <c r="G2341" s="13" t="s" ph="1">
        <v>4758</v>
      </c>
      <c r="H2341" s="13" t="s" ph="1">
        <v>709</v>
      </c>
      <c r="I2341" s="13" t="s" ph="1">
        <v>335</v>
      </c>
      <c r="K2341" s="13" t="s" ph="1">
        <v>8420</v>
      </c>
      <c r="L2341" s="13" t="s" ph="1">
        <v>3628</v>
      </c>
      <c r="M2341" s="14" t="str" ph="1">
        <f>IFERROR(INDEX([1]!_born[生没年],
MATCH(I2341,[1]!_born[作],0)),"")</f>
        <v/>
      </c>
      <c r="N2341" s="14" t="str" ph="1">
        <f>IFERROR(INDEX([1]!_born[生没年],
MATCH(K2341,[1]!_born[作],0)),"")</f>
        <v/>
      </c>
      <c r="O2341" s="13" t="s" ph="1">
        <v>8519</v>
      </c>
      <c r="R2341" s="16" t="s" ph="1">
        <v>1518</v>
      </c>
      <c r="T2341" s="13" t="s" ph="1">
        <v>7870</v>
      </c>
      <c r="V2341" s="17" ph="1">
        <v>400</v>
      </c>
    </row>
    <row r="2342" spans="3:24" ht="22.5" customHeight="1" ph="1" x14ac:dyDescent="0.35">
      <c r="C2342" s="13" t="s" ph="1">
        <v>7591</v>
      </c>
      <c r="D2342" s="123" ph="1">
        <v>1</v>
      </c>
      <c r="E2342" s="123" ph="1">
        <v>6</v>
      </c>
      <c r="G2342" s="13" t="s" ph="1">
        <v>4758</v>
      </c>
      <c r="H2342" s="13" t="s" ph="1">
        <v>709</v>
      </c>
      <c r="I2342" s="13" t="s" ph="1">
        <v>339</v>
      </c>
      <c r="K2342" s="13" t="s" ph="1">
        <v>8520</v>
      </c>
      <c r="L2342" s="13" t="s" ph="1">
        <v>3628</v>
      </c>
      <c r="M2342" s="14" t="str" ph="1">
        <f>IFERROR(INDEX([1]!_born[生没年],
MATCH(I2342,[1]!_born[作],0)),"")</f>
        <v/>
      </c>
      <c r="N2342" s="14" t="str" ph="1">
        <f>IFERROR(INDEX([1]!_born[生没年],
MATCH(K2342,[1]!_born[作],0)),"")</f>
        <v/>
      </c>
      <c r="O2342" s="13" t="s" ph="1">
        <v>8521</v>
      </c>
      <c r="R2342" s="16" t="s" ph="1">
        <v>1545</v>
      </c>
      <c r="S2342" s="13" t="s" ph="1">
        <v>10284</v>
      </c>
      <c r="T2342" s="13" t="s" ph="1">
        <v>7870</v>
      </c>
      <c r="U2342" s="16" ph="1">
        <v>37110</v>
      </c>
      <c r="V2342" s="17" ph="1">
        <f>600*1.05</f>
        <v>630</v>
      </c>
      <c r="X2342" s="13" t="s" ph="1">
        <v>3802</v>
      </c>
    </row>
    <row r="2343" spans="3:24" ht="22.5" customHeight="1" ph="1" x14ac:dyDescent="0.35">
      <c r="C2343" s="13" t="s" ph="1">
        <v>7591</v>
      </c>
      <c r="D2343" s="123" ph="1">
        <v>1</v>
      </c>
      <c r="E2343" s="123" ph="1">
        <v>6</v>
      </c>
      <c r="G2343" s="13" t="s" ph="1">
        <v>4758</v>
      </c>
      <c r="H2343" s="13" t="s" ph="1">
        <v>709</v>
      </c>
      <c r="I2343" s="13" t="s" ph="1">
        <v>339</v>
      </c>
      <c r="K2343" s="13" t="s" ph="1">
        <v>8520</v>
      </c>
      <c r="L2343" s="13" t="s" ph="1">
        <v>3628</v>
      </c>
      <c r="M2343" s="14" t="str" ph="1">
        <f>IFERROR(INDEX([1]!_born[生没年],
MATCH(I2343,[1]!_born[作],0)),"")</f>
        <v/>
      </c>
      <c r="N2343" s="14" t="str" ph="1">
        <f>IFERROR(INDEX([1]!_born[生没年],
MATCH(K2343,[1]!_born[作],0)),"")</f>
        <v/>
      </c>
      <c r="O2343" s="13" t="s" ph="1">
        <v>8522</v>
      </c>
      <c r="R2343" s="16" t="s" ph="1">
        <v>1546</v>
      </c>
      <c r="S2343" s="13" t="s" ph="1">
        <v>10284</v>
      </c>
      <c r="T2343" s="13" t="s" ph="1">
        <v>7870</v>
      </c>
      <c r="U2343" s="16" ph="1">
        <v>37110</v>
      </c>
      <c r="V2343" s="17" ph="1">
        <f>600*1.05</f>
        <v>630</v>
      </c>
      <c r="X2343" s="13" t="s" ph="1">
        <v>3802</v>
      </c>
    </row>
    <row r="2344" spans="3:24" ht="22.5" customHeight="1" ph="1" x14ac:dyDescent="0.35">
      <c r="C2344" s="13" t="s" ph="1">
        <v>7591</v>
      </c>
      <c r="D2344" s="123" ph="1">
        <v>1</v>
      </c>
      <c r="E2344" s="123" ph="1">
        <v>6</v>
      </c>
      <c r="G2344" s="13" t="s" ph="1">
        <v>4758</v>
      </c>
      <c r="H2344" s="13" t="s" ph="1">
        <v>709</v>
      </c>
      <c r="I2344" s="13" t="s" ph="1">
        <v>339</v>
      </c>
      <c r="K2344" s="13" t="s" ph="1">
        <v>8520</v>
      </c>
      <c r="L2344" s="13" t="s" ph="1">
        <v>3628</v>
      </c>
      <c r="M2344" s="14" t="str" ph="1">
        <f>IFERROR(INDEX([1]!_born[生没年],
MATCH(I2344,[1]!_born[作],0)),"")</f>
        <v/>
      </c>
      <c r="N2344" s="14" t="str" ph="1">
        <f>IFERROR(INDEX([1]!_born[生没年],
MATCH(K2344,[1]!_born[作],0)),"")</f>
        <v/>
      </c>
      <c r="O2344" s="13" t="s" ph="1">
        <v>8523</v>
      </c>
      <c r="R2344" s="16" t="s" ph="1">
        <v>1547</v>
      </c>
      <c r="S2344" s="13" t="s" ph="1">
        <v>10284</v>
      </c>
      <c r="T2344" s="13" t="s" ph="1">
        <v>7870</v>
      </c>
      <c r="U2344" s="16" ph="1">
        <v>37110</v>
      </c>
      <c r="V2344" s="17" ph="1">
        <f>600*1.05</f>
        <v>630</v>
      </c>
      <c r="X2344" s="13" t="s" ph="1">
        <v>3802</v>
      </c>
    </row>
    <row r="2345" spans="3:24" ht="22.5" customHeight="1" ph="1" x14ac:dyDescent="0.35">
      <c r="C2345" s="13" t="s" ph="1">
        <v>7591</v>
      </c>
      <c r="D2345" s="123" ph="1">
        <v>1</v>
      </c>
      <c r="E2345" s="123" ph="1">
        <v>6</v>
      </c>
      <c r="G2345" s="13" t="s" ph="1">
        <v>4758</v>
      </c>
      <c r="H2345" s="13" t="s" ph="1">
        <v>709</v>
      </c>
      <c r="I2345" s="13" t="s" ph="1">
        <v>339</v>
      </c>
      <c r="K2345" s="13" t="s" ph="1">
        <v>8520</v>
      </c>
      <c r="L2345" s="13" t="s" ph="1">
        <v>3628</v>
      </c>
      <c r="M2345" s="14" t="str" ph="1">
        <f>IFERROR(INDEX([1]!_born[生没年],
MATCH(I2345,[1]!_born[作],0)),"")</f>
        <v/>
      </c>
      <c r="N2345" s="14" t="str" ph="1">
        <f>IFERROR(INDEX([1]!_born[生没年],
MATCH(K2345,[1]!_born[作],0)),"")</f>
        <v/>
      </c>
      <c r="O2345" s="13" t="s" ph="1">
        <v>8524</v>
      </c>
      <c r="R2345" s="16" t="s" ph="1">
        <v>1548</v>
      </c>
      <c r="S2345" s="13" t="s" ph="1">
        <v>10284</v>
      </c>
      <c r="T2345" s="13" t="s" ph="1">
        <v>7870</v>
      </c>
      <c r="U2345" s="16" ph="1">
        <v>37110</v>
      </c>
      <c r="V2345" s="17" ph="1">
        <f>600*1.05</f>
        <v>630</v>
      </c>
      <c r="X2345" s="13" t="s" ph="1">
        <v>3802</v>
      </c>
    </row>
    <row r="2346" spans="3:24" ht="22.5" customHeight="1" ph="1" x14ac:dyDescent="0.35">
      <c r="C2346" s="13" t="s" ph="1">
        <v>7591</v>
      </c>
      <c r="D2346" s="123" ph="1">
        <v>2</v>
      </c>
      <c r="E2346" s="123" ph="1">
        <v>6</v>
      </c>
      <c r="G2346" s="13" t="s" ph="1">
        <v>4758</v>
      </c>
      <c r="H2346" s="13" t="s" ph="1">
        <v>709</v>
      </c>
      <c r="I2346" s="13" t="s" ph="1">
        <v>339</v>
      </c>
      <c r="K2346" s="13" t="s" ph="1">
        <v>8515</v>
      </c>
      <c r="L2346" s="13" t="s" ph="1">
        <v>3628</v>
      </c>
      <c r="M2346" s="14" t="str" ph="1">
        <f>IFERROR(INDEX([1]!_born[生没年],
MATCH(I2346,[1]!_born[作],0)),"")</f>
        <v/>
      </c>
      <c r="N2346" s="14" t="str" ph="1">
        <f>IFERROR(INDEX([1]!_born[生没年],
MATCH(K2346,[1]!_born[作],0)),"")</f>
        <v/>
      </c>
      <c r="O2346" s="13" t="s" ph="1">
        <v>8525</v>
      </c>
      <c r="R2346" s="16" t="s" ph="1">
        <v>1528</v>
      </c>
      <c r="S2346" s="13" t="s" ph="1">
        <v>10285</v>
      </c>
      <c r="T2346" s="13" t="s" ph="1">
        <v>7870</v>
      </c>
      <c r="U2346" s="16" ph="1">
        <v>37110</v>
      </c>
      <c r="V2346" s="17" ph="1">
        <f>540*1.05</f>
        <v>567</v>
      </c>
      <c r="X2346" s="13" t="s" ph="1">
        <v>3802</v>
      </c>
    </row>
    <row r="2347" spans="3:24" ht="22.5" customHeight="1" ph="1" x14ac:dyDescent="0.35">
      <c r="C2347" s="13" t="s" ph="1">
        <v>7591</v>
      </c>
      <c r="D2347" s="123" ph="1">
        <v>2</v>
      </c>
      <c r="E2347" s="123" ph="1">
        <v>6</v>
      </c>
      <c r="G2347" s="13" t="s" ph="1">
        <v>4758</v>
      </c>
      <c r="H2347" s="13" t="s" ph="1">
        <v>709</v>
      </c>
      <c r="I2347" s="13" t="s" ph="1">
        <v>339</v>
      </c>
      <c r="K2347" s="13" t="s" ph="1">
        <v>8515</v>
      </c>
      <c r="L2347" s="13" t="s" ph="1">
        <v>3628</v>
      </c>
      <c r="M2347" s="14" t="str" ph="1">
        <f>IFERROR(INDEX([1]!_born[生没年],
MATCH(I2347,[1]!_born[作],0)),"")</f>
        <v/>
      </c>
      <c r="N2347" s="14" t="str" ph="1">
        <f>IFERROR(INDEX([1]!_born[生没年],
MATCH(K2347,[1]!_born[作],0)),"")</f>
        <v/>
      </c>
      <c r="O2347" s="15" t="s" ph="1">
        <v>8526</v>
      </c>
      <c r="R2347" s="16" t="s" ph="1">
        <v>1549</v>
      </c>
      <c r="S2347" s="13" t="s" ph="1">
        <v>10285</v>
      </c>
      <c r="T2347" s="13" t="s" ph="1">
        <v>7870</v>
      </c>
      <c r="U2347" s="16" ph="1">
        <v>37110</v>
      </c>
      <c r="V2347" s="17" ph="1">
        <f>540*1.05</f>
        <v>567</v>
      </c>
      <c r="X2347" s="13" t="s" ph="1">
        <v>3802</v>
      </c>
    </row>
    <row r="2348" spans="3:24" ht="22.5" customHeight="1" ph="1" x14ac:dyDescent="0.35">
      <c r="C2348" s="13" t="s" ph="1">
        <v>7591</v>
      </c>
      <c r="D2348" s="123" ph="1">
        <v>2</v>
      </c>
      <c r="E2348" s="123" ph="1">
        <v>6</v>
      </c>
      <c r="G2348" s="13" t="s" ph="1">
        <v>4758</v>
      </c>
      <c r="H2348" s="13" t="s" ph="1">
        <v>709</v>
      </c>
      <c r="I2348" s="13" t="s" ph="1">
        <v>339</v>
      </c>
      <c r="K2348" s="13" t="s" ph="1">
        <v>8515</v>
      </c>
      <c r="L2348" s="13" t="s" ph="1">
        <v>3628</v>
      </c>
      <c r="M2348" s="14" t="str" ph="1">
        <f>IFERROR(INDEX([1]!_born[生没年],
MATCH(I2348,[1]!_born[作],0)),"")</f>
        <v/>
      </c>
      <c r="N2348" s="14" t="str" ph="1">
        <f>IFERROR(INDEX([1]!_born[生没年],
MATCH(K2348,[1]!_born[作],0)),"")</f>
        <v/>
      </c>
      <c r="O2348" s="13" t="s" ph="1">
        <v>8527</v>
      </c>
      <c r="R2348" s="16" t="s" ph="1">
        <v>1550</v>
      </c>
      <c r="S2348" s="13" t="s" ph="1">
        <v>10285</v>
      </c>
      <c r="T2348" s="13" t="s" ph="1">
        <v>7870</v>
      </c>
      <c r="U2348" s="16" ph="1">
        <v>37110</v>
      </c>
      <c r="V2348" s="17" ph="1">
        <f>540*1.05</f>
        <v>567</v>
      </c>
      <c r="X2348" s="13" t="s" ph="1">
        <v>3802</v>
      </c>
    </row>
    <row r="2349" spans="3:24" ht="22.5" customHeight="1" ph="1" x14ac:dyDescent="0.35">
      <c r="C2349" s="13" t="s" ph="1">
        <v>7591</v>
      </c>
      <c r="D2349" s="123" ph="1">
        <v>3</v>
      </c>
      <c r="E2349" s="123" ph="1">
        <v>6</v>
      </c>
      <c r="G2349" s="13" t="s" ph="1">
        <v>4758</v>
      </c>
      <c r="H2349" s="13" t="s" ph="1">
        <v>709</v>
      </c>
      <c r="I2349" s="13" t="s" ph="1">
        <v>339</v>
      </c>
      <c r="K2349" s="13" t="s" ph="1">
        <v>8528</v>
      </c>
      <c r="L2349" s="13" t="s" ph="1">
        <v>3628</v>
      </c>
      <c r="M2349" s="14" t="str" ph="1">
        <f>IFERROR(INDEX([1]!_born[生没年],
MATCH(I2349,[1]!_born[作],0)),"")</f>
        <v/>
      </c>
      <c r="N2349" s="14" t="str" ph="1">
        <f>IFERROR(INDEX([1]!_born[生没年],
MATCH(K2349,[1]!_born[作],0)),"")</f>
        <v/>
      </c>
      <c r="O2349" s="13" t="s" ph="1">
        <v>566</v>
      </c>
      <c r="R2349" s="16" t="s" ph="1">
        <v>1551</v>
      </c>
      <c r="S2349" s="13" t="s" ph="1">
        <v>10286</v>
      </c>
      <c r="T2349" s="13" t="s" ph="1">
        <v>7870</v>
      </c>
      <c r="U2349" s="16" ph="1">
        <v>37110</v>
      </c>
      <c r="V2349" s="17" ph="1">
        <f t="shared" ref="V2349:V2357" si="4">640*1.05</f>
        <v>672</v>
      </c>
      <c r="X2349" s="13" t="s" ph="1">
        <v>3802</v>
      </c>
    </row>
    <row r="2350" spans="3:24" ht="22.5" customHeight="1" ph="1" x14ac:dyDescent="0.35">
      <c r="C2350" s="13" t="s" ph="1">
        <v>7591</v>
      </c>
      <c r="D2350" s="123" ph="1">
        <v>3</v>
      </c>
      <c r="E2350" s="123" ph="1">
        <v>6</v>
      </c>
      <c r="G2350" s="13" t="s" ph="1">
        <v>4758</v>
      </c>
      <c r="H2350" s="13" t="s" ph="1">
        <v>709</v>
      </c>
      <c r="I2350" s="13" t="s" ph="1">
        <v>339</v>
      </c>
      <c r="K2350" s="13" t="s" ph="1">
        <v>8528</v>
      </c>
      <c r="L2350" s="13" t="s" ph="1">
        <v>3628</v>
      </c>
      <c r="M2350" s="14" t="str" ph="1">
        <f>IFERROR(INDEX([1]!_born[生没年],
MATCH(I2350,[1]!_born[作],0)),"")</f>
        <v/>
      </c>
      <c r="N2350" s="14" t="str" ph="1">
        <f>IFERROR(INDEX([1]!_born[生没年],
MATCH(K2350,[1]!_born[作],0)),"")</f>
        <v/>
      </c>
      <c r="O2350" s="13" t="s" ph="1">
        <v>8529</v>
      </c>
      <c r="R2350" s="16" t="s" ph="1">
        <v>1552</v>
      </c>
      <c r="S2350" s="13" t="s" ph="1">
        <v>10286</v>
      </c>
      <c r="T2350" s="13" t="s" ph="1">
        <v>7870</v>
      </c>
      <c r="U2350" s="16" ph="1">
        <v>37110</v>
      </c>
      <c r="V2350" s="17" ph="1">
        <f t="shared" si="4"/>
        <v>672</v>
      </c>
      <c r="X2350" s="13" t="s" ph="1">
        <v>3802</v>
      </c>
    </row>
    <row r="2351" spans="3:24" ht="22.5" customHeight="1" ph="1" x14ac:dyDescent="0.35">
      <c r="C2351" s="13" t="s" ph="1">
        <v>7591</v>
      </c>
      <c r="D2351" s="123" ph="1">
        <v>3</v>
      </c>
      <c r="E2351" s="123" ph="1">
        <v>6</v>
      </c>
      <c r="G2351" s="13" t="s" ph="1">
        <v>4758</v>
      </c>
      <c r="H2351" s="13" t="s" ph="1">
        <v>709</v>
      </c>
      <c r="I2351" s="13" t="s" ph="1">
        <v>339</v>
      </c>
      <c r="K2351" s="13" t="s" ph="1">
        <v>8528</v>
      </c>
      <c r="L2351" s="13" t="s" ph="1">
        <v>3628</v>
      </c>
      <c r="M2351" s="14" t="str" ph="1">
        <f>IFERROR(INDEX([1]!_born[生没年],
MATCH(I2351,[1]!_born[作],0)),"")</f>
        <v/>
      </c>
      <c r="N2351" s="14" t="str" ph="1">
        <f>IFERROR(INDEX([1]!_born[生没年],
MATCH(K2351,[1]!_born[作],0)),"")</f>
        <v/>
      </c>
      <c r="O2351" s="13" t="s" ph="1">
        <v>8530</v>
      </c>
      <c r="R2351" s="16" t="s" ph="1">
        <v>1549</v>
      </c>
      <c r="S2351" s="13" t="s" ph="1">
        <v>10286</v>
      </c>
      <c r="T2351" s="13" t="s" ph="1">
        <v>7870</v>
      </c>
      <c r="U2351" s="16" ph="1">
        <v>37110</v>
      </c>
      <c r="V2351" s="17" ph="1">
        <f t="shared" si="4"/>
        <v>672</v>
      </c>
      <c r="X2351" s="13" t="s" ph="1">
        <v>3802</v>
      </c>
    </row>
    <row r="2352" spans="3:24" ht="22.5" customHeight="1" ph="1" x14ac:dyDescent="0.35">
      <c r="C2352" s="13" t="s" ph="1">
        <v>7591</v>
      </c>
      <c r="D2352" s="123" ph="1">
        <v>3</v>
      </c>
      <c r="E2352" s="123" ph="1">
        <v>6</v>
      </c>
      <c r="G2352" s="13" t="s" ph="1">
        <v>4758</v>
      </c>
      <c r="H2352" s="13" t="s" ph="1">
        <v>709</v>
      </c>
      <c r="I2352" s="13" t="s" ph="1">
        <v>339</v>
      </c>
      <c r="K2352" s="13" t="s" ph="1">
        <v>8528</v>
      </c>
      <c r="L2352" s="13" t="s" ph="1">
        <v>3628</v>
      </c>
      <c r="M2352" s="14" t="str" ph="1">
        <f>IFERROR(INDEX([1]!_born[生没年],
MATCH(I2352,[1]!_born[作],0)),"")</f>
        <v/>
      </c>
      <c r="N2352" s="14" t="str" ph="1">
        <f>IFERROR(INDEX([1]!_born[生没年],
MATCH(K2352,[1]!_born[作],0)),"")</f>
        <v/>
      </c>
      <c r="O2352" s="13" t="s" ph="1">
        <v>8531</v>
      </c>
      <c r="R2352" s="16" t="s" ph="1">
        <v>1553</v>
      </c>
      <c r="S2352" s="13" t="s" ph="1">
        <v>10286</v>
      </c>
      <c r="T2352" s="13" t="s" ph="1">
        <v>7870</v>
      </c>
      <c r="U2352" s="16" ph="1">
        <v>37110</v>
      </c>
      <c r="V2352" s="17" ph="1">
        <f t="shared" si="4"/>
        <v>672</v>
      </c>
      <c r="X2352" s="13" t="s" ph="1">
        <v>3802</v>
      </c>
    </row>
    <row r="2353" spans="3:24" ht="22.5" customHeight="1" ph="1" x14ac:dyDescent="0.35">
      <c r="C2353" s="13" t="s" ph="1">
        <v>7591</v>
      </c>
      <c r="D2353" s="123" ph="1">
        <v>3</v>
      </c>
      <c r="E2353" s="123" ph="1">
        <v>6</v>
      </c>
      <c r="G2353" s="13" t="s" ph="1">
        <v>4758</v>
      </c>
      <c r="H2353" s="13" t="s" ph="1">
        <v>709</v>
      </c>
      <c r="I2353" s="13" t="s" ph="1">
        <v>339</v>
      </c>
      <c r="K2353" s="13" t="s" ph="1">
        <v>8528</v>
      </c>
      <c r="L2353" s="13" t="s" ph="1">
        <v>3628</v>
      </c>
      <c r="M2353" s="14" t="str" ph="1">
        <f>IFERROR(INDEX([1]!_born[生没年],
MATCH(I2353,[1]!_born[作],0)),"")</f>
        <v/>
      </c>
      <c r="N2353" s="14" t="str" ph="1">
        <f>IFERROR(INDEX([1]!_born[生没年],
MATCH(K2353,[1]!_born[作],0)),"")</f>
        <v/>
      </c>
      <c r="O2353" s="13" t="s" ph="1">
        <v>8532</v>
      </c>
      <c r="R2353" s="16" t="s" ph="1">
        <v>1549</v>
      </c>
      <c r="S2353" s="13" t="s" ph="1">
        <v>10286</v>
      </c>
      <c r="T2353" s="13" t="s" ph="1">
        <v>7870</v>
      </c>
      <c r="U2353" s="16" ph="1">
        <v>37110</v>
      </c>
      <c r="V2353" s="17" ph="1">
        <f t="shared" si="4"/>
        <v>672</v>
      </c>
      <c r="X2353" s="13" t="s" ph="1">
        <v>3802</v>
      </c>
    </row>
    <row r="2354" spans="3:24" ht="22.5" customHeight="1" ph="1" x14ac:dyDescent="0.35">
      <c r="C2354" s="13" t="s" ph="1">
        <v>7591</v>
      </c>
      <c r="D2354" s="123" ph="1">
        <v>3</v>
      </c>
      <c r="E2354" s="123" ph="1">
        <v>6</v>
      </c>
      <c r="G2354" s="13" t="s" ph="1">
        <v>4758</v>
      </c>
      <c r="H2354" s="13" t="s" ph="1">
        <v>709</v>
      </c>
      <c r="I2354" s="13" t="s" ph="1">
        <v>339</v>
      </c>
      <c r="K2354" s="13" t="s" ph="1">
        <v>8528</v>
      </c>
      <c r="L2354" s="13" t="s" ph="1">
        <v>3628</v>
      </c>
      <c r="M2354" s="14" t="str" ph="1">
        <f>IFERROR(INDEX([1]!_born[生没年],
MATCH(I2354,[1]!_born[作],0)),"")</f>
        <v/>
      </c>
      <c r="N2354" s="14" t="str" ph="1">
        <f>IFERROR(INDEX([1]!_born[生没年],
MATCH(K2354,[1]!_born[作],0)),"")</f>
        <v/>
      </c>
      <c r="O2354" s="13" t="s" ph="1">
        <v>8533</v>
      </c>
      <c r="R2354" s="16" t="s" ph="1">
        <v>1554</v>
      </c>
      <c r="S2354" s="13" t="s" ph="1">
        <v>10286</v>
      </c>
      <c r="T2354" s="13" t="s" ph="1">
        <v>7870</v>
      </c>
      <c r="U2354" s="16" ph="1">
        <v>37110</v>
      </c>
      <c r="V2354" s="17" ph="1">
        <f t="shared" si="4"/>
        <v>672</v>
      </c>
      <c r="X2354" s="13" t="s" ph="1">
        <v>3802</v>
      </c>
    </row>
    <row r="2355" spans="3:24" ht="22.5" customHeight="1" ph="1" x14ac:dyDescent="0.35">
      <c r="C2355" s="13" t="s" ph="1">
        <v>7591</v>
      </c>
      <c r="D2355" s="123" ph="1">
        <v>3</v>
      </c>
      <c r="E2355" s="123" ph="1">
        <v>6</v>
      </c>
      <c r="G2355" s="13" t="s" ph="1">
        <v>4758</v>
      </c>
      <c r="H2355" s="13" t="s" ph="1">
        <v>709</v>
      </c>
      <c r="I2355" s="13" t="s" ph="1">
        <v>339</v>
      </c>
      <c r="K2355" s="13" t="s" ph="1">
        <v>8528</v>
      </c>
      <c r="L2355" s="13" t="s" ph="1">
        <v>3628</v>
      </c>
      <c r="M2355" s="14" t="str" ph="1">
        <f>IFERROR(INDEX([1]!_born[生没年],
MATCH(I2355,[1]!_born[作],0)),"")</f>
        <v/>
      </c>
      <c r="N2355" s="14" t="str" ph="1">
        <f>IFERROR(INDEX([1]!_born[生没年],
MATCH(K2355,[1]!_born[作],0)),"")</f>
        <v/>
      </c>
      <c r="O2355" s="13" t="s" ph="1">
        <v>8534</v>
      </c>
      <c r="R2355" s="16" t="s" ph="1">
        <v>1555</v>
      </c>
      <c r="S2355" s="13" t="s" ph="1">
        <v>10286</v>
      </c>
      <c r="T2355" s="13" t="s" ph="1">
        <v>7870</v>
      </c>
      <c r="U2355" s="16" ph="1">
        <v>37110</v>
      </c>
      <c r="V2355" s="17" ph="1">
        <f t="shared" si="4"/>
        <v>672</v>
      </c>
      <c r="X2355" s="13" t="s" ph="1">
        <v>3802</v>
      </c>
    </row>
    <row r="2356" spans="3:24" ht="22.5" customHeight="1" ph="1" x14ac:dyDescent="0.35">
      <c r="C2356" s="13" t="s" ph="1">
        <v>7591</v>
      </c>
      <c r="D2356" s="123" ph="1">
        <v>3</v>
      </c>
      <c r="E2356" s="123" ph="1">
        <v>6</v>
      </c>
      <c r="G2356" s="13" t="s" ph="1">
        <v>4758</v>
      </c>
      <c r="H2356" s="13" t="s" ph="1">
        <v>709</v>
      </c>
      <c r="I2356" s="13" t="s" ph="1">
        <v>339</v>
      </c>
      <c r="K2356" s="13" t="s" ph="1">
        <v>8528</v>
      </c>
      <c r="L2356" s="13" t="s" ph="1">
        <v>3628</v>
      </c>
      <c r="M2356" s="14" t="str" ph="1">
        <f>IFERROR(INDEX([1]!_born[生没年],
MATCH(I2356,[1]!_born[作],0)),"")</f>
        <v/>
      </c>
      <c r="N2356" s="14" t="str" ph="1">
        <f>IFERROR(INDEX([1]!_born[生没年],
MATCH(K2356,[1]!_born[作],0)),"")</f>
        <v/>
      </c>
      <c r="O2356" s="13" t="s" ph="1">
        <v>8535</v>
      </c>
      <c r="R2356" s="16" t="s" ph="1">
        <v>1556</v>
      </c>
      <c r="S2356" s="13" t="s" ph="1">
        <v>10286</v>
      </c>
      <c r="T2356" s="13" t="s" ph="1">
        <v>7870</v>
      </c>
      <c r="U2356" s="16" ph="1">
        <v>37110</v>
      </c>
      <c r="V2356" s="17" ph="1">
        <f t="shared" si="4"/>
        <v>672</v>
      </c>
      <c r="X2356" s="13" t="s" ph="1">
        <v>3802</v>
      </c>
    </row>
    <row r="2357" spans="3:24" ht="22.5" customHeight="1" ph="1" x14ac:dyDescent="0.35">
      <c r="C2357" s="13" t="s" ph="1">
        <v>7591</v>
      </c>
      <c r="D2357" s="123" ph="1">
        <v>3</v>
      </c>
      <c r="E2357" s="123" ph="1">
        <v>6</v>
      </c>
      <c r="G2357" s="13" t="s" ph="1">
        <v>4758</v>
      </c>
      <c r="H2357" s="13" t="s" ph="1">
        <v>709</v>
      </c>
      <c r="I2357" s="13" t="s" ph="1">
        <v>339</v>
      </c>
      <c r="K2357" s="13" t="s" ph="1">
        <v>8528</v>
      </c>
      <c r="L2357" s="13" t="s" ph="1">
        <v>3628</v>
      </c>
      <c r="M2357" s="14" t="str" ph="1">
        <f>IFERROR(INDEX([1]!_born[生没年],
MATCH(I2357,[1]!_born[作],0)),"")</f>
        <v/>
      </c>
      <c r="N2357" s="14" t="str" ph="1">
        <f>IFERROR(INDEX([1]!_born[生没年],
MATCH(K2357,[1]!_born[作],0)),"")</f>
        <v/>
      </c>
      <c r="O2357" s="13" t="s" ph="1">
        <v>8536</v>
      </c>
      <c r="R2357" s="16" t="s" ph="1">
        <v>1556</v>
      </c>
      <c r="S2357" s="13" t="s" ph="1">
        <v>10286</v>
      </c>
      <c r="T2357" s="13" t="s" ph="1">
        <v>7870</v>
      </c>
      <c r="U2357" s="16" ph="1">
        <v>37110</v>
      </c>
      <c r="V2357" s="17" ph="1">
        <f t="shared" si="4"/>
        <v>672</v>
      </c>
      <c r="X2357" s="13" t="s" ph="1">
        <v>3802</v>
      </c>
    </row>
    <row r="2358" spans="3:24" ht="22.5" customHeight="1" ph="1" x14ac:dyDescent="0.35">
      <c r="C2358" s="13" t="s" ph="1">
        <v>7591</v>
      </c>
      <c r="D2358" s="123" ph="1">
        <v>4</v>
      </c>
      <c r="E2358" s="123" ph="1">
        <v>6</v>
      </c>
      <c r="G2358" s="13" t="s" ph="1">
        <v>4758</v>
      </c>
      <c r="H2358" s="13" t="s" ph="1">
        <v>709</v>
      </c>
      <c r="I2358" s="13" t="s" ph="1">
        <v>339</v>
      </c>
      <c r="K2358" s="13" t="s" ph="1">
        <v>8528</v>
      </c>
      <c r="L2358" s="13" t="s" ph="1">
        <v>3628</v>
      </c>
      <c r="M2358" s="14" t="str" ph="1">
        <f>IFERROR(INDEX([1]!_born[生没年],
MATCH(I2358,[1]!_born[作],0)),"")</f>
        <v/>
      </c>
      <c r="N2358" s="14" t="str" ph="1">
        <f>IFERROR(INDEX([1]!_born[生没年],
MATCH(K2358,[1]!_born[作],0)),"")</f>
        <v/>
      </c>
      <c r="O2358" s="15" t="s" ph="1">
        <v>8537</v>
      </c>
      <c r="R2358" s="16" t="s" ph="1">
        <v>1557</v>
      </c>
      <c r="S2358" s="13" t="s" ph="1">
        <v>10287</v>
      </c>
      <c r="T2358" s="13" t="s" ph="1">
        <v>7870</v>
      </c>
      <c r="U2358" s="16" ph="1">
        <v>37074</v>
      </c>
      <c r="V2358" s="17" ph="1">
        <f>600*1.05</f>
        <v>630</v>
      </c>
      <c r="X2358" s="13" t="s" ph="1">
        <v>3802</v>
      </c>
    </row>
    <row r="2359" spans="3:24" ht="22.5" customHeight="1" ph="1" x14ac:dyDescent="0.35">
      <c r="C2359" s="13" t="s" ph="1">
        <v>7591</v>
      </c>
      <c r="D2359" s="123" ph="1">
        <v>4</v>
      </c>
      <c r="E2359" s="123" ph="1">
        <v>6</v>
      </c>
      <c r="G2359" s="13" t="s" ph="1">
        <v>4758</v>
      </c>
      <c r="H2359" s="13" t="s" ph="1">
        <v>709</v>
      </c>
      <c r="I2359" s="13" t="s" ph="1">
        <v>339</v>
      </c>
      <c r="K2359" s="13" t="s" ph="1">
        <v>8528</v>
      </c>
      <c r="L2359" s="13" t="s" ph="1">
        <v>3628</v>
      </c>
      <c r="M2359" s="14" t="str" ph="1">
        <f>IFERROR(INDEX([1]!_born[生没年],
MATCH(I2359,[1]!_born[作],0)),"")</f>
        <v/>
      </c>
      <c r="N2359" s="14" t="str" ph="1">
        <f>IFERROR(INDEX([1]!_born[生没年],
MATCH(K2359,[1]!_born[作],0)),"")</f>
        <v/>
      </c>
      <c r="O2359" s="13" t="s" ph="1">
        <v>8538</v>
      </c>
      <c r="R2359" s="16" t="s" ph="1">
        <v>1535</v>
      </c>
      <c r="S2359" s="13" t="s" ph="1">
        <v>10287</v>
      </c>
      <c r="T2359" s="13" t="s" ph="1">
        <v>7870</v>
      </c>
      <c r="U2359" s="16" ph="1">
        <v>37074</v>
      </c>
      <c r="V2359" s="17" ph="1">
        <f t="shared" ref="V2359:V2365" si="5">600*1.05</f>
        <v>630</v>
      </c>
      <c r="X2359" s="13" t="s" ph="1">
        <v>3802</v>
      </c>
    </row>
    <row r="2360" spans="3:24" ht="22.5" customHeight="1" ph="1" x14ac:dyDescent="0.35">
      <c r="C2360" s="13" t="s" ph="1">
        <v>7591</v>
      </c>
      <c r="D2360" s="123" ph="1">
        <v>4</v>
      </c>
      <c r="E2360" s="123" ph="1">
        <v>6</v>
      </c>
      <c r="G2360" s="13" t="s" ph="1">
        <v>4758</v>
      </c>
      <c r="H2360" s="13" t="s" ph="1">
        <v>709</v>
      </c>
      <c r="I2360" s="13" t="s" ph="1">
        <v>339</v>
      </c>
      <c r="K2360" s="13" t="s" ph="1">
        <v>8528</v>
      </c>
      <c r="L2360" s="13" t="s" ph="1">
        <v>3628</v>
      </c>
      <c r="M2360" s="14" t="str" ph="1">
        <f>IFERROR(INDEX([1]!_born[生没年],
MATCH(I2360,[1]!_born[作],0)),"")</f>
        <v/>
      </c>
      <c r="N2360" s="14" t="str" ph="1">
        <f>IFERROR(INDEX([1]!_born[生没年],
MATCH(K2360,[1]!_born[作],0)),"")</f>
        <v/>
      </c>
      <c r="O2360" s="13" t="s" ph="1">
        <v>8539</v>
      </c>
      <c r="R2360" s="16" t="s" ph="1">
        <v>1552</v>
      </c>
      <c r="S2360" s="13" t="s" ph="1">
        <v>10287</v>
      </c>
      <c r="T2360" s="13" t="s" ph="1">
        <v>7870</v>
      </c>
      <c r="U2360" s="16" ph="1">
        <v>37074</v>
      </c>
      <c r="V2360" s="17" ph="1">
        <f t="shared" si="5"/>
        <v>630</v>
      </c>
      <c r="X2360" s="13" t="s" ph="1">
        <v>3802</v>
      </c>
    </row>
    <row r="2361" spans="3:24" ht="22.5" customHeight="1" ph="1" x14ac:dyDescent="0.35">
      <c r="C2361" s="13" t="s" ph="1">
        <v>7591</v>
      </c>
      <c r="D2361" s="123" ph="1">
        <v>4</v>
      </c>
      <c r="E2361" s="123" ph="1">
        <v>6</v>
      </c>
      <c r="G2361" s="13" t="s" ph="1">
        <v>4758</v>
      </c>
      <c r="H2361" s="13" t="s" ph="1">
        <v>709</v>
      </c>
      <c r="I2361" s="13" t="s" ph="1">
        <v>339</v>
      </c>
      <c r="K2361" s="13" t="s" ph="1">
        <v>8528</v>
      </c>
      <c r="L2361" s="13" t="s" ph="1">
        <v>3628</v>
      </c>
      <c r="M2361" s="14" t="str" ph="1">
        <f>IFERROR(INDEX([1]!_born[生没年],
MATCH(I2361,[1]!_born[作],0)),"")</f>
        <v/>
      </c>
      <c r="N2361" s="14" t="str" ph="1">
        <f>IFERROR(INDEX([1]!_born[生没年],
MATCH(K2361,[1]!_born[作],0)),"")</f>
        <v/>
      </c>
      <c r="O2361" s="15" t="s" ph="1">
        <v>8540</v>
      </c>
      <c r="R2361" s="16" t="s" ph="1">
        <v>1528</v>
      </c>
      <c r="S2361" s="13" t="s" ph="1">
        <v>10287</v>
      </c>
      <c r="T2361" s="13" t="s" ph="1">
        <v>7870</v>
      </c>
      <c r="U2361" s="16" ph="1">
        <v>37074</v>
      </c>
      <c r="V2361" s="17" ph="1">
        <f t="shared" si="5"/>
        <v>630</v>
      </c>
      <c r="X2361" s="13" t="s" ph="1">
        <v>3802</v>
      </c>
    </row>
    <row r="2362" spans="3:24" ht="22.5" customHeight="1" ph="1" x14ac:dyDescent="0.35">
      <c r="C2362" s="13" t="s" ph="1">
        <v>7591</v>
      </c>
      <c r="D2362" s="123" ph="1">
        <v>4</v>
      </c>
      <c r="E2362" s="123" ph="1">
        <v>6</v>
      </c>
      <c r="G2362" s="13" t="s" ph="1">
        <v>4758</v>
      </c>
      <c r="H2362" s="13" t="s" ph="1">
        <v>709</v>
      </c>
      <c r="I2362" s="13" t="s" ph="1">
        <v>339</v>
      </c>
      <c r="K2362" s="13" t="s" ph="1">
        <v>8528</v>
      </c>
      <c r="L2362" s="13" t="s" ph="1">
        <v>3628</v>
      </c>
      <c r="M2362" s="14" t="str" ph="1">
        <f>IFERROR(INDEX([1]!_born[生没年],
MATCH(I2362,[1]!_born[作],0)),"")</f>
        <v/>
      </c>
      <c r="N2362" s="14" t="str" ph="1">
        <f>IFERROR(INDEX([1]!_born[生没年],
MATCH(K2362,[1]!_born[作],0)),"")</f>
        <v/>
      </c>
      <c r="O2362" s="13" t="s" ph="1">
        <v>8541</v>
      </c>
      <c r="R2362" s="16" t="s" ph="1">
        <v>1552</v>
      </c>
      <c r="S2362" s="13" t="s" ph="1">
        <v>10287</v>
      </c>
      <c r="T2362" s="13" t="s" ph="1">
        <v>7870</v>
      </c>
      <c r="U2362" s="16" ph="1">
        <v>37074</v>
      </c>
      <c r="V2362" s="17" ph="1">
        <f t="shared" si="5"/>
        <v>630</v>
      </c>
      <c r="X2362" s="13" t="s" ph="1">
        <v>3802</v>
      </c>
    </row>
    <row r="2363" spans="3:24" ht="22.5" customHeight="1" ph="1" x14ac:dyDescent="0.35">
      <c r="C2363" s="13" t="s" ph="1">
        <v>7591</v>
      </c>
      <c r="D2363" s="123" ph="1">
        <v>4</v>
      </c>
      <c r="E2363" s="123" ph="1">
        <v>6</v>
      </c>
      <c r="G2363" s="13" t="s" ph="1">
        <v>4758</v>
      </c>
      <c r="H2363" s="13" t="s" ph="1">
        <v>709</v>
      </c>
      <c r="I2363" s="13" t="s" ph="1">
        <v>339</v>
      </c>
      <c r="K2363" s="13" t="s" ph="1">
        <v>8528</v>
      </c>
      <c r="L2363" s="13" t="s" ph="1">
        <v>3628</v>
      </c>
      <c r="M2363" s="14" t="str" ph="1">
        <f>IFERROR(INDEX([1]!_born[生没年],
MATCH(I2363,[1]!_born[作],0)),"")</f>
        <v/>
      </c>
      <c r="N2363" s="14" t="str" ph="1">
        <f>IFERROR(INDEX([1]!_born[生没年],
MATCH(K2363,[1]!_born[作],0)),"")</f>
        <v/>
      </c>
      <c r="O2363" s="13" t="s" ph="1">
        <v>8542</v>
      </c>
      <c r="R2363" s="16" t="s" ph="1">
        <v>1528</v>
      </c>
      <c r="S2363" s="13" t="s" ph="1">
        <v>10287</v>
      </c>
      <c r="T2363" s="13" t="s" ph="1">
        <v>7870</v>
      </c>
      <c r="U2363" s="16" ph="1">
        <v>37074</v>
      </c>
      <c r="V2363" s="17" ph="1">
        <f t="shared" si="5"/>
        <v>630</v>
      </c>
      <c r="X2363" s="13" t="s" ph="1">
        <v>3802</v>
      </c>
    </row>
    <row r="2364" spans="3:24" ht="22.5" customHeight="1" ph="1" x14ac:dyDescent="0.35">
      <c r="C2364" s="13" t="s" ph="1">
        <v>7591</v>
      </c>
      <c r="D2364" s="123" ph="1">
        <v>4</v>
      </c>
      <c r="E2364" s="123" ph="1">
        <v>6</v>
      </c>
      <c r="G2364" s="13" t="s" ph="1">
        <v>4758</v>
      </c>
      <c r="H2364" s="13" t="s" ph="1">
        <v>709</v>
      </c>
      <c r="I2364" s="13" t="s" ph="1">
        <v>339</v>
      </c>
      <c r="K2364" s="13" t="s" ph="1">
        <v>8528</v>
      </c>
      <c r="L2364" s="13" t="s" ph="1">
        <v>3628</v>
      </c>
      <c r="M2364" s="14" t="str" ph="1">
        <f>IFERROR(INDEX([1]!_born[生没年],
MATCH(I2364,[1]!_born[作],0)),"")</f>
        <v/>
      </c>
      <c r="N2364" s="14" t="str" ph="1">
        <f>IFERROR(INDEX([1]!_born[生没年],
MATCH(K2364,[1]!_born[作],0)),"")</f>
        <v/>
      </c>
      <c r="O2364" s="13" t="s" ph="1">
        <v>8543</v>
      </c>
      <c r="R2364" s="16" t="s" ph="1">
        <v>1545</v>
      </c>
      <c r="S2364" s="13" t="s" ph="1">
        <v>10287</v>
      </c>
      <c r="T2364" s="13" t="s" ph="1">
        <v>7870</v>
      </c>
      <c r="U2364" s="16" ph="1">
        <v>37074</v>
      </c>
      <c r="V2364" s="17" ph="1">
        <f t="shared" si="5"/>
        <v>630</v>
      </c>
      <c r="X2364" s="13" t="s" ph="1">
        <v>3802</v>
      </c>
    </row>
    <row r="2365" spans="3:24" ht="22.5" customHeight="1" ph="1" x14ac:dyDescent="0.35">
      <c r="C2365" s="13" t="s" ph="1">
        <v>7591</v>
      </c>
      <c r="D2365" s="123" ph="1">
        <v>4</v>
      </c>
      <c r="E2365" s="123" ph="1">
        <v>6</v>
      </c>
      <c r="G2365" s="13" t="s" ph="1">
        <v>4758</v>
      </c>
      <c r="H2365" s="13" t="s" ph="1">
        <v>709</v>
      </c>
      <c r="I2365" s="13" t="s" ph="1">
        <v>339</v>
      </c>
      <c r="K2365" s="13" t="s" ph="1">
        <v>8528</v>
      </c>
      <c r="L2365" s="13" t="s" ph="1">
        <v>3628</v>
      </c>
      <c r="M2365" s="14" t="str" ph="1">
        <f>IFERROR(INDEX([1]!_born[生没年],
MATCH(I2365,[1]!_born[作],0)),"")</f>
        <v/>
      </c>
      <c r="N2365" s="14" t="str" ph="1">
        <f>IFERROR(INDEX([1]!_born[生没年],
MATCH(K2365,[1]!_born[作],0)),"")</f>
        <v/>
      </c>
      <c r="O2365" s="13" t="s" ph="1">
        <v>8544</v>
      </c>
      <c r="R2365" s="16" t="s" ph="1">
        <v>1556</v>
      </c>
      <c r="S2365" s="13" t="s" ph="1">
        <v>10287</v>
      </c>
      <c r="T2365" s="13" t="s" ph="1">
        <v>7870</v>
      </c>
      <c r="U2365" s="16" ph="1">
        <v>37074</v>
      </c>
      <c r="V2365" s="17" ph="1">
        <f t="shared" si="5"/>
        <v>630</v>
      </c>
      <c r="X2365" s="13" t="s" ph="1">
        <v>3802</v>
      </c>
    </row>
    <row r="2366" spans="3:24" ht="22.5" customHeight="1" ph="1" x14ac:dyDescent="0.35">
      <c r="C2366" s="13" t="s" ph="1">
        <v>7591</v>
      </c>
      <c r="D2366" s="123" ph="1">
        <v>5</v>
      </c>
      <c r="E2366" s="123" ph="1">
        <v>6</v>
      </c>
      <c r="G2366" s="13" t="s" ph="1">
        <v>4758</v>
      </c>
      <c r="H2366" s="13" t="s" ph="1">
        <v>709</v>
      </c>
      <c r="I2366" s="13" t="s" ph="1">
        <v>339</v>
      </c>
      <c r="K2366" s="13" t="s" ph="1">
        <v>8528</v>
      </c>
      <c r="L2366" s="13" t="s" ph="1">
        <v>3628</v>
      </c>
      <c r="M2366" s="14" t="str" ph="1">
        <f>IFERROR(INDEX([1]!_born[生没年],
MATCH(I2366,[1]!_born[作],0)),"")</f>
        <v/>
      </c>
      <c r="N2366" s="14" t="str" ph="1">
        <f>IFERROR(INDEX([1]!_born[生没年],
MATCH(K2366,[1]!_born[作],0)),"")</f>
        <v/>
      </c>
      <c r="O2366" s="13" t="s" ph="1">
        <v>8545</v>
      </c>
      <c r="R2366" s="16" t="s" ph="1">
        <v>1552</v>
      </c>
      <c r="S2366" s="13" t="s" ph="1">
        <v>10288</v>
      </c>
      <c r="T2366" s="13" t="s" ph="1">
        <v>7870</v>
      </c>
      <c r="U2366" s="16" ph="1">
        <v>37076</v>
      </c>
      <c r="V2366" s="17" ph="1">
        <f>640*1.05</f>
        <v>672</v>
      </c>
      <c r="X2366" s="13" t="s" ph="1">
        <v>3802</v>
      </c>
    </row>
    <row r="2367" spans="3:24" ht="22.5" customHeight="1" ph="1" x14ac:dyDescent="0.35">
      <c r="C2367" s="13" t="s" ph="1">
        <v>7591</v>
      </c>
      <c r="D2367" s="123" ph="1">
        <v>5</v>
      </c>
      <c r="E2367" s="123" ph="1">
        <v>6</v>
      </c>
      <c r="G2367" s="13" t="s" ph="1">
        <v>4758</v>
      </c>
      <c r="H2367" s="13" t="s" ph="1">
        <v>709</v>
      </c>
      <c r="I2367" s="13" t="s" ph="1">
        <v>339</v>
      </c>
      <c r="K2367" s="13" t="s" ph="1">
        <v>8528</v>
      </c>
      <c r="L2367" s="13" t="s" ph="1">
        <v>3628</v>
      </c>
      <c r="M2367" s="14" t="str" ph="1">
        <f>IFERROR(INDEX([1]!_born[生没年],
MATCH(I2367,[1]!_born[作],0)),"")</f>
        <v/>
      </c>
      <c r="N2367" s="14" t="str" ph="1">
        <f>IFERROR(INDEX([1]!_born[生没年],
MATCH(K2367,[1]!_born[作],0)),"")</f>
        <v/>
      </c>
      <c r="O2367" s="13" t="s" ph="1">
        <v>467</v>
      </c>
      <c r="R2367" s="16" t="s" ph="1">
        <v>1552</v>
      </c>
      <c r="S2367" s="13" t="s" ph="1">
        <v>10288</v>
      </c>
      <c r="T2367" s="13" t="s" ph="1">
        <v>7870</v>
      </c>
      <c r="U2367" s="16" ph="1">
        <v>37076</v>
      </c>
      <c r="V2367" s="17" ph="1">
        <f t="shared" ref="V2367:V2383" si="6">640*1.05</f>
        <v>672</v>
      </c>
      <c r="X2367" s="13" t="s" ph="1">
        <v>3802</v>
      </c>
    </row>
    <row r="2368" spans="3:24" ht="22.5" customHeight="1" ph="1" x14ac:dyDescent="0.35">
      <c r="C2368" s="13" t="s" ph="1">
        <v>7591</v>
      </c>
      <c r="D2368" s="123" ph="1">
        <v>5</v>
      </c>
      <c r="E2368" s="123" ph="1">
        <v>6</v>
      </c>
      <c r="G2368" s="13" t="s" ph="1">
        <v>4758</v>
      </c>
      <c r="H2368" s="13" t="s" ph="1">
        <v>709</v>
      </c>
      <c r="I2368" s="13" t="s" ph="1">
        <v>339</v>
      </c>
      <c r="K2368" s="13" t="s" ph="1">
        <v>8528</v>
      </c>
      <c r="L2368" s="13" t="s" ph="1">
        <v>3628</v>
      </c>
      <c r="M2368" s="14" t="str" ph="1">
        <f>IFERROR(INDEX([1]!_born[生没年],
MATCH(I2368,[1]!_born[作],0)),"")</f>
        <v/>
      </c>
      <c r="N2368" s="14" t="str" ph="1">
        <f>IFERROR(INDEX([1]!_born[生没年],
MATCH(K2368,[1]!_born[作],0)),"")</f>
        <v/>
      </c>
      <c r="O2368" s="13" t="s" ph="1">
        <v>8546</v>
      </c>
      <c r="R2368" s="16" t="s" ph="1">
        <v>1553</v>
      </c>
      <c r="S2368" s="13" t="s" ph="1">
        <v>10288</v>
      </c>
      <c r="T2368" s="13" t="s" ph="1">
        <v>7870</v>
      </c>
      <c r="U2368" s="16" ph="1">
        <v>37076</v>
      </c>
      <c r="V2368" s="17" ph="1">
        <f t="shared" si="6"/>
        <v>672</v>
      </c>
      <c r="X2368" s="13" t="s" ph="1">
        <v>3802</v>
      </c>
    </row>
    <row r="2369" spans="1:24" ht="22.5" customHeight="1" ph="1" x14ac:dyDescent="0.35">
      <c r="C2369" s="13" t="s" ph="1">
        <v>7591</v>
      </c>
      <c r="D2369" s="123" ph="1">
        <v>5</v>
      </c>
      <c r="E2369" s="123" ph="1">
        <v>6</v>
      </c>
      <c r="G2369" s="13" t="s" ph="1">
        <v>4758</v>
      </c>
      <c r="H2369" s="13" t="s" ph="1">
        <v>709</v>
      </c>
      <c r="I2369" s="13" t="s" ph="1">
        <v>339</v>
      </c>
      <c r="K2369" s="13" t="s" ph="1">
        <v>8528</v>
      </c>
      <c r="L2369" s="13" t="s" ph="1">
        <v>3628</v>
      </c>
      <c r="M2369" s="14" t="str" ph="1">
        <f>IFERROR(INDEX([1]!_born[生没年],
MATCH(I2369,[1]!_born[作],0)),"")</f>
        <v/>
      </c>
      <c r="N2369" s="14" t="str" ph="1">
        <f>IFERROR(INDEX([1]!_born[生没年],
MATCH(K2369,[1]!_born[作],0)),"")</f>
        <v/>
      </c>
      <c r="O2369" s="13" t="s" ph="1">
        <v>8547</v>
      </c>
      <c r="R2369" s="16" t="s" ph="1">
        <v>1546</v>
      </c>
      <c r="S2369" s="13" t="s" ph="1">
        <v>10288</v>
      </c>
      <c r="T2369" s="13" t="s" ph="1">
        <v>7870</v>
      </c>
      <c r="U2369" s="16" ph="1">
        <v>37076</v>
      </c>
      <c r="V2369" s="17" ph="1">
        <f t="shared" si="6"/>
        <v>672</v>
      </c>
      <c r="X2369" s="13" t="s" ph="1">
        <v>3802</v>
      </c>
    </row>
    <row r="2370" spans="1:24" ht="22.5" customHeight="1" ph="1" x14ac:dyDescent="0.35">
      <c r="C2370" s="13" t="s" ph="1">
        <v>7591</v>
      </c>
      <c r="D2370" s="123" ph="1">
        <v>5</v>
      </c>
      <c r="E2370" s="123" ph="1">
        <v>6</v>
      </c>
      <c r="G2370" s="13" t="s" ph="1">
        <v>4758</v>
      </c>
      <c r="H2370" s="13" t="s" ph="1">
        <v>709</v>
      </c>
      <c r="I2370" s="13" t="s" ph="1">
        <v>339</v>
      </c>
      <c r="K2370" s="13" t="s" ph="1">
        <v>8528</v>
      </c>
      <c r="L2370" s="13" t="s" ph="1">
        <v>3628</v>
      </c>
      <c r="M2370" s="14" t="str" ph="1">
        <f>IFERROR(INDEX([1]!_born[生没年],
MATCH(I2370,[1]!_born[作],0)),"")</f>
        <v/>
      </c>
      <c r="N2370" s="14" t="str" ph="1">
        <f>IFERROR(INDEX([1]!_born[生没年],
MATCH(K2370,[1]!_born[作],0)),"")</f>
        <v/>
      </c>
      <c r="O2370" s="13" t="s" ph="1">
        <v>8548</v>
      </c>
      <c r="R2370" s="16" t="s" ph="1">
        <v>1558</v>
      </c>
      <c r="S2370" s="13" t="s" ph="1">
        <v>10288</v>
      </c>
      <c r="T2370" s="13" t="s" ph="1">
        <v>7870</v>
      </c>
      <c r="U2370" s="16" ph="1">
        <v>37076</v>
      </c>
      <c r="V2370" s="17" ph="1">
        <f t="shared" si="6"/>
        <v>672</v>
      </c>
      <c r="X2370" s="13" t="s" ph="1">
        <v>3802</v>
      </c>
    </row>
    <row r="2371" spans="1:24" ht="22.5" customHeight="1" ph="1" x14ac:dyDescent="0.35">
      <c r="C2371" s="13" t="s" ph="1">
        <v>7591</v>
      </c>
      <c r="D2371" s="123" ph="1">
        <v>5</v>
      </c>
      <c r="E2371" s="123" ph="1">
        <v>6</v>
      </c>
      <c r="G2371" s="13" t="s" ph="1">
        <v>4758</v>
      </c>
      <c r="H2371" s="13" t="s" ph="1">
        <v>709</v>
      </c>
      <c r="I2371" s="13" t="s" ph="1">
        <v>339</v>
      </c>
      <c r="K2371" s="13" t="s" ph="1">
        <v>8528</v>
      </c>
      <c r="L2371" s="13" t="s" ph="1">
        <v>3628</v>
      </c>
      <c r="M2371" s="14" t="str" ph="1">
        <f>IFERROR(INDEX([1]!_born[生没年],
MATCH(I2371,[1]!_born[作],0)),"")</f>
        <v/>
      </c>
      <c r="N2371" s="14" t="str" ph="1">
        <f>IFERROR(INDEX([1]!_born[生没年],
MATCH(K2371,[1]!_born[作],0)),"")</f>
        <v/>
      </c>
      <c r="O2371" s="13" t="s" ph="1">
        <v>8549</v>
      </c>
      <c r="R2371" s="16" t="s" ph="1">
        <v>1547</v>
      </c>
      <c r="S2371" s="13" t="s" ph="1">
        <v>10288</v>
      </c>
      <c r="T2371" s="13" t="s" ph="1">
        <v>7870</v>
      </c>
      <c r="U2371" s="16" ph="1">
        <v>37076</v>
      </c>
      <c r="V2371" s="17" ph="1">
        <f t="shared" si="6"/>
        <v>672</v>
      </c>
      <c r="X2371" s="13" t="s" ph="1">
        <v>3802</v>
      </c>
    </row>
    <row r="2372" spans="1:24" ht="22.5" customHeight="1" ph="1" x14ac:dyDescent="0.35">
      <c r="C2372" s="13" t="s" ph="1">
        <v>7591</v>
      </c>
      <c r="D2372" s="123" ph="1">
        <v>5</v>
      </c>
      <c r="E2372" s="123" ph="1">
        <v>6</v>
      </c>
      <c r="G2372" s="13" t="s" ph="1">
        <v>4758</v>
      </c>
      <c r="H2372" s="13" t="s" ph="1">
        <v>709</v>
      </c>
      <c r="I2372" s="13" t="s" ph="1">
        <v>339</v>
      </c>
      <c r="K2372" s="13" t="s" ph="1">
        <v>8528</v>
      </c>
      <c r="L2372" s="13" t="s" ph="1">
        <v>3628</v>
      </c>
      <c r="M2372" s="14" t="str" ph="1">
        <f>IFERROR(INDEX([1]!_born[生没年],
MATCH(I2372,[1]!_born[作],0)),"")</f>
        <v/>
      </c>
      <c r="N2372" s="14" t="str" ph="1">
        <f>IFERROR(INDEX([1]!_born[生没年],
MATCH(K2372,[1]!_born[作],0)),"")</f>
        <v/>
      </c>
      <c r="O2372" s="13" t="s" ph="1">
        <v>8550</v>
      </c>
      <c r="R2372" s="16" t="s" ph="1">
        <v>1559</v>
      </c>
      <c r="S2372" s="13" t="s" ph="1">
        <v>10288</v>
      </c>
      <c r="T2372" s="13" t="s" ph="1">
        <v>7870</v>
      </c>
      <c r="U2372" s="16" ph="1">
        <v>37076</v>
      </c>
      <c r="V2372" s="17" ph="1">
        <f t="shared" si="6"/>
        <v>672</v>
      </c>
      <c r="X2372" s="13" t="s" ph="1">
        <v>3802</v>
      </c>
    </row>
    <row r="2373" spans="1:24" ht="22.5" customHeight="1" ph="1" x14ac:dyDescent="0.35">
      <c r="C2373" s="13" t="s" ph="1">
        <v>7591</v>
      </c>
      <c r="D2373" s="123" ph="1">
        <v>5</v>
      </c>
      <c r="E2373" s="123" ph="1">
        <v>6</v>
      </c>
      <c r="G2373" s="13" t="s" ph="1">
        <v>4758</v>
      </c>
      <c r="H2373" s="13" t="s" ph="1">
        <v>709</v>
      </c>
      <c r="I2373" s="13" t="s" ph="1">
        <v>339</v>
      </c>
      <c r="K2373" s="13" t="s" ph="1">
        <v>8528</v>
      </c>
      <c r="L2373" s="13" t="s" ph="1">
        <v>3628</v>
      </c>
      <c r="M2373" s="14" t="str" ph="1">
        <f>IFERROR(INDEX([1]!_born[生没年],
MATCH(I2373,[1]!_born[作],0)),"")</f>
        <v/>
      </c>
      <c r="N2373" s="14" t="str" ph="1">
        <f>IFERROR(INDEX([1]!_born[生没年],
MATCH(K2373,[1]!_born[作],0)),"")</f>
        <v/>
      </c>
      <c r="O2373" s="13" t="s" ph="1">
        <v>8551</v>
      </c>
      <c r="R2373" s="16" t="s" ph="1">
        <v>1519</v>
      </c>
      <c r="S2373" s="13" t="s" ph="1">
        <v>10288</v>
      </c>
      <c r="T2373" s="13" t="s" ph="1">
        <v>7870</v>
      </c>
      <c r="U2373" s="16" ph="1">
        <v>37076</v>
      </c>
      <c r="V2373" s="17" ph="1">
        <f t="shared" si="6"/>
        <v>672</v>
      </c>
      <c r="X2373" s="13" t="s" ph="1">
        <v>3802</v>
      </c>
    </row>
    <row r="2374" spans="1:24" ht="22.5" customHeight="1" ph="1" x14ac:dyDescent="0.35">
      <c r="C2374" s="13" t="s" ph="1">
        <v>7591</v>
      </c>
      <c r="D2374" s="123" ph="1">
        <v>5</v>
      </c>
      <c r="E2374" s="123" ph="1">
        <v>6</v>
      </c>
      <c r="G2374" s="13" t="s" ph="1">
        <v>4758</v>
      </c>
      <c r="H2374" s="13" t="s" ph="1">
        <v>709</v>
      </c>
      <c r="I2374" s="13" t="s" ph="1">
        <v>339</v>
      </c>
      <c r="K2374" s="13" t="s" ph="1">
        <v>8528</v>
      </c>
      <c r="L2374" s="13" t="s" ph="1">
        <v>3628</v>
      </c>
      <c r="M2374" s="14" t="str" ph="1">
        <f>IFERROR(INDEX([1]!_born[生没年],
MATCH(I2374,[1]!_born[作],0)),"")</f>
        <v/>
      </c>
      <c r="N2374" s="14" t="str" ph="1">
        <f>IFERROR(INDEX([1]!_born[生没年],
MATCH(K2374,[1]!_born[作],0)),"")</f>
        <v/>
      </c>
      <c r="O2374" s="13" t="s" ph="1">
        <v>8552</v>
      </c>
      <c r="R2374" s="16" t="s" ph="1">
        <v>1557</v>
      </c>
      <c r="S2374" s="13" t="s" ph="1">
        <v>10288</v>
      </c>
      <c r="T2374" s="13" t="s" ph="1">
        <v>7870</v>
      </c>
      <c r="U2374" s="16" ph="1">
        <v>37076</v>
      </c>
      <c r="V2374" s="17" ph="1">
        <f t="shared" si="6"/>
        <v>672</v>
      </c>
      <c r="X2374" s="13" t="s" ph="1">
        <v>3802</v>
      </c>
    </row>
    <row r="2375" spans="1:24" ht="22.5" customHeight="1" ph="1" x14ac:dyDescent="0.35">
      <c r="C2375" s="13" t="s" ph="1">
        <v>7591</v>
      </c>
      <c r="D2375" s="123" ph="1">
        <v>6</v>
      </c>
      <c r="E2375" s="123" ph="1">
        <v>6</v>
      </c>
      <c r="G2375" s="13" t="s" ph="1">
        <v>4758</v>
      </c>
      <c r="H2375" s="13" t="s" ph="1">
        <v>709</v>
      </c>
      <c r="I2375" s="13" t="s" ph="1">
        <v>339</v>
      </c>
      <c r="K2375" s="13" t="s" ph="1">
        <v>8528</v>
      </c>
      <c r="L2375" s="13" t="s" ph="1">
        <v>3628</v>
      </c>
      <c r="M2375" s="14" t="str" ph="1">
        <f>IFERROR(INDEX([1]!_born[生没年],
MATCH(I2375,[1]!_born[作],0)),"")</f>
        <v/>
      </c>
      <c r="N2375" s="14" t="str" ph="1">
        <f>IFERROR(INDEX([1]!_born[生没年],
MATCH(K2375,[1]!_born[作],0)),"")</f>
        <v/>
      </c>
      <c r="O2375" s="13" t="s" ph="1">
        <v>8553</v>
      </c>
      <c r="R2375" s="16" t="s" ph="1">
        <v>1535</v>
      </c>
      <c r="S2375" s="13" t="s" ph="1">
        <v>10289</v>
      </c>
      <c r="T2375" s="13" t="s" ph="1">
        <v>7870</v>
      </c>
      <c r="U2375" s="16" ph="1">
        <v>37110</v>
      </c>
      <c r="V2375" s="17" ph="1">
        <f t="shared" si="6"/>
        <v>672</v>
      </c>
      <c r="X2375" s="13" t="s" ph="1">
        <v>3802</v>
      </c>
    </row>
    <row r="2376" spans="1:24" ht="22.5" customHeight="1" ph="1" x14ac:dyDescent="0.35">
      <c r="C2376" s="13" t="s" ph="1">
        <v>7591</v>
      </c>
      <c r="D2376" s="123" ph="1">
        <v>6</v>
      </c>
      <c r="E2376" s="123" ph="1">
        <v>6</v>
      </c>
      <c r="G2376" s="13" t="s" ph="1">
        <v>4758</v>
      </c>
      <c r="H2376" s="13" t="s" ph="1">
        <v>709</v>
      </c>
      <c r="I2376" s="13" t="s" ph="1">
        <v>339</v>
      </c>
      <c r="K2376" s="13" t="s" ph="1">
        <v>8528</v>
      </c>
      <c r="L2376" s="13" t="s" ph="1">
        <v>3628</v>
      </c>
      <c r="M2376" s="14" t="str" ph="1">
        <f>IFERROR(INDEX([1]!_born[生没年],
MATCH(I2376,[1]!_born[作],0)),"")</f>
        <v/>
      </c>
      <c r="N2376" s="14" t="str" ph="1">
        <f>IFERROR(INDEX([1]!_born[生没年],
MATCH(K2376,[1]!_born[作],0)),"")</f>
        <v/>
      </c>
      <c r="O2376" s="13" t="s" ph="1">
        <v>8554</v>
      </c>
      <c r="R2376" s="16" t="s" ph="1">
        <v>1552</v>
      </c>
      <c r="S2376" s="13" t="s" ph="1">
        <v>10289</v>
      </c>
      <c r="T2376" s="13" t="s" ph="1">
        <v>7870</v>
      </c>
      <c r="U2376" s="16" ph="1">
        <v>37110</v>
      </c>
      <c r="V2376" s="17" ph="1">
        <f t="shared" si="6"/>
        <v>672</v>
      </c>
      <c r="X2376" s="13" t="s" ph="1">
        <v>3802</v>
      </c>
    </row>
    <row r="2377" spans="1:24" ht="22.5" customHeight="1" ph="1" x14ac:dyDescent="0.35">
      <c r="C2377" s="13" t="s" ph="1">
        <v>7591</v>
      </c>
      <c r="D2377" s="123" ph="1">
        <v>6</v>
      </c>
      <c r="E2377" s="123" ph="1">
        <v>6</v>
      </c>
      <c r="G2377" s="13" t="s" ph="1">
        <v>4758</v>
      </c>
      <c r="H2377" s="13" t="s" ph="1">
        <v>709</v>
      </c>
      <c r="I2377" s="13" t="s" ph="1">
        <v>339</v>
      </c>
      <c r="K2377" s="13" t="s" ph="1">
        <v>8528</v>
      </c>
      <c r="L2377" s="13" t="s" ph="1">
        <v>3628</v>
      </c>
      <c r="M2377" s="14" t="str" ph="1">
        <f>IFERROR(INDEX([1]!_born[生没年],
MATCH(I2377,[1]!_born[作],0)),"")</f>
        <v/>
      </c>
      <c r="N2377" s="14" t="str" ph="1">
        <f>IFERROR(INDEX([1]!_born[生没年],
MATCH(K2377,[1]!_born[作],0)),"")</f>
        <v/>
      </c>
      <c r="O2377" s="13" t="s" ph="1">
        <v>8555</v>
      </c>
      <c r="R2377" s="16" t="s" ph="1">
        <v>1549</v>
      </c>
      <c r="S2377" s="13" t="s" ph="1">
        <v>10289</v>
      </c>
      <c r="T2377" s="13" t="s" ph="1">
        <v>7870</v>
      </c>
      <c r="U2377" s="16" ph="1">
        <v>37110</v>
      </c>
      <c r="V2377" s="17" ph="1">
        <f t="shared" si="6"/>
        <v>672</v>
      </c>
      <c r="X2377" s="13" t="s" ph="1">
        <v>3802</v>
      </c>
    </row>
    <row r="2378" spans="1:24" ht="22.5" customHeight="1" ph="1" x14ac:dyDescent="0.35">
      <c r="C2378" s="13" t="s" ph="1">
        <v>7591</v>
      </c>
      <c r="D2378" s="123" ph="1">
        <v>6</v>
      </c>
      <c r="E2378" s="123" ph="1">
        <v>6</v>
      </c>
      <c r="G2378" s="13" t="s" ph="1">
        <v>4758</v>
      </c>
      <c r="H2378" s="13" t="s" ph="1">
        <v>709</v>
      </c>
      <c r="I2378" s="13" t="s" ph="1">
        <v>339</v>
      </c>
      <c r="K2378" s="13" t="s" ph="1">
        <v>8528</v>
      </c>
      <c r="L2378" s="13" t="s" ph="1">
        <v>3628</v>
      </c>
      <c r="M2378" s="14" t="str" ph="1">
        <f>IFERROR(INDEX([1]!_born[生没年],
MATCH(I2378,[1]!_born[作],0)),"")</f>
        <v/>
      </c>
      <c r="N2378" s="14" t="str" ph="1">
        <f>IFERROR(INDEX([1]!_born[生没年],
MATCH(K2378,[1]!_born[作],0)),"")</f>
        <v/>
      </c>
      <c r="O2378" s="13" t="s" ph="1">
        <v>316</v>
      </c>
      <c r="R2378" s="16" t="s" ph="1">
        <v>1552</v>
      </c>
      <c r="S2378" s="13" t="s" ph="1">
        <v>10289</v>
      </c>
      <c r="T2378" s="13" t="s" ph="1">
        <v>7870</v>
      </c>
      <c r="U2378" s="16" ph="1">
        <v>37110</v>
      </c>
      <c r="V2378" s="17" ph="1">
        <f t="shared" si="6"/>
        <v>672</v>
      </c>
      <c r="X2378" s="13" t="s" ph="1">
        <v>3802</v>
      </c>
    </row>
    <row r="2379" spans="1:24" ht="22.5" customHeight="1" ph="1" x14ac:dyDescent="0.35">
      <c r="C2379" s="13" t="s" ph="1">
        <v>7591</v>
      </c>
      <c r="D2379" s="123" ph="1">
        <v>6</v>
      </c>
      <c r="E2379" s="123" ph="1">
        <v>6</v>
      </c>
      <c r="G2379" s="13" t="s" ph="1">
        <v>4758</v>
      </c>
      <c r="H2379" s="13" t="s" ph="1">
        <v>709</v>
      </c>
      <c r="I2379" s="13" t="s" ph="1">
        <v>339</v>
      </c>
      <c r="K2379" s="13" t="s" ph="1">
        <v>8528</v>
      </c>
      <c r="L2379" s="13" t="s" ph="1">
        <v>3628</v>
      </c>
      <c r="M2379" s="14" t="str" ph="1">
        <f>IFERROR(INDEX([1]!_born[生没年],
MATCH(I2379,[1]!_born[作],0)),"")</f>
        <v/>
      </c>
      <c r="N2379" s="14" t="str" ph="1">
        <f>IFERROR(INDEX([1]!_born[生没年],
MATCH(K2379,[1]!_born[作],0)),"")</f>
        <v/>
      </c>
      <c r="O2379" s="13" t="s" ph="1">
        <v>8556</v>
      </c>
      <c r="R2379" s="16" t="s" ph="1">
        <v>1535</v>
      </c>
      <c r="S2379" s="13" t="s" ph="1">
        <v>10289</v>
      </c>
      <c r="T2379" s="13" t="s" ph="1">
        <v>7870</v>
      </c>
      <c r="U2379" s="16" ph="1">
        <v>37110</v>
      </c>
      <c r="V2379" s="17" ph="1">
        <f t="shared" si="6"/>
        <v>672</v>
      </c>
      <c r="X2379" s="13" t="s" ph="1">
        <v>3802</v>
      </c>
    </row>
    <row r="2380" spans="1:24" ht="22.5" customHeight="1" ph="1" x14ac:dyDescent="0.35">
      <c r="C2380" s="13" t="s" ph="1">
        <v>7591</v>
      </c>
      <c r="D2380" s="123" ph="1">
        <v>6</v>
      </c>
      <c r="E2380" s="123" ph="1">
        <v>6</v>
      </c>
      <c r="G2380" s="13" t="s" ph="1">
        <v>4758</v>
      </c>
      <c r="H2380" s="13" t="s" ph="1">
        <v>709</v>
      </c>
      <c r="I2380" s="13" t="s" ph="1">
        <v>339</v>
      </c>
      <c r="K2380" s="13" t="s" ph="1">
        <v>8528</v>
      </c>
      <c r="L2380" s="13" t="s" ph="1">
        <v>3628</v>
      </c>
      <c r="M2380" s="14" t="str" ph="1">
        <f>IFERROR(INDEX([1]!_born[生没年],
MATCH(I2380,[1]!_born[作],0)),"")</f>
        <v/>
      </c>
      <c r="N2380" s="14" t="str" ph="1">
        <f>IFERROR(INDEX([1]!_born[生没年],
MATCH(K2380,[1]!_born[作],0)),"")</f>
        <v/>
      </c>
      <c r="O2380" s="13" t="s" ph="1">
        <v>8557</v>
      </c>
      <c r="R2380" s="16" t="s" ph="1">
        <v>1546</v>
      </c>
      <c r="S2380" s="13" t="s" ph="1">
        <v>10289</v>
      </c>
      <c r="T2380" s="13" t="s" ph="1">
        <v>7870</v>
      </c>
      <c r="U2380" s="16" ph="1">
        <v>37110</v>
      </c>
      <c r="V2380" s="17" ph="1">
        <f t="shared" si="6"/>
        <v>672</v>
      </c>
      <c r="X2380" s="13" t="s" ph="1">
        <v>3802</v>
      </c>
    </row>
    <row r="2381" spans="1:24" ht="22.5" customHeight="1" ph="1" x14ac:dyDescent="0.35">
      <c r="C2381" s="13" t="s" ph="1">
        <v>7591</v>
      </c>
      <c r="D2381" s="123" ph="1">
        <v>6</v>
      </c>
      <c r="E2381" s="123" ph="1">
        <v>6</v>
      </c>
      <c r="G2381" s="13" t="s" ph="1">
        <v>4758</v>
      </c>
      <c r="H2381" s="13" t="s" ph="1">
        <v>709</v>
      </c>
      <c r="I2381" s="13" t="s" ph="1">
        <v>339</v>
      </c>
      <c r="K2381" s="13" t="s" ph="1">
        <v>8528</v>
      </c>
      <c r="L2381" s="13" t="s" ph="1">
        <v>3628</v>
      </c>
      <c r="M2381" s="14" t="str" ph="1">
        <f>IFERROR(INDEX([1]!_born[生没年],
MATCH(I2381,[1]!_born[作],0)),"")</f>
        <v/>
      </c>
      <c r="N2381" s="14" t="str" ph="1">
        <f>IFERROR(INDEX([1]!_born[生没年],
MATCH(K2381,[1]!_born[作],0)),"")</f>
        <v/>
      </c>
      <c r="O2381" s="13" t="s" ph="1">
        <v>8558</v>
      </c>
      <c r="R2381" s="16" t="s" ph="1">
        <v>1528</v>
      </c>
      <c r="S2381" s="13" t="s" ph="1">
        <v>10289</v>
      </c>
      <c r="T2381" s="13" t="s" ph="1">
        <v>7870</v>
      </c>
      <c r="U2381" s="16" ph="1">
        <v>37110</v>
      </c>
      <c r="V2381" s="17" ph="1">
        <f t="shared" si="6"/>
        <v>672</v>
      </c>
      <c r="X2381" s="13" t="s" ph="1">
        <v>3802</v>
      </c>
    </row>
    <row r="2382" spans="1:24" ht="22.5" customHeight="1" ph="1" x14ac:dyDescent="0.35">
      <c r="C2382" s="13" t="s" ph="1">
        <v>7591</v>
      </c>
      <c r="D2382" s="123" ph="1">
        <v>6</v>
      </c>
      <c r="E2382" s="123" ph="1">
        <v>6</v>
      </c>
      <c r="G2382" s="13" t="s" ph="1">
        <v>4758</v>
      </c>
      <c r="H2382" s="13" t="s" ph="1">
        <v>709</v>
      </c>
      <c r="I2382" s="13" t="s" ph="1">
        <v>339</v>
      </c>
      <c r="K2382" s="13" t="s" ph="1">
        <v>8528</v>
      </c>
      <c r="L2382" s="13" t="s" ph="1">
        <v>3628</v>
      </c>
      <c r="M2382" s="14" t="str" ph="1">
        <f>IFERROR(INDEX([1]!_born[生没年],
MATCH(I2382,[1]!_born[作],0)),"")</f>
        <v/>
      </c>
      <c r="N2382" s="14" t="str" ph="1">
        <f>IFERROR(INDEX([1]!_born[生没年],
MATCH(K2382,[1]!_born[作],0)),"")</f>
        <v/>
      </c>
      <c r="O2382" s="13" t="s" ph="1">
        <v>8559</v>
      </c>
      <c r="R2382" s="16" t="s" ph="1">
        <v>1554</v>
      </c>
      <c r="S2382" s="13" t="s" ph="1">
        <v>10289</v>
      </c>
      <c r="T2382" s="13" t="s" ph="1">
        <v>7870</v>
      </c>
      <c r="U2382" s="16" ph="1">
        <v>37110</v>
      </c>
      <c r="V2382" s="17" ph="1">
        <f t="shared" si="6"/>
        <v>672</v>
      </c>
      <c r="X2382" s="13" t="s" ph="1">
        <v>3802</v>
      </c>
    </row>
    <row r="2383" spans="1:24" ht="22.5" customHeight="1" ph="1" x14ac:dyDescent="0.35">
      <c r="C2383" s="13" t="s" ph="1">
        <v>7591</v>
      </c>
      <c r="D2383" s="123" ph="1">
        <v>6</v>
      </c>
      <c r="E2383" s="123" ph="1">
        <v>6</v>
      </c>
      <c r="G2383" s="13" t="s" ph="1">
        <v>4758</v>
      </c>
      <c r="H2383" s="13" t="s" ph="1">
        <v>709</v>
      </c>
      <c r="I2383" s="13" t="s" ph="1">
        <v>339</v>
      </c>
      <c r="K2383" s="13" t="s" ph="1">
        <v>8528</v>
      </c>
      <c r="L2383" s="13" t="s" ph="1">
        <v>3628</v>
      </c>
      <c r="M2383" s="14" t="str" ph="1">
        <f>IFERROR(INDEX([1]!_born[生没年],
MATCH(I2383,[1]!_born[作],0)),"")</f>
        <v/>
      </c>
      <c r="N2383" s="14" t="str" ph="1">
        <f>IFERROR(INDEX([1]!_born[生没年],
MATCH(K2383,[1]!_born[作],0)),"")</f>
        <v/>
      </c>
      <c r="O2383" s="13" t="s" ph="1">
        <v>8560</v>
      </c>
      <c r="R2383" s="16" t="s" ph="1">
        <v>1560</v>
      </c>
      <c r="S2383" s="13" t="s" ph="1">
        <v>10289</v>
      </c>
      <c r="T2383" s="13" t="s" ph="1">
        <v>7870</v>
      </c>
      <c r="U2383" s="16" ph="1">
        <v>37110</v>
      </c>
      <c r="V2383" s="17" ph="1">
        <f t="shared" si="6"/>
        <v>672</v>
      </c>
      <c r="X2383" s="13" t="s" ph="1">
        <v>3802</v>
      </c>
    </row>
    <row r="2384" spans="1:24" ht="22.5" customHeight="1" ph="1" x14ac:dyDescent="0.35">
      <c r="A2384" s="106" t="s" ph="1">
        <v>1561</v>
      </c>
      <c r="B2384" s="5" t="s" ph="1">
        <v>1484</v>
      </c>
      <c r="C2384" s="13" t="s" ph="1">
        <v>7591</v>
      </c>
      <c r="G2384" s="13" t="s" ph="1">
        <v>4758</v>
      </c>
      <c r="H2384" s="13" t="s" ph="1">
        <v>709</v>
      </c>
      <c r="I2384" s="13" t="s" ph="1">
        <v>363</v>
      </c>
      <c r="K2384" s="13" t="s" ph="1">
        <v>8561</v>
      </c>
      <c r="L2384" s="13" t="s" ph="1">
        <v>3628</v>
      </c>
      <c r="M2384" s="14" t="str" ph="1">
        <f>IFERROR(INDEX([1]!_born[生没年],
MATCH(I2384,[1]!_born[作],0)),"")</f>
        <v/>
      </c>
      <c r="N2384" s="14" t="str" ph="1">
        <f>IFERROR(INDEX([1]!_born[生没年],
MATCH(K2384,[1]!_born[作],0)),"")</f>
        <v/>
      </c>
      <c r="O2384" s="13" t="s" ph="1">
        <v>8562</v>
      </c>
      <c r="R2384" s="16" t="s" ph="1">
        <v>1562</v>
      </c>
      <c r="T2384" s="13" t="s" ph="1">
        <v>7611</v>
      </c>
      <c r="U2384" s="16" ph="1">
        <v>39158</v>
      </c>
      <c r="V2384" s="17" ph="1">
        <f>667*1.05</f>
        <v>700.35</v>
      </c>
      <c r="W2384" s="17" ph="1">
        <f>667*1.05</f>
        <v>700.35</v>
      </c>
      <c r="X2384" s="13" t="s" ph="1">
        <v>3802</v>
      </c>
    </row>
    <row r="2385" spans="1:25" ht="22.5" customHeight="1" ph="1" x14ac:dyDescent="0.35">
      <c r="A2385" s="106" t="s" ph="1">
        <v>1563</v>
      </c>
      <c r="B2385" s="5" t="s" ph="1">
        <v>1564</v>
      </c>
      <c r="C2385" s="13" t="s" ph="1">
        <v>7591</v>
      </c>
      <c r="G2385" s="13" t="s" ph="1">
        <v>4758</v>
      </c>
      <c r="H2385" s="13" t="s" ph="1">
        <v>709</v>
      </c>
      <c r="I2385" s="13" t="s" ph="1">
        <v>227</v>
      </c>
      <c r="K2385" s="13" t="s" ph="1">
        <v>8563</v>
      </c>
      <c r="L2385" s="13" t="s" ph="1">
        <v>3628</v>
      </c>
      <c r="M2385" s="14" t="str" ph="1">
        <f>IFERROR(INDEX([1]!_born[生没年],
MATCH(I2385,[1]!_born[作],0)),"")</f>
        <v/>
      </c>
      <c r="N2385" s="14" t="str" ph="1">
        <f>IFERROR(INDEX([1]!_born[生没年],
MATCH(K2385,[1]!_born[作],0)),"")</f>
        <v/>
      </c>
      <c r="O2385" s="13" t="s" ph="1">
        <v>8564</v>
      </c>
      <c r="T2385" s="13" t="s" ph="1">
        <v>7375</v>
      </c>
      <c r="U2385" s="16" ph="1">
        <v>38423</v>
      </c>
      <c r="V2385" s="17" ph="1">
        <f>583*1.03</f>
        <v>600.49</v>
      </c>
      <c r="Y2385" s="13" t="s" ph="1">
        <v>3635</v>
      </c>
    </row>
    <row r="2386" spans="1:25" ht="22.5" customHeight="1" ph="1" x14ac:dyDescent="0.35">
      <c r="A2386" s="106" t="s" ph="1">
        <v>1565</v>
      </c>
      <c r="B2386" s="5" t="s" ph="1">
        <v>1484</v>
      </c>
      <c r="C2386" s="13" t="s" ph="1">
        <v>7591</v>
      </c>
      <c r="G2386" s="13" t="s" ph="1">
        <v>4758</v>
      </c>
      <c r="H2386" s="13" t="s" ph="1">
        <v>709</v>
      </c>
      <c r="I2386" s="13" t="s" ph="1">
        <v>551</v>
      </c>
      <c r="K2386" s="13" t="s" ph="1">
        <v>8565</v>
      </c>
      <c r="L2386" s="13" t="s" ph="1">
        <v>3628</v>
      </c>
      <c r="M2386" s="14" t="str" ph="1">
        <f>IFERROR(INDEX([1]!_born[生没年],
MATCH(I2386,[1]!_born[作],0)),"")</f>
        <v/>
      </c>
      <c r="N2386" s="14" t="str" ph="1">
        <f>IFERROR(INDEX([1]!_born[生没年],
MATCH(K2386,[1]!_born[作],0)),"")</f>
        <v/>
      </c>
      <c r="O2386" s="13" t="s" ph="1">
        <v>8566</v>
      </c>
      <c r="R2386" s="16" t="s" ph="1">
        <v>8567</v>
      </c>
      <c r="S2386" s="13" t="s" ph="1">
        <v>1566</v>
      </c>
      <c r="T2386" s="13" t="s" ph="1">
        <v>8276</v>
      </c>
      <c r="U2386" s="16" ph="1">
        <v>38536</v>
      </c>
      <c r="V2386" s="17" ph="1">
        <v>440</v>
      </c>
      <c r="W2386" s="17" ph="1">
        <v>180</v>
      </c>
      <c r="X2386" s="13" t="s" ph="1">
        <v>3792</v>
      </c>
    </row>
    <row r="2387" spans="1:25" ht="22.5" customHeight="1" ph="1" x14ac:dyDescent="0.35">
      <c r="C2387" s="13" t="s" ph="1">
        <v>7591</v>
      </c>
      <c r="D2387" s="123" ph="1">
        <v>1</v>
      </c>
      <c r="E2387" s="123" ph="1">
        <v>10</v>
      </c>
      <c r="G2387" s="13" t="s" ph="1">
        <v>4758</v>
      </c>
      <c r="H2387" s="13" t="s" ph="1">
        <v>709</v>
      </c>
      <c r="I2387" s="13" t="s" ph="1">
        <v>340</v>
      </c>
      <c r="K2387" s="13" t="s" ph="1">
        <v>8568</v>
      </c>
      <c r="L2387" s="13" t="s" ph="1">
        <v>3628</v>
      </c>
      <c r="M2387" s="14" t="str" ph="1">
        <f>IFERROR(INDEX([1]!_born[生没年],
MATCH(I2387,[1]!_born[作],0)),"")</f>
        <v/>
      </c>
      <c r="N2387" s="14" t="str" ph="1">
        <f>IFERROR(INDEX([1]!_born[生没年],
MATCH(K2387,[1]!_born[作],0)),"")</f>
        <v/>
      </c>
      <c r="O2387" s="13" t="s" ph="1">
        <v>8569</v>
      </c>
      <c r="R2387" s="16" t="s" ph="1">
        <v>1567</v>
      </c>
      <c r="T2387" s="13" t="s" ph="1">
        <v>7599</v>
      </c>
      <c r="U2387" s="16" ph="1">
        <v>37094</v>
      </c>
      <c r="V2387" s="17" t="s" ph="1">
        <v>8570</v>
      </c>
      <c r="W2387" s="17" t="s" ph="1">
        <v>8571</v>
      </c>
      <c r="X2387" s="13" t="s" ph="1">
        <v>4937</v>
      </c>
    </row>
    <row r="2388" spans="1:25" ht="22.5" customHeight="1" ph="1" x14ac:dyDescent="0.35">
      <c r="C2388" s="13" t="s" ph="1">
        <v>7591</v>
      </c>
      <c r="D2388" s="123" ph="1">
        <v>2</v>
      </c>
      <c r="E2388" s="123" ph="1">
        <v>10</v>
      </c>
      <c r="G2388" s="13" t="s" ph="1">
        <v>4758</v>
      </c>
      <c r="H2388" s="13" t="s" ph="1">
        <v>709</v>
      </c>
      <c r="I2388" s="13" t="s" ph="1">
        <v>340</v>
      </c>
      <c r="K2388" s="13" t="s" ph="1">
        <v>8568</v>
      </c>
      <c r="L2388" s="13" t="s" ph="1">
        <v>3628</v>
      </c>
      <c r="M2388" s="14" t="str" ph="1">
        <f>IFERROR(INDEX([1]!_born[生没年],
MATCH(I2388,[1]!_born[作],0)),"")</f>
        <v/>
      </c>
      <c r="N2388" s="14" t="str" ph="1">
        <f>IFERROR(INDEX([1]!_born[生没年],
MATCH(K2388,[1]!_born[作],0)),"")</f>
        <v/>
      </c>
      <c r="O2388" s="13" t="s" ph="1">
        <v>8569</v>
      </c>
      <c r="R2388" s="16" t="s" ph="1">
        <v>1568</v>
      </c>
      <c r="T2388" s="13" t="s" ph="1">
        <v>7599</v>
      </c>
      <c r="U2388" s="16" ph="1">
        <v>37094</v>
      </c>
      <c r="V2388" s="17" t="s" ph="1">
        <v>8570</v>
      </c>
      <c r="W2388" s="17" t="s" ph="1">
        <v>8571</v>
      </c>
      <c r="X2388" s="13" t="s" ph="1">
        <v>4937</v>
      </c>
    </row>
    <row r="2389" spans="1:25" ht="22.5" customHeight="1" ph="1" x14ac:dyDescent="0.35">
      <c r="C2389" s="13" t="s" ph="1">
        <v>7591</v>
      </c>
      <c r="D2389" s="123" ph="1">
        <v>3</v>
      </c>
      <c r="E2389" s="123" ph="1">
        <v>10</v>
      </c>
      <c r="G2389" s="13" t="s" ph="1">
        <v>4758</v>
      </c>
      <c r="H2389" s="13" t="s" ph="1">
        <v>709</v>
      </c>
      <c r="I2389" s="13" t="s" ph="1">
        <v>340</v>
      </c>
      <c r="K2389" s="13" t="s" ph="1">
        <v>8568</v>
      </c>
      <c r="L2389" s="13" t="s" ph="1">
        <v>3628</v>
      </c>
      <c r="M2389" s="14" t="str" ph="1">
        <f>IFERROR(INDEX([1]!_born[生没年],
MATCH(I2389,[1]!_born[作],0)),"")</f>
        <v/>
      </c>
      <c r="N2389" s="14" t="str" ph="1">
        <f>IFERROR(INDEX([1]!_born[生没年],
MATCH(K2389,[1]!_born[作],0)),"")</f>
        <v/>
      </c>
      <c r="O2389" s="13" t="s" ph="1">
        <v>8569</v>
      </c>
      <c r="R2389" s="16" t="s" ph="1">
        <v>1568</v>
      </c>
      <c r="T2389" s="13" t="s" ph="1">
        <v>7599</v>
      </c>
      <c r="U2389" s="16" ph="1">
        <v>37094</v>
      </c>
      <c r="V2389" s="17" t="s" ph="1">
        <v>8570</v>
      </c>
      <c r="W2389" s="17" t="s" ph="1">
        <v>8571</v>
      </c>
      <c r="X2389" s="13" t="s" ph="1">
        <v>4937</v>
      </c>
    </row>
    <row r="2390" spans="1:25" ht="22.5" customHeight="1" ph="1" x14ac:dyDescent="0.35">
      <c r="C2390" s="13" t="s" ph="1">
        <v>7591</v>
      </c>
      <c r="D2390" s="123" ph="1">
        <v>4</v>
      </c>
      <c r="E2390" s="123" ph="1">
        <v>10</v>
      </c>
      <c r="G2390" s="13" t="s" ph="1">
        <v>4758</v>
      </c>
      <c r="H2390" s="13" t="s" ph="1">
        <v>709</v>
      </c>
      <c r="I2390" s="13" t="s" ph="1">
        <v>340</v>
      </c>
      <c r="K2390" s="13" t="s" ph="1">
        <v>8568</v>
      </c>
      <c r="L2390" s="13" t="s" ph="1">
        <v>3628</v>
      </c>
      <c r="M2390" s="14" t="str" ph="1">
        <f>IFERROR(INDEX([1]!_born[生没年],
MATCH(I2390,[1]!_born[作],0)),"")</f>
        <v/>
      </c>
      <c r="N2390" s="14" t="str" ph="1">
        <f>IFERROR(INDEX([1]!_born[生没年],
MATCH(K2390,[1]!_born[作],0)),"")</f>
        <v/>
      </c>
      <c r="O2390" s="13" t="s" ph="1">
        <v>8569</v>
      </c>
      <c r="R2390" s="16" t="s" ph="1">
        <v>1568</v>
      </c>
      <c r="T2390" s="13" t="s" ph="1">
        <v>7599</v>
      </c>
      <c r="U2390" s="16" ph="1">
        <v>37094</v>
      </c>
      <c r="V2390" s="17" t="s" ph="1">
        <v>8570</v>
      </c>
      <c r="W2390" s="17" t="s" ph="1">
        <v>8571</v>
      </c>
      <c r="X2390" s="13" t="s" ph="1">
        <v>4937</v>
      </c>
    </row>
    <row r="2391" spans="1:25" ht="22.5" customHeight="1" ph="1" x14ac:dyDescent="0.35">
      <c r="C2391" s="13" t="s" ph="1">
        <v>7591</v>
      </c>
      <c r="D2391" s="123" ph="1">
        <v>5</v>
      </c>
      <c r="E2391" s="123" ph="1">
        <v>10</v>
      </c>
      <c r="G2391" s="13" t="s" ph="1">
        <v>4758</v>
      </c>
      <c r="H2391" s="13" t="s" ph="1">
        <v>709</v>
      </c>
      <c r="I2391" s="13" t="s" ph="1">
        <v>340</v>
      </c>
      <c r="K2391" s="13" t="s" ph="1">
        <v>8568</v>
      </c>
      <c r="L2391" s="13" t="s" ph="1">
        <v>3628</v>
      </c>
      <c r="M2391" s="14" t="str" ph="1">
        <f>IFERROR(INDEX([1]!_born[生没年],
MATCH(I2391,[1]!_born[作],0)),"")</f>
        <v/>
      </c>
      <c r="N2391" s="14" t="str" ph="1">
        <f>IFERROR(INDEX([1]!_born[生没年],
MATCH(K2391,[1]!_born[作],0)),"")</f>
        <v/>
      </c>
      <c r="O2391" s="13" t="s" ph="1">
        <v>8569</v>
      </c>
      <c r="R2391" s="16" t="s" ph="1">
        <v>1568</v>
      </c>
      <c r="T2391" s="13" t="s" ph="1">
        <v>7599</v>
      </c>
      <c r="U2391" s="16" ph="1">
        <v>37094</v>
      </c>
      <c r="V2391" s="17" t="s" ph="1">
        <v>8570</v>
      </c>
      <c r="W2391" s="17" t="s" ph="1">
        <v>8571</v>
      </c>
      <c r="X2391" s="13" t="s" ph="1">
        <v>4937</v>
      </c>
    </row>
    <row r="2392" spans="1:25" ht="22.5" customHeight="1" ph="1" x14ac:dyDescent="0.35">
      <c r="C2392" s="13" t="s" ph="1">
        <v>7591</v>
      </c>
      <c r="D2392" s="123" ph="1">
        <v>6</v>
      </c>
      <c r="E2392" s="123" ph="1">
        <v>10</v>
      </c>
      <c r="G2392" s="13" t="s" ph="1">
        <v>4758</v>
      </c>
      <c r="H2392" s="13" t="s" ph="1">
        <v>709</v>
      </c>
      <c r="I2392" s="13" t="s" ph="1">
        <v>340</v>
      </c>
      <c r="K2392" s="13" t="s" ph="1">
        <v>8568</v>
      </c>
      <c r="L2392" s="13" t="s" ph="1">
        <v>3628</v>
      </c>
      <c r="M2392" s="14" t="str" ph="1">
        <f>IFERROR(INDEX([1]!_born[生没年],
MATCH(I2392,[1]!_born[作],0)),"")</f>
        <v/>
      </c>
      <c r="N2392" s="14" t="str" ph="1">
        <f>IFERROR(INDEX([1]!_born[生没年],
MATCH(K2392,[1]!_born[作],0)),"")</f>
        <v/>
      </c>
      <c r="O2392" s="13" t="s" ph="1">
        <v>8569</v>
      </c>
      <c r="R2392" s="16" t="s" ph="1">
        <v>1569</v>
      </c>
      <c r="T2392" s="13" t="s" ph="1">
        <v>7599</v>
      </c>
      <c r="U2392" s="16" ph="1">
        <v>37094</v>
      </c>
      <c r="V2392" s="17" t="s" ph="1">
        <v>8570</v>
      </c>
      <c r="W2392" s="17" t="s" ph="1">
        <v>8571</v>
      </c>
      <c r="X2392" s="13" t="s" ph="1">
        <v>4937</v>
      </c>
    </row>
    <row r="2393" spans="1:25" ht="22.5" customHeight="1" ph="1" x14ac:dyDescent="0.35">
      <c r="C2393" s="13" t="s" ph="1">
        <v>7591</v>
      </c>
      <c r="D2393" s="123" ph="1">
        <v>7</v>
      </c>
      <c r="E2393" s="123" ph="1">
        <v>10</v>
      </c>
      <c r="G2393" s="13" t="s" ph="1">
        <v>4758</v>
      </c>
      <c r="H2393" s="13" t="s" ph="1">
        <v>709</v>
      </c>
      <c r="I2393" s="13" t="s" ph="1">
        <v>340</v>
      </c>
      <c r="K2393" s="13" t="s" ph="1">
        <v>8568</v>
      </c>
      <c r="L2393" s="13" t="s" ph="1">
        <v>3628</v>
      </c>
      <c r="M2393" s="14" t="str" ph="1">
        <f>IFERROR(INDEX([1]!_born[生没年],
MATCH(I2393,[1]!_born[作],0)),"")</f>
        <v/>
      </c>
      <c r="N2393" s="14" t="str" ph="1">
        <f>IFERROR(INDEX([1]!_born[生没年],
MATCH(K2393,[1]!_born[作],0)),"")</f>
        <v/>
      </c>
      <c r="O2393" s="13" t="s" ph="1">
        <v>8569</v>
      </c>
      <c r="R2393" s="16" t="s" ph="1">
        <v>1569</v>
      </c>
      <c r="T2393" s="13" t="s" ph="1">
        <v>7599</v>
      </c>
      <c r="U2393" s="16" ph="1">
        <v>37094</v>
      </c>
      <c r="V2393" s="17" t="s" ph="1">
        <v>8570</v>
      </c>
      <c r="W2393" s="17" t="s" ph="1">
        <v>8571</v>
      </c>
      <c r="X2393" s="13" t="s" ph="1">
        <v>4937</v>
      </c>
    </row>
    <row r="2394" spans="1:25" ht="22.5" customHeight="1" ph="1" x14ac:dyDescent="0.35">
      <c r="C2394" s="13" t="s" ph="1">
        <v>7591</v>
      </c>
      <c r="D2394" s="123" ph="1">
        <v>8</v>
      </c>
      <c r="E2394" s="123" ph="1">
        <v>19</v>
      </c>
      <c r="G2394" s="13" t="s" ph="1">
        <v>4758</v>
      </c>
      <c r="H2394" s="13" t="s" ph="1">
        <v>709</v>
      </c>
      <c r="I2394" s="13" t="s" ph="1">
        <v>340</v>
      </c>
      <c r="K2394" s="13" t="s" ph="1">
        <v>8568</v>
      </c>
      <c r="L2394" s="13" t="s" ph="1">
        <v>3628</v>
      </c>
      <c r="M2394" s="14" t="str" ph="1">
        <f>IFERROR(INDEX([1]!_born[生没年],
MATCH(I2394,[1]!_born[作],0)),"")</f>
        <v/>
      </c>
      <c r="N2394" s="14" t="str" ph="1">
        <f>IFERROR(INDEX([1]!_born[生没年],
MATCH(K2394,[1]!_born[作],0)),"")</f>
        <v/>
      </c>
      <c r="O2394" s="13" t="s" ph="1">
        <v>8569</v>
      </c>
      <c r="R2394" s="16" t="s" ph="1">
        <v>1569</v>
      </c>
      <c r="T2394" s="13" t="s" ph="1">
        <v>7599</v>
      </c>
      <c r="U2394" s="16" ph="1">
        <v>37094</v>
      </c>
      <c r="V2394" s="17" t="s" ph="1">
        <v>8570</v>
      </c>
      <c r="W2394" s="17" t="s" ph="1">
        <v>8571</v>
      </c>
      <c r="X2394" s="13" t="s" ph="1">
        <v>4937</v>
      </c>
    </row>
    <row r="2395" spans="1:25" ht="22.5" customHeight="1" ph="1" x14ac:dyDescent="0.35">
      <c r="C2395" s="13" t="s" ph="1">
        <v>7591</v>
      </c>
      <c r="D2395" s="123" ph="1">
        <v>9</v>
      </c>
      <c r="E2395" s="123" ph="1">
        <v>10</v>
      </c>
      <c r="G2395" s="13" t="s" ph="1">
        <v>4758</v>
      </c>
      <c r="H2395" s="13" t="s" ph="1">
        <v>709</v>
      </c>
      <c r="I2395" s="13" t="s" ph="1">
        <v>340</v>
      </c>
      <c r="K2395" s="13" t="s" ph="1">
        <v>8568</v>
      </c>
      <c r="L2395" s="13" t="s" ph="1">
        <v>3628</v>
      </c>
      <c r="M2395" s="14" t="str" ph="1">
        <f>IFERROR(INDEX([1]!_born[生没年],
MATCH(I2395,[1]!_born[作],0)),"")</f>
        <v/>
      </c>
      <c r="N2395" s="14" t="str" ph="1">
        <f>IFERROR(INDEX([1]!_born[生没年],
MATCH(K2395,[1]!_born[作],0)),"")</f>
        <v/>
      </c>
      <c r="O2395" s="13" t="s" ph="1">
        <v>8569</v>
      </c>
      <c r="R2395" s="16" t="s" ph="1">
        <v>1569</v>
      </c>
      <c r="T2395" s="13" t="s" ph="1">
        <v>7599</v>
      </c>
      <c r="U2395" s="16" ph="1">
        <v>37094</v>
      </c>
      <c r="V2395" s="17" t="s" ph="1">
        <v>8570</v>
      </c>
      <c r="W2395" s="17" t="s" ph="1">
        <v>8571</v>
      </c>
      <c r="X2395" s="13" t="s" ph="1">
        <v>4937</v>
      </c>
    </row>
    <row r="2396" spans="1:25" ht="22.5" customHeight="1" ph="1" x14ac:dyDescent="0.35">
      <c r="C2396" s="13" t="s" ph="1">
        <v>7591</v>
      </c>
      <c r="D2396" s="123" ph="1">
        <v>19</v>
      </c>
      <c r="E2396" s="123" ph="1">
        <v>19</v>
      </c>
      <c r="G2396" s="13" t="s" ph="1">
        <v>4758</v>
      </c>
      <c r="H2396" s="13" t="s" ph="1">
        <v>709</v>
      </c>
      <c r="I2396" s="13" t="s" ph="1">
        <v>340</v>
      </c>
      <c r="K2396" s="13" t="s" ph="1">
        <v>8568</v>
      </c>
      <c r="L2396" s="13" t="s" ph="1">
        <v>3628</v>
      </c>
      <c r="M2396" s="14" t="str" ph="1">
        <f>IFERROR(INDEX([1]!_born[生没年],
MATCH(I2396,[1]!_born[作],0)),"")</f>
        <v/>
      </c>
      <c r="N2396" s="14" t="str" ph="1">
        <f>IFERROR(INDEX([1]!_born[生没年],
MATCH(K2396,[1]!_born[作],0)),"")</f>
        <v/>
      </c>
      <c r="O2396" s="13" t="s" ph="1">
        <v>8569</v>
      </c>
      <c r="R2396" s="16" t="s" ph="1">
        <v>1569</v>
      </c>
      <c r="T2396" s="13" t="s" ph="1">
        <v>7599</v>
      </c>
      <c r="U2396" s="16" ph="1">
        <v>37094</v>
      </c>
      <c r="V2396" s="17" t="s" ph="1">
        <v>8570</v>
      </c>
      <c r="W2396" s="17" t="s" ph="1">
        <v>8571</v>
      </c>
      <c r="X2396" s="13" t="s" ph="1">
        <v>4937</v>
      </c>
    </row>
    <row r="2397" spans="1:25" ht="22.5" customHeight="1" ph="1" x14ac:dyDescent="0.35">
      <c r="C2397" s="13" t="s" ph="1">
        <v>7591</v>
      </c>
      <c r="G2397" s="13" t="s" ph="1">
        <v>4758</v>
      </c>
      <c r="H2397" s="13" t="s" ph="1">
        <v>709</v>
      </c>
      <c r="I2397" s="13" t="s" ph="1">
        <v>390</v>
      </c>
      <c r="K2397" s="13" t="s" ph="1">
        <v>8572</v>
      </c>
      <c r="L2397" s="13" t="s" ph="1">
        <v>8573</v>
      </c>
      <c r="M2397" s="14" t="str" ph="1">
        <f>IFERROR(INDEX([1]!_born[生没年],
MATCH(I2397,[1]!_born[作],0)),"")</f>
        <v/>
      </c>
      <c r="N2397" s="14" t="str" ph="1">
        <f>IFERROR(INDEX([1]!_born[生没年],
MATCH(K2397,[1]!_born[作],0)),"")</f>
        <v/>
      </c>
      <c r="O2397" s="13" t="s" ph="1">
        <v>8574</v>
      </c>
      <c r="T2397" s="13" t="s" ph="1">
        <v>5147</v>
      </c>
      <c r="V2397" s="17" ph="1">
        <v>743</v>
      </c>
    </row>
    <row r="2398" spans="1:25" ht="22.5" customHeight="1" ph="1" x14ac:dyDescent="0.35">
      <c r="C2398" s="13" t="s" ph="1">
        <v>7591</v>
      </c>
      <c r="G2398" s="13" t="s" ph="1">
        <v>4758</v>
      </c>
      <c r="H2398" s="13" t="s" ph="1">
        <v>709</v>
      </c>
      <c r="I2398" s="13" t="s" ph="1">
        <v>390</v>
      </c>
      <c r="K2398" s="13" t="s" ph="1">
        <v>8575</v>
      </c>
      <c r="L2398" s="13" t="s" ph="1">
        <v>3628</v>
      </c>
      <c r="M2398" s="14" t="str" ph="1">
        <f>IFERROR(INDEX([1]!_born[生没年],
MATCH(I2398,[1]!_born[作],0)),"")</f>
        <v/>
      </c>
      <c r="N2398" s="14" t="str" ph="1">
        <f>IFERROR(INDEX([1]!_born[生没年],
MATCH(K2398,[1]!_born[作],0)),"")</f>
        <v/>
      </c>
      <c r="O2398" s="13" t="s" ph="1">
        <v>8576</v>
      </c>
      <c r="T2398" s="13" t="s" ph="1">
        <v>5147</v>
      </c>
      <c r="Y2398" s="13" t="s" ph="1">
        <v>8035</v>
      </c>
    </row>
    <row r="2399" spans="1:25" ht="22.5" customHeight="1" ph="1" x14ac:dyDescent="0.35">
      <c r="C2399" s="13" t="s" ph="1">
        <v>7591</v>
      </c>
      <c r="G2399" s="13" t="s" ph="1">
        <v>4758</v>
      </c>
      <c r="H2399" s="13" t="s" ph="1">
        <v>709</v>
      </c>
      <c r="I2399" s="13" t="s" ph="1">
        <v>522</v>
      </c>
      <c r="K2399" s="13" t="s" ph="1">
        <v>8352</v>
      </c>
      <c r="L2399" s="13" t="s" ph="1">
        <v>3628</v>
      </c>
      <c r="M2399" s="14" t="str" ph="1">
        <f>IFERROR(INDEX([1]!_born[生没年],
MATCH(I2399,[1]!_born[作],0)),"")</f>
        <v/>
      </c>
      <c r="N2399" s="14" t="str" ph="1">
        <f>IFERROR(INDEX([1]!_born[生没年],
MATCH(K2399,[1]!_born[作],0)),"")</f>
        <v/>
      </c>
      <c r="O2399" s="13" t="s" ph="1">
        <v>8577</v>
      </c>
      <c r="T2399" s="13" t="s" ph="1">
        <v>5147</v>
      </c>
      <c r="Y2399" s="13" t="s" ph="1">
        <v>8035</v>
      </c>
    </row>
    <row r="2400" spans="1:25" ht="22.5" customHeight="1" ph="1" x14ac:dyDescent="0.35">
      <c r="C2400" s="13" t="s" ph="1">
        <v>7591</v>
      </c>
      <c r="G2400" s="13" t="s" ph="1">
        <v>4758</v>
      </c>
      <c r="H2400" s="13" t="s" ph="1">
        <v>709</v>
      </c>
      <c r="I2400" s="13" t="s" ph="1">
        <v>522</v>
      </c>
      <c r="K2400" s="13" t="s" ph="1">
        <v>8352</v>
      </c>
      <c r="L2400" s="13" t="s" ph="1">
        <v>3628</v>
      </c>
      <c r="M2400" s="14" t="str" ph="1">
        <f>IFERROR(INDEX([1]!_born[生没年],
MATCH(I2400,[1]!_born[作],0)),"")</f>
        <v/>
      </c>
      <c r="N2400" s="14" t="str" ph="1">
        <f>IFERROR(INDEX([1]!_born[生没年],
MATCH(K2400,[1]!_born[作],0)),"")</f>
        <v/>
      </c>
      <c r="O2400" s="13" t="s" ph="1">
        <v>8578</v>
      </c>
      <c r="T2400" s="13" t="s" ph="1">
        <v>5147</v>
      </c>
      <c r="V2400" s="17" ph="1">
        <v>320</v>
      </c>
    </row>
    <row r="2401" spans="3:24" ht="22.5" customHeight="1" ph="1" x14ac:dyDescent="0.35">
      <c r="C2401" s="13" t="s" ph="1">
        <v>7591</v>
      </c>
      <c r="D2401" s="123" ph="1">
        <v>1</v>
      </c>
      <c r="E2401" s="123" ph="1">
        <v>2</v>
      </c>
      <c r="G2401" s="13" t="s" ph="1">
        <v>4758</v>
      </c>
      <c r="H2401" s="13" t="s" ph="1">
        <v>709</v>
      </c>
      <c r="I2401" s="13" t="s" ph="1">
        <v>515</v>
      </c>
      <c r="K2401" s="13" t="s" ph="1">
        <v>8579</v>
      </c>
      <c r="L2401" s="13" t="s" ph="1">
        <v>8580</v>
      </c>
      <c r="M2401" s="14" t="str" ph="1">
        <f>IFERROR(INDEX([1]!_born[生没年],
MATCH(I2401,[1]!_born[作],0)),"")</f>
        <v/>
      </c>
      <c r="N2401" s="14" t="str" ph="1">
        <f>IFERROR(INDEX([1]!_born[生没年],
MATCH(K2401,[1]!_born[作],0)),"")</f>
        <v/>
      </c>
      <c r="O2401" s="13" t="s" ph="1">
        <v>8581</v>
      </c>
      <c r="R2401" s="16" t="s" ph="1">
        <v>988</v>
      </c>
      <c r="S2401" s="13" t="s" ph="1">
        <v>10290</v>
      </c>
      <c r="T2401" s="13" t="s" ph="1">
        <v>8582</v>
      </c>
      <c r="U2401" s="16" ph="1">
        <v>37260</v>
      </c>
      <c r="V2401" s="17" ph="1">
        <f>730*1.05</f>
        <v>766.5</v>
      </c>
      <c r="W2401" s="17" ph="1">
        <f t="shared" ref="W2401:W2419" si="7">730*1.05</f>
        <v>766.5</v>
      </c>
      <c r="X2401" s="13" t="s" ph="1">
        <v>462</v>
      </c>
    </row>
    <row r="2402" spans="3:24" ht="22.5" customHeight="1" ph="1" x14ac:dyDescent="0.35">
      <c r="C2402" s="13" t="s" ph="1">
        <v>7591</v>
      </c>
      <c r="D2402" s="123" ph="1">
        <v>1</v>
      </c>
      <c r="E2402" s="123" ph="1">
        <v>2</v>
      </c>
      <c r="G2402" s="13" t="s" ph="1">
        <v>4758</v>
      </c>
      <c r="H2402" s="13" t="s" ph="1">
        <v>709</v>
      </c>
      <c r="I2402" s="13" t="s" ph="1">
        <v>339</v>
      </c>
      <c r="K2402" s="13" t="s" ph="1">
        <v>8579</v>
      </c>
      <c r="L2402" s="13" t="s" ph="1">
        <v>8580</v>
      </c>
      <c r="M2402" s="14" t="str" ph="1">
        <f>IFERROR(INDEX([1]!_born[生没年],
MATCH(I2402,[1]!_born[作],0)),"")</f>
        <v/>
      </c>
      <c r="N2402" s="14" t="str" ph="1">
        <f>IFERROR(INDEX([1]!_born[生没年],
MATCH(K2402,[1]!_born[作],0)),"")</f>
        <v/>
      </c>
      <c r="O2402" s="13" t="s" ph="1">
        <v>8583</v>
      </c>
      <c r="R2402" s="16" t="s" ph="1">
        <v>1570</v>
      </c>
      <c r="S2402" s="13" t="s" ph="1">
        <v>10290</v>
      </c>
      <c r="T2402" s="13" t="s" ph="1">
        <v>8582</v>
      </c>
      <c r="U2402" s="16" ph="1">
        <v>37260</v>
      </c>
      <c r="V2402" s="17" ph="1">
        <f t="shared" ref="V2402:V2419" si="8">730*1.05</f>
        <v>766.5</v>
      </c>
      <c r="W2402" s="17" ph="1">
        <f t="shared" si="7"/>
        <v>766.5</v>
      </c>
      <c r="X2402" s="13" t="s" ph="1">
        <v>462</v>
      </c>
    </row>
    <row r="2403" spans="3:24" ht="22.5" customHeight="1" ph="1" x14ac:dyDescent="0.35">
      <c r="C2403" s="13" t="s" ph="1">
        <v>7591</v>
      </c>
      <c r="D2403" s="123" ph="1">
        <v>1</v>
      </c>
      <c r="E2403" s="123" ph="1">
        <v>2</v>
      </c>
      <c r="G2403" s="13" t="s" ph="1">
        <v>4758</v>
      </c>
      <c r="H2403" s="13" t="s" ph="1">
        <v>709</v>
      </c>
      <c r="I2403" s="13" t="s" ph="1">
        <v>556</v>
      </c>
      <c r="K2403" s="13" t="s" ph="1">
        <v>8579</v>
      </c>
      <c r="L2403" s="13" t="s" ph="1">
        <v>8580</v>
      </c>
      <c r="M2403" s="14" t="str" ph="1">
        <f>IFERROR(INDEX([1]!_born[生没年],
MATCH(I2403,[1]!_born[作],0)),"")</f>
        <v/>
      </c>
      <c r="N2403" s="14" t="str" ph="1">
        <f>IFERROR(INDEX([1]!_born[生没年],
MATCH(K2403,[1]!_born[作],0)),"")</f>
        <v/>
      </c>
      <c r="O2403" s="13" t="s" ph="1">
        <v>8584</v>
      </c>
      <c r="S2403" s="13" t="s" ph="1">
        <v>10290</v>
      </c>
      <c r="T2403" s="13" t="s" ph="1">
        <v>8582</v>
      </c>
      <c r="U2403" s="16" ph="1">
        <v>37260</v>
      </c>
      <c r="V2403" s="17" ph="1">
        <f t="shared" si="8"/>
        <v>766.5</v>
      </c>
      <c r="W2403" s="17" ph="1">
        <f t="shared" si="7"/>
        <v>766.5</v>
      </c>
      <c r="X2403" s="13" t="s" ph="1">
        <v>462</v>
      </c>
    </row>
    <row r="2404" spans="3:24" ht="22.5" customHeight="1" ph="1" x14ac:dyDescent="0.35">
      <c r="C2404" s="13" t="s" ph="1">
        <v>7591</v>
      </c>
      <c r="D2404" s="123" ph="1">
        <v>1</v>
      </c>
      <c r="E2404" s="123" ph="1">
        <v>2</v>
      </c>
      <c r="G2404" s="13" t="s" ph="1">
        <v>4758</v>
      </c>
      <c r="H2404" s="13" t="s" ph="1">
        <v>709</v>
      </c>
      <c r="I2404" s="13" t="s" ph="1">
        <v>382</v>
      </c>
      <c r="K2404" s="13" t="s" ph="1">
        <v>8579</v>
      </c>
      <c r="L2404" s="13" t="s" ph="1">
        <v>8580</v>
      </c>
      <c r="M2404" s="14" t="str" ph="1">
        <f>IFERROR(INDEX([1]!_born[生没年],
MATCH(I2404,[1]!_born[作],0)),"")</f>
        <v/>
      </c>
      <c r="N2404" s="14" t="str" ph="1">
        <f>IFERROR(INDEX([1]!_born[生没年],
MATCH(K2404,[1]!_born[作],0)),"")</f>
        <v/>
      </c>
      <c r="O2404" s="13" t="s" ph="1">
        <v>8585</v>
      </c>
      <c r="R2404" s="16" t="s" ph="1">
        <v>745</v>
      </c>
      <c r="S2404" s="13" t="s" ph="1">
        <v>10290</v>
      </c>
      <c r="T2404" s="13" t="s" ph="1">
        <v>8582</v>
      </c>
      <c r="U2404" s="16" ph="1">
        <v>37260</v>
      </c>
      <c r="V2404" s="17" ph="1">
        <f t="shared" si="8"/>
        <v>766.5</v>
      </c>
      <c r="W2404" s="17" ph="1">
        <f t="shared" si="7"/>
        <v>766.5</v>
      </c>
      <c r="X2404" s="13" t="s" ph="1">
        <v>462</v>
      </c>
    </row>
    <row r="2405" spans="3:24" ht="22.5" customHeight="1" ph="1" x14ac:dyDescent="0.35">
      <c r="C2405" s="13" t="s" ph="1">
        <v>7591</v>
      </c>
      <c r="D2405" s="123" ph="1">
        <v>1</v>
      </c>
      <c r="E2405" s="123" ph="1">
        <v>2</v>
      </c>
      <c r="G2405" s="13" t="s" ph="1">
        <v>4758</v>
      </c>
      <c r="H2405" s="13" t="s" ph="1">
        <v>709</v>
      </c>
      <c r="I2405" s="13" t="s" ph="1">
        <v>21</v>
      </c>
      <c r="K2405" s="13" t="s" ph="1">
        <v>8579</v>
      </c>
      <c r="L2405" s="13" t="s" ph="1">
        <v>8580</v>
      </c>
      <c r="M2405" s="14" t="str" ph="1">
        <f>IFERROR(INDEX([1]!_born[生没年],
MATCH(I2405,[1]!_born[作],0)),"")</f>
        <v/>
      </c>
      <c r="N2405" s="14" t="str" ph="1">
        <f>IFERROR(INDEX([1]!_born[生没年],
MATCH(K2405,[1]!_born[作],0)),"")</f>
        <v/>
      </c>
      <c r="O2405" s="13" t="s" ph="1">
        <v>8586</v>
      </c>
      <c r="R2405" s="16" t="s" ph="1">
        <v>954</v>
      </c>
      <c r="S2405" s="13" t="s" ph="1">
        <v>10290</v>
      </c>
      <c r="T2405" s="13" t="s" ph="1">
        <v>8582</v>
      </c>
      <c r="U2405" s="16" ph="1">
        <v>37260</v>
      </c>
      <c r="V2405" s="17" ph="1">
        <f t="shared" si="8"/>
        <v>766.5</v>
      </c>
      <c r="W2405" s="17" ph="1">
        <f t="shared" si="7"/>
        <v>766.5</v>
      </c>
      <c r="X2405" s="13" t="s" ph="1">
        <v>462</v>
      </c>
    </row>
    <row r="2406" spans="3:24" ht="22.5" customHeight="1" ph="1" x14ac:dyDescent="0.35">
      <c r="C2406" s="13" t="s" ph="1">
        <v>7591</v>
      </c>
      <c r="D2406" s="123" ph="1">
        <v>1</v>
      </c>
      <c r="E2406" s="123" ph="1">
        <v>2</v>
      </c>
      <c r="G2406" s="13" t="s" ph="1">
        <v>4758</v>
      </c>
      <c r="H2406" s="13" t="s" ph="1">
        <v>709</v>
      </c>
      <c r="I2406" s="13" t="s" ph="1">
        <v>604</v>
      </c>
      <c r="K2406" s="13" t="s" ph="1">
        <v>8579</v>
      </c>
      <c r="L2406" s="13" t="s" ph="1">
        <v>8580</v>
      </c>
      <c r="M2406" s="14" t="str" ph="1">
        <f>IFERROR(INDEX([1]!_born[生没年],
MATCH(I2406,[1]!_born[作],0)),"")</f>
        <v/>
      </c>
      <c r="N2406" s="14" t="str" ph="1">
        <f>IFERROR(INDEX([1]!_born[生没年],
MATCH(K2406,[1]!_born[作],0)),"")</f>
        <v/>
      </c>
      <c r="O2406" s="13" t="s" ph="1">
        <v>8587</v>
      </c>
      <c r="S2406" s="13" t="s" ph="1">
        <v>10290</v>
      </c>
      <c r="T2406" s="13" t="s" ph="1">
        <v>8582</v>
      </c>
      <c r="U2406" s="16" ph="1">
        <v>37260</v>
      </c>
      <c r="V2406" s="17" ph="1">
        <f t="shared" si="8"/>
        <v>766.5</v>
      </c>
      <c r="W2406" s="17" ph="1">
        <f t="shared" si="7"/>
        <v>766.5</v>
      </c>
      <c r="X2406" s="13" t="s" ph="1">
        <v>462</v>
      </c>
    </row>
    <row r="2407" spans="3:24" ht="22.5" customHeight="1" ph="1" x14ac:dyDescent="0.35">
      <c r="C2407" s="13" t="s" ph="1">
        <v>7591</v>
      </c>
      <c r="D2407" s="123" ph="1">
        <v>1</v>
      </c>
      <c r="E2407" s="123" ph="1">
        <v>2</v>
      </c>
      <c r="G2407" s="13" t="s" ph="1">
        <v>4758</v>
      </c>
      <c r="H2407" s="13" t="s" ph="1">
        <v>709</v>
      </c>
      <c r="I2407" s="13" t="s" ph="1">
        <v>605</v>
      </c>
      <c r="K2407" s="13" t="s" ph="1">
        <v>8579</v>
      </c>
      <c r="L2407" s="13" t="s" ph="1">
        <v>8580</v>
      </c>
      <c r="M2407" s="14" t="str" ph="1">
        <f>IFERROR(INDEX([1]!_born[生没年],
MATCH(I2407,[1]!_born[作],0)),"")</f>
        <v/>
      </c>
      <c r="N2407" s="14" t="str" ph="1">
        <f>IFERROR(INDEX([1]!_born[生没年],
MATCH(K2407,[1]!_born[作],0)),"")</f>
        <v/>
      </c>
      <c r="O2407" s="13" t="s" ph="1">
        <v>8588</v>
      </c>
      <c r="R2407" s="16" t="s" ph="1">
        <v>927</v>
      </c>
      <c r="S2407" s="13" t="s" ph="1">
        <v>10290</v>
      </c>
      <c r="T2407" s="13" t="s" ph="1">
        <v>8582</v>
      </c>
      <c r="U2407" s="16" ph="1">
        <v>37260</v>
      </c>
      <c r="V2407" s="17" ph="1">
        <f t="shared" si="8"/>
        <v>766.5</v>
      </c>
      <c r="W2407" s="17" ph="1">
        <f t="shared" si="7"/>
        <v>766.5</v>
      </c>
      <c r="X2407" s="13" t="s" ph="1">
        <v>462</v>
      </c>
    </row>
    <row r="2408" spans="3:24" ht="22.5" customHeight="1" ph="1" x14ac:dyDescent="0.35">
      <c r="C2408" s="13" t="s" ph="1">
        <v>7591</v>
      </c>
      <c r="D2408" s="123" ph="1">
        <v>1</v>
      </c>
      <c r="E2408" s="123" ph="1">
        <v>2</v>
      </c>
      <c r="G2408" s="13" t="s" ph="1">
        <v>4758</v>
      </c>
      <c r="H2408" s="13" t="s" ph="1">
        <v>709</v>
      </c>
      <c r="I2408" s="13" t="s" ph="1">
        <v>524</v>
      </c>
      <c r="K2408" s="13" t="s" ph="1">
        <v>8579</v>
      </c>
      <c r="L2408" s="13" t="s" ph="1">
        <v>8580</v>
      </c>
      <c r="M2408" s="14" t="str" ph="1">
        <f>IFERROR(INDEX([1]!_born[生没年],
MATCH(I2408,[1]!_born[作],0)),"")</f>
        <v/>
      </c>
      <c r="N2408" s="14" t="str" ph="1">
        <f>IFERROR(INDEX([1]!_born[生没年],
MATCH(K2408,[1]!_born[作],0)),"")</f>
        <v/>
      </c>
      <c r="O2408" s="13" t="s" ph="1">
        <v>8589</v>
      </c>
      <c r="S2408" s="13" t="s" ph="1">
        <v>10290</v>
      </c>
      <c r="T2408" s="13" t="s" ph="1">
        <v>8582</v>
      </c>
      <c r="U2408" s="16" ph="1">
        <v>37260</v>
      </c>
      <c r="V2408" s="17" ph="1">
        <f t="shared" si="8"/>
        <v>766.5</v>
      </c>
      <c r="W2408" s="17" ph="1">
        <f t="shared" si="7"/>
        <v>766.5</v>
      </c>
      <c r="X2408" s="13" t="s" ph="1">
        <v>462</v>
      </c>
    </row>
    <row r="2409" spans="3:24" ht="22.5" customHeight="1" ph="1" x14ac:dyDescent="0.35">
      <c r="C2409" s="13" t="s" ph="1">
        <v>7591</v>
      </c>
      <c r="D2409" s="123" ph="1">
        <v>1</v>
      </c>
      <c r="E2409" s="123" ph="1">
        <v>2</v>
      </c>
      <c r="G2409" s="13" t="s" ph="1">
        <v>4758</v>
      </c>
      <c r="H2409" s="13" t="s" ph="1">
        <v>709</v>
      </c>
      <c r="I2409" s="13" t="s" ph="1">
        <v>283</v>
      </c>
      <c r="K2409" s="13" t="s" ph="1">
        <v>8579</v>
      </c>
      <c r="L2409" s="13" t="s" ph="1">
        <v>8580</v>
      </c>
      <c r="M2409" s="14" t="str" ph="1">
        <f>IFERROR(INDEX([1]!_born[生没年],
MATCH(I2409,[1]!_born[作],0)),"")</f>
        <v/>
      </c>
      <c r="N2409" s="14" t="str" ph="1">
        <f>IFERROR(INDEX([1]!_born[生没年],
MATCH(K2409,[1]!_born[作],0)),"")</f>
        <v/>
      </c>
      <c r="O2409" s="13" t="s" ph="1">
        <v>8590</v>
      </c>
      <c r="S2409" s="13" t="s" ph="1">
        <v>10290</v>
      </c>
      <c r="T2409" s="13" t="s" ph="1">
        <v>8582</v>
      </c>
      <c r="U2409" s="16" ph="1">
        <v>37260</v>
      </c>
      <c r="V2409" s="17" ph="1">
        <f t="shared" si="8"/>
        <v>766.5</v>
      </c>
      <c r="W2409" s="17" ph="1">
        <f t="shared" si="7"/>
        <v>766.5</v>
      </c>
      <c r="X2409" s="13" t="s" ph="1">
        <v>462</v>
      </c>
    </row>
    <row r="2410" spans="3:24" ht="22.5" customHeight="1" ph="1" x14ac:dyDescent="0.35">
      <c r="C2410" s="13" t="s" ph="1">
        <v>7591</v>
      </c>
      <c r="D2410" s="123" ph="1">
        <v>2</v>
      </c>
      <c r="E2410" s="123" ph="1">
        <v>2</v>
      </c>
      <c r="G2410" s="13" t="s" ph="1">
        <v>4758</v>
      </c>
      <c r="H2410" s="13" t="s" ph="1">
        <v>709</v>
      </c>
      <c r="I2410" s="13" t="s" ph="1">
        <v>284</v>
      </c>
      <c r="K2410" s="13" t="s" ph="1">
        <v>8579</v>
      </c>
      <c r="L2410" s="13" t="s" ph="1">
        <v>8580</v>
      </c>
      <c r="M2410" s="14" t="str" ph="1">
        <f>IFERROR(INDEX([1]!_born[生没年],
MATCH(I2410,[1]!_born[作],0)),"")</f>
        <v/>
      </c>
      <c r="N2410" s="14" t="str" ph="1">
        <f>IFERROR(INDEX([1]!_born[生没年],
MATCH(K2410,[1]!_born[作],0)),"")</f>
        <v/>
      </c>
      <c r="O2410" s="13" t="s" ph="1">
        <v>8591</v>
      </c>
      <c r="R2410" s="16" t="s" ph="1">
        <v>745</v>
      </c>
      <c r="S2410" s="13" t="s" ph="1">
        <v>10290</v>
      </c>
      <c r="T2410" s="13" t="s" ph="1">
        <v>8582</v>
      </c>
      <c r="U2410" s="16" ph="1">
        <v>37260</v>
      </c>
      <c r="V2410" s="17" ph="1">
        <f t="shared" si="8"/>
        <v>766.5</v>
      </c>
      <c r="W2410" s="17" ph="1">
        <f t="shared" si="7"/>
        <v>766.5</v>
      </c>
      <c r="X2410" s="13" t="s" ph="1">
        <v>462</v>
      </c>
    </row>
    <row r="2411" spans="3:24" ht="22.5" customHeight="1" ph="1" x14ac:dyDescent="0.35">
      <c r="C2411" s="13" t="s" ph="1">
        <v>7591</v>
      </c>
      <c r="D2411" s="123" ph="1">
        <v>2</v>
      </c>
      <c r="E2411" s="123" ph="1">
        <v>2</v>
      </c>
      <c r="G2411" s="13" t="s" ph="1">
        <v>4758</v>
      </c>
      <c r="H2411" s="13" t="s" ph="1">
        <v>709</v>
      </c>
      <c r="I2411" s="13" t="s" ph="1">
        <v>27</v>
      </c>
      <c r="K2411" s="13" t="s" ph="1">
        <v>8579</v>
      </c>
      <c r="L2411" s="13" t="s" ph="1">
        <v>8580</v>
      </c>
      <c r="M2411" s="14" t="str" ph="1">
        <f>IFERROR(INDEX([1]!_born[生没年],
MATCH(I2411,[1]!_born[作],0)),"")</f>
        <v/>
      </c>
      <c r="N2411" s="14" t="str" ph="1">
        <f>IFERROR(INDEX([1]!_born[生没年],
MATCH(K2411,[1]!_born[作],0)),"")</f>
        <v/>
      </c>
      <c r="O2411" s="13" t="s" ph="1">
        <v>8592</v>
      </c>
      <c r="R2411" s="16" t="s" ph="1">
        <v>766</v>
      </c>
      <c r="S2411" s="13" t="s" ph="1">
        <v>10290</v>
      </c>
      <c r="T2411" s="13" t="s" ph="1">
        <v>8582</v>
      </c>
      <c r="U2411" s="16" ph="1">
        <v>37260</v>
      </c>
      <c r="V2411" s="17" ph="1">
        <f t="shared" si="8"/>
        <v>766.5</v>
      </c>
      <c r="W2411" s="17" ph="1">
        <f t="shared" si="7"/>
        <v>766.5</v>
      </c>
      <c r="X2411" s="13" t="s" ph="1">
        <v>462</v>
      </c>
    </row>
    <row r="2412" spans="3:24" ht="22.5" customHeight="1" ph="1" x14ac:dyDescent="0.35">
      <c r="C2412" s="13" t="s" ph="1">
        <v>7591</v>
      </c>
      <c r="D2412" s="123" ph="1">
        <v>2</v>
      </c>
      <c r="E2412" s="123" ph="1">
        <v>2</v>
      </c>
      <c r="G2412" s="13" t="s" ph="1">
        <v>4758</v>
      </c>
      <c r="H2412" s="13" t="s" ph="1">
        <v>709</v>
      </c>
      <c r="I2412" s="13" t="s" ph="1">
        <v>401</v>
      </c>
      <c r="K2412" s="13" t="s" ph="1">
        <v>8579</v>
      </c>
      <c r="L2412" s="13" t="s" ph="1">
        <v>8580</v>
      </c>
      <c r="M2412" s="14" t="str" ph="1">
        <f>IFERROR(INDEX([1]!_born[生没年],
MATCH(I2412,[1]!_born[作],0)),"")</f>
        <v/>
      </c>
      <c r="N2412" s="14" t="str" ph="1">
        <f>IFERROR(INDEX([1]!_born[生没年],
MATCH(K2412,[1]!_born[作],0)),"")</f>
        <v/>
      </c>
      <c r="O2412" s="13" t="s" ph="1">
        <v>8593</v>
      </c>
      <c r="S2412" s="13" t="s" ph="1">
        <v>10290</v>
      </c>
      <c r="T2412" s="13" t="s" ph="1">
        <v>8582</v>
      </c>
      <c r="U2412" s="16" ph="1">
        <v>37260</v>
      </c>
      <c r="V2412" s="17" ph="1">
        <f t="shared" si="8"/>
        <v>766.5</v>
      </c>
      <c r="W2412" s="17" ph="1">
        <f t="shared" si="7"/>
        <v>766.5</v>
      </c>
      <c r="X2412" s="13" t="s" ph="1">
        <v>462</v>
      </c>
    </row>
    <row r="2413" spans="3:24" ht="22.5" customHeight="1" ph="1" x14ac:dyDescent="0.35">
      <c r="C2413" s="13" t="s" ph="1">
        <v>7591</v>
      </c>
      <c r="D2413" s="123" ph="1">
        <v>2</v>
      </c>
      <c r="E2413" s="123" ph="1">
        <v>2</v>
      </c>
      <c r="G2413" s="13" t="s" ph="1">
        <v>4758</v>
      </c>
      <c r="H2413" s="13" t="s" ph="1">
        <v>709</v>
      </c>
      <c r="I2413" s="13" t="s" ph="1">
        <v>402</v>
      </c>
      <c r="K2413" s="13" t="s" ph="1">
        <v>8579</v>
      </c>
      <c r="L2413" s="13" t="s" ph="1">
        <v>8580</v>
      </c>
      <c r="M2413" s="14" t="str" ph="1">
        <f>IFERROR(INDEX([1]!_born[生没年],
MATCH(I2413,[1]!_born[作],0)),"")</f>
        <v/>
      </c>
      <c r="N2413" s="14" t="str" ph="1">
        <f>IFERROR(INDEX([1]!_born[生没年],
MATCH(K2413,[1]!_born[作],0)),"")</f>
        <v/>
      </c>
      <c r="O2413" s="13" t="s" ph="1">
        <v>8594</v>
      </c>
      <c r="R2413" s="16" t="s" ph="1">
        <v>954</v>
      </c>
      <c r="S2413" s="13" t="s" ph="1">
        <v>10290</v>
      </c>
      <c r="T2413" s="13" t="s" ph="1">
        <v>8582</v>
      </c>
      <c r="U2413" s="16" ph="1">
        <v>37260</v>
      </c>
      <c r="V2413" s="17" ph="1">
        <f t="shared" si="8"/>
        <v>766.5</v>
      </c>
      <c r="W2413" s="17" ph="1">
        <f t="shared" si="7"/>
        <v>766.5</v>
      </c>
      <c r="X2413" s="13" t="s" ph="1">
        <v>462</v>
      </c>
    </row>
    <row r="2414" spans="3:24" ht="22.5" customHeight="1" ph="1" x14ac:dyDescent="0.35">
      <c r="C2414" s="13" t="s" ph="1">
        <v>7591</v>
      </c>
      <c r="D2414" s="123" ph="1">
        <v>2</v>
      </c>
      <c r="E2414" s="123" ph="1">
        <v>2</v>
      </c>
      <c r="G2414" s="13" t="s" ph="1">
        <v>4758</v>
      </c>
      <c r="H2414" s="13" t="s" ph="1">
        <v>709</v>
      </c>
      <c r="I2414" s="13" t="s" ph="1">
        <v>403</v>
      </c>
      <c r="K2414" s="13" t="s" ph="1">
        <v>8579</v>
      </c>
      <c r="L2414" s="13" t="s" ph="1">
        <v>8580</v>
      </c>
      <c r="M2414" s="14" t="str" ph="1">
        <f>IFERROR(INDEX([1]!_born[生没年],
MATCH(I2414,[1]!_born[作],0)),"")</f>
        <v/>
      </c>
      <c r="N2414" s="14" t="str" ph="1">
        <f>IFERROR(INDEX([1]!_born[生没年],
MATCH(K2414,[1]!_born[作],0)),"")</f>
        <v/>
      </c>
      <c r="O2414" s="13" t="s" ph="1">
        <v>8595</v>
      </c>
      <c r="S2414" s="13" t="s" ph="1">
        <v>10290</v>
      </c>
      <c r="T2414" s="13" t="s" ph="1">
        <v>8582</v>
      </c>
      <c r="U2414" s="16" ph="1">
        <v>37260</v>
      </c>
      <c r="V2414" s="17" ph="1">
        <f t="shared" si="8"/>
        <v>766.5</v>
      </c>
      <c r="W2414" s="17" ph="1">
        <f t="shared" si="7"/>
        <v>766.5</v>
      </c>
      <c r="X2414" s="13" t="s" ph="1">
        <v>462</v>
      </c>
    </row>
    <row r="2415" spans="3:24" ht="22.5" customHeight="1" ph="1" x14ac:dyDescent="0.35">
      <c r="C2415" s="13" t="s" ph="1">
        <v>7591</v>
      </c>
      <c r="D2415" s="123" ph="1">
        <v>2</v>
      </c>
      <c r="E2415" s="123" ph="1">
        <v>2</v>
      </c>
      <c r="G2415" s="13" t="s" ph="1">
        <v>4758</v>
      </c>
      <c r="H2415" s="13" t="s" ph="1">
        <v>709</v>
      </c>
      <c r="I2415" s="13" t="s" ph="1">
        <v>405</v>
      </c>
      <c r="K2415" s="13" t="s" ph="1">
        <v>8579</v>
      </c>
      <c r="L2415" s="13" t="s" ph="1">
        <v>8580</v>
      </c>
      <c r="M2415" s="14" t="str" ph="1">
        <f>IFERROR(INDEX([1]!_born[生没年],
MATCH(I2415,[1]!_born[作],0)),"")</f>
        <v/>
      </c>
      <c r="N2415" s="14" t="str" ph="1">
        <f>IFERROR(INDEX([1]!_born[生没年],
MATCH(K2415,[1]!_born[作],0)),"")</f>
        <v/>
      </c>
      <c r="O2415" s="13" t="s" ph="1">
        <v>404</v>
      </c>
      <c r="R2415" s="16" t="s" ph="1">
        <v>988</v>
      </c>
      <c r="S2415" s="13" t="s" ph="1">
        <v>10290</v>
      </c>
      <c r="T2415" s="13" t="s" ph="1">
        <v>8582</v>
      </c>
      <c r="U2415" s="16" ph="1">
        <v>37260</v>
      </c>
      <c r="V2415" s="17" ph="1">
        <f t="shared" si="8"/>
        <v>766.5</v>
      </c>
      <c r="W2415" s="17" ph="1">
        <f t="shared" si="7"/>
        <v>766.5</v>
      </c>
      <c r="X2415" s="13" t="s" ph="1">
        <v>462</v>
      </c>
    </row>
    <row r="2416" spans="3:24" ht="22.5" customHeight="1" ph="1" x14ac:dyDescent="0.35">
      <c r="C2416" s="13" t="s" ph="1">
        <v>7591</v>
      </c>
      <c r="D2416" s="123" ph="1">
        <v>2</v>
      </c>
      <c r="E2416" s="123" ph="1">
        <v>2</v>
      </c>
      <c r="G2416" s="13" t="s" ph="1">
        <v>4758</v>
      </c>
      <c r="H2416" s="13" t="s" ph="1">
        <v>709</v>
      </c>
      <c r="I2416" s="13" t="s" ph="1">
        <v>92</v>
      </c>
      <c r="K2416" s="13" t="s" ph="1">
        <v>8579</v>
      </c>
      <c r="L2416" s="13" t="s" ph="1">
        <v>8580</v>
      </c>
      <c r="M2416" s="14" t="str" ph="1">
        <f>IFERROR(INDEX([1]!_born[生没年],
MATCH(I2416,[1]!_born[作],0)),"")</f>
        <v/>
      </c>
      <c r="N2416" s="14" t="str" ph="1">
        <f>IFERROR(INDEX([1]!_born[生没年],
MATCH(K2416,[1]!_born[作],0)),"")</f>
        <v/>
      </c>
      <c r="O2416" s="13" t="s" ph="1">
        <v>8596</v>
      </c>
      <c r="S2416" s="13" t="s" ph="1">
        <v>10290</v>
      </c>
      <c r="T2416" s="13" t="s" ph="1">
        <v>8582</v>
      </c>
      <c r="U2416" s="16" ph="1">
        <v>37260</v>
      </c>
      <c r="V2416" s="17" ph="1">
        <f t="shared" si="8"/>
        <v>766.5</v>
      </c>
      <c r="W2416" s="17" ph="1">
        <f t="shared" si="7"/>
        <v>766.5</v>
      </c>
      <c r="X2416" s="13" t="s" ph="1">
        <v>462</v>
      </c>
    </row>
    <row r="2417" spans="3:24" ht="22.5" customHeight="1" ph="1" x14ac:dyDescent="0.35">
      <c r="C2417" s="13" t="s" ph="1">
        <v>7591</v>
      </c>
      <c r="D2417" s="123" ph="1">
        <v>2</v>
      </c>
      <c r="E2417" s="123" ph="1">
        <v>2</v>
      </c>
      <c r="G2417" s="13" t="s" ph="1">
        <v>4758</v>
      </c>
      <c r="H2417" s="13" t="s" ph="1">
        <v>709</v>
      </c>
      <c r="I2417" s="13" t="s" ph="1">
        <v>11</v>
      </c>
      <c r="K2417" s="13" t="s" ph="1">
        <v>8579</v>
      </c>
      <c r="L2417" s="13" t="s" ph="1">
        <v>8580</v>
      </c>
      <c r="M2417" s="14" t="str" ph="1">
        <f>IFERROR(INDEX([1]!_born[生没年],
MATCH(I2417,[1]!_born[作],0)),"")</f>
        <v/>
      </c>
      <c r="N2417" s="14" t="str" ph="1">
        <f>IFERROR(INDEX([1]!_born[生没年],
MATCH(K2417,[1]!_born[作],0)),"")</f>
        <v/>
      </c>
      <c r="O2417" s="13" t="s" ph="1">
        <v>8597</v>
      </c>
      <c r="R2417" s="16" t="s" ph="1">
        <v>766</v>
      </c>
      <c r="S2417" s="13" t="s" ph="1">
        <v>10290</v>
      </c>
      <c r="T2417" s="13" t="s" ph="1">
        <v>8582</v>
      </c>
      <c r="U2417" s="16" ph="1">
        <v>37260</v>
      </c>
      <c r="V2417" s="17" ph="1">
        <f t="shared" si="8"/>
        <v>766.5</v>
      </c>
      <c r="W2417" s="17" ph="1">
        <f t="shared" si="7"/>
        <v>766.5</v>
      </c>
      <c r="X2417" s="13" t="s" ph="1">
        <v>462</v>
      </c>
    </row>
    <row r="2418" spans="3:24" ht="22.5" customHeight="1" ph="1" x14ac:dyDescent="0.35">
      <c r="C2418" s="13" t="s" ph="1">
        <v>7591</v>
      </c>
      <c r="D2418" s="123" ph="1">
        <v>2</v>
      </c>
      <c r="E2418" s="123" ph="1">
        <v>2</v>
      </c>
      <c r="G2418" s="13" t="s" ph="1">
        <v>4758</v>
      </c>
      <c r="H2418" s="13" t="s" ph="1">
        <v>709</v>
      </c>
      <c r="I2418" s="13" t="s" ph="1">
        <v>12</v>
      </c>
      <c r="K2418" s="13" t="s" ph="1">
        <v>8579</v>
      </c>
      <c r="L2418" s="13" t="s" ph="1">
        <v>8580</v>
      </c>
      <c r="M2418" s="14" t="str" ph="1">
        <f>IFERROR(INDEX([1]!_born[生没年],
MATCH(I2418,[1]!_born[作],0)),"")</f>
        <v/>
      </c>
      <c r="N2418" s="14" t="str" ph="1">
        <f>IFERROR(INDEX([1]!_born[生没年],
MATCH(K2418,[1]!_born[作],0)),"")</f>
        <v/>
      </c>
      <c r="O2418" s="13" t="s" ph="1">
        <v>8598</v>
      </c>
      <c r="S2418" s="13" t="s" ph="1">
        <v>10290</v>
      </c>
      <c r="T2418" s="13" t="s" ph="1">
        <v>8582</v>
      </c>
      <c r="U2418" s="16" ph="1">
        <v>37260</v>
      </c>
      <c r="V2418" s="17" ph="1">
        <f t="shared" si="8"/>
        <v>766.5</v>
      </c>
      <c r="W2418" s="17" ph="1">
        <f t="shared" si="7"/>
        <v>766.5</v>
      </c>
      <c r="X2418" s="13" t="s" ph="1">
        <v>462</v>
      </c>
    </row>
    <row r="2419" spans="3:24" ht="22.5" customHeight="1" ph="1" x14ac:dyDescent="0.35">
      <c r="C2419" s="13" t="s" ph="1">
        <v>7591</v>
      </c>
      <c r="D2419" s="123" ph="1">
        <v>2</v>
      </c>
      <c r="E2419" s="123" ph="1">
        <v>2</v>
      </c>
      <c r="G2419" s="13" t="s" ph="1">
        <v>4758</v>
      </c>
      <c r="H2419" s="13" t="s" ph="1">
        <v>709</v>
      </c>
      <c r="I2419" s="13" t="s" ph="1">
        <v>515</v>
      </c>
      <c r="K2419" s="13" t="s" ph="1">
        <v>8579</v>
      </c>
      <c r="L2419" s="13" t="s" ph="1">
        <v>8580</v>
      </c>
      <c r="M2419" s="14" t="str" ph="1">
        <f>IFERROR(INDEX([1]!_born[生没年],
MATCH(I2419,[1]!_born[作],0)),"")</f>
        <v/>
      </c>
      <c r="N2419" s="14" t="str" ph="1">
        <f>IFERROR(INDEX([1]!_born[生没年],
MATCH(K2419,[1]!_born[作],0)),"")</f>
        <v/>
      </c>
      <c r="O2419" s="13" t="s" ph="1">
        <v>8599</v>
      </c>
      <c r="S2419" s="13" t="s" ph="1">
        <v>10290</v>
      </c>
      <c r="T2419" s="13" t="s" ph="1">
        <v>8582</v>
      </c>
      <c r="U2419" s="16" ph="1">
        <v>37260</v>
      </c>
      <c r="V2419" s="17" ph="1">
        <f t="shared" si="8"/>
        <v>766.5</v>
      </c>
      <c r="W2419" s="17" ph="1">
        <f t="shared" si="7"/>
        <v>766.5</v>
      </c>
      <c r="X2419" s="13" t="s" ph="1">
        <v>462</v>
      </c>
    </row>
    <row r="2420" spans="3:24" ht="22.5" customHeight="1" ph="1" x14ac:dyDescent="0.35">
      <c r="C2420" s="13" t="s" ph="1">
        <v>7591</v>
      </c>
      <c r="D2420" s="123" ph="1">
        <v>1</v>
      </c>
      <c r="E2420" s="123" ph="1">
        <v>5</v>
      </c>
      <c r="G2420" s="13" t="s" ph="1">
        <v>4758</v>
      </c>
      <c r="H2420" s="13" t="s" ph="1">
        <v>709</v>
      </c>
      <c r="I2420" s="13" t="s" ph="1">
        <v>104</v>
      </c>
      <c r="K2420" s="13" t="s" ph="1">
        <v>8112</v>
      </c>
      <c r="L2420" s="13" t="s" ph="1">
        <v>3628</v>
      </c>
      <c r="M2420" s="14" t="str" ph="1">
        <f>IFERROR(INDEX([1]!_born[生没年],
MATCH(I2420,[1]!_born[作],0)),"")</f>
        <v/>
      </c>
      <c r="N2420" s="14" t="str" ph="1">
        <f>IFERROR(INDEX([1]!_born[生没年],
MATCH(K2420,[1]!_born[作],0)),"")</f>
        <v/>
      </c>
      <c r="O2420" s="13" t="s" ph="1">
        <v>8600</v>
      </c>
      <c r="R2420" s="16" t="s" ph="1">
        <v>1887</v>
      </c>
      <c r="S2420" s="125" t="s" ph="1">
        <v>10243</v>
      </c>
      <c r="T2420" s="13" t="s" ph="1">
        <v>7870</v>
      </c>
      <c r="U2420" s="16" ph="1">
        <v>37017</v>
      </c>
      <c r="V2420" s="17" ph="1">
        <f>640*1.05</f>
        <v>672</v>
      </c>
      <c r="W2420" s="17" ph="1">
        <f t="shared" ref="W2420:W2428" si="9">640*1.05</f>
        <v>672</v>
      </c>
      <c r="X2420" s="13" t="s" ph="1">
        <v>3802</v>
      </c>
    </row>
    <row r="2421" spans="3:24" ht="22.5" customHeight="1" ph="1" x14ac:dyDescent="0.35">
      <c r="C2421" s="13" t="s" ph="1">
        <v>7591</v>
      </c>
      <c r="D2421" s="123" ph="1">
        <v>1</v>
      </c>
      <c r="E2421" s="123" ph="1">
        <v>5</v>
      </c>
      <c r="G2421" s="13" t="s" ph="1">
        <v>4758</v>
      </c>
      <c r="H2421" s="13" t="s" ph="1">
        <v>709</v>
      </c>
      <c r="I2421" s="13" t="s" ph="1">
        <v>661</v>
      </c>
      <c r="K2421" s="13" t="s" ph="1">
        <v>8112</v>
      </c>
      <c r="L2421" s="13" t="s" ph="1">
        <v>3628</v>
      </c>
      <c r="M2421" s="14" t="str" ph="1">
        <f>IFERROR(INDEX([1]!_born[生没年],
MATCH(I2421,[1]!_born[作],0)),"")</f>
        <v/>
      </c>
      <c r="N2421" s="14" t="str" ph="1">
        <f>IFERROR(INDEX([1]!_born[生没年],
MATCH(K2421,[1]!_born[作],0)),"")</f>
        <v/>
      </c>
      <c r="O2421" s="13" t="s" ph="1">
        <v>8601</v>
      </c>
      <c r="R2421" s="16" t="s" ph="1">
        <v>1887</v>
      </c>
      <c r="S2421" s="125" t="s" ph="1">
        <v>10243</v>
      </c>
      <c r="T2421" s="13" t="s" ph="1">
        <v>7870</v>
      </c>
      <c r="U2421" s="16" ph="1">
        <v>37017</v>
      </c>
      <c r="V2421" s="17" ph="1">
        <f t="shared" ref="V2421:V2428" si="10">640*1.05</f>
        <v>672</v>
      </c>
      <c r="W2421" s="17" ph="1">
        <f t="shared" si="9"/>
        <v>672</v>
      </c>
      <c r="X2421" s="13" t="s" ph="1">
        <v>3802</v>
      </c>
    </row>
    <row r="2422" spans="3:24" ht="22.5" customHeight="1" ph="1" x14ac:dyDescent="0.35">
      <c r="C2422" s="13" t="s" ph="1">
        <v>7591</v>
      </c>
      <c r="D2422" s="123" ph="1">
        <v>1</v>
      </c>
      <c r="E2422" s="123" ph="1">
        <v>5</v>
      </c>
      <c r="G2422" s="13" t="s" ph="1">
        <v>4758</v>
      </c>
      <c r="H2422" s="13" t="s" ph="1">
        <v>709</v>
      </c>
      <c r="I2422" s="13" t="s" ph="1">
        <v>105</v>
      </c>
      <c r="K2422" s="13" t="s" ph="1">
        <v>8112</v>
      </c>
      <c r="L2422" s="13" t="s" ph="1">
        <v>3628</v>
      </c>
      <c r="M2422" s="14" t="str" ph="1">
        <f>IFERROR(INDEX([1]!_born[生没年],
MATCH(I2422,[1]!_born[作],0)),"")</f>
        <v/>
      </c>
      <c r="N2422" s="14" t="str" ph="1">
        <f>IFERROR(INDEX([1]!_born[生没年],
MATCH(K2422,[1]!_born[作],0)),"")</f>
        <v/>
      </c>
      <c r="O2422" s="13" t="s" ph="1">
        <v>8602</v>
      </c>
      <c r="R2422" s="16" t="s" ph="1">
        <v>1887</v>
      </c>
      <c r="S2422" s="125" t="s" ph="1">
        <v>10243</v>
      </c>
      <c r="T2422" s="13" t="s" ph="1">
        <v>7870</v>
      </c>
      <c r="U2422" s="16" ph="1">
        <v>37017</v>
      </c>
      <c r="V2422" s="17" ph="1">
        <f t="shared" si="10"/>
        <v>672</v>
      </c>
      <c r="W2422" s="17" ph="1">
        <f t="shared" si="9"/>
        <v>672</v>
      </c>
      <c r="X2422" s="13" t="s" ph="1">
        <v>3802</v>
      </c>
    </row>
    <row r="2423" spans="3:24" ht="22.5" customHeight="1" ph="1" x14ac:dyDescent="0.35">
      <c r="C2423" s="13" t="s" ph="1">
        <v>7591</v>
      </c>
      <c r="D2423" s="123" ph="1">
        <v>1</v>
      </c>
      <c r="E2423" s="123" ph="1">
        <v>5</v>
      </c>
      <c r="G2423" s="13" t="s" ph="1">
        <v>4758</v>
      </c>
      <c r="H2423" s="13" t="s" ph="1">
        <v>709</v>
      </c>
      <c r="I2423" s="13" t="s" ph="1">
        <v>598</v>
      </c>
      <c r="K2423" s="13" t="s" ph="1">
        <v>8112</v>
      </c>
      <c r="L2423" s="13" t="s" ph="1">
        <v>3628</v>
      </c>
      <c r="M2423" s="14" t="str" ph="1">
        <f>IFERROR(INDEX([1]!_born[生没年],
MATCH(I2423,[1]!_born[作],0)),"")</f>
        <v/>
      </c>
      <c r="N2423" s="14" t="str" ph="1">
        <f>IFERROR(INDEX([1]!_born[生没年],
MATCH(K2423,[1]!_born[作],0)),"")</f>
        <v/>
      </c>
      <c r="O2423" s="13" t="s" ph="1">
        <v>8603</v>
      </c>
      <c r="R2423" s="16" t="s" ph="1">
        <v>1887</v>
      </c>
      <c r="S2423" s="125" t="s" ph="1">
        <v>10243</v>
      </c>
      <c r="T2423" s="13" t="s" ph="1">
        <v>7870</v>
      </c>
      <c r="U2423" s="16" ph="1">
        <v>37017</v>
      </c>
      <c r="V2423" s="17" ph="1">
        <f t="shared" si="10"/>
        <v>672</v>
      </c>
      <c r="W2423" s="17" ph="1">
        <f t="shared" si="9"/>
        <v>672</v>
      </c>
      <c r="X2423" s="13" t="s" ph="1">
        <v>3802</v>
      </c>
    </row>
    <row r="2424" spans="3:24" ht="22.5" customHeight="1" ph="1" x14ac:dyDescent="0.35">
      <c r="C2424" s="13" t="s" ph="1">
        <v>7591</v>
      </c>
      <c r="D2424" s="123" ph="1">
        <v>1</v>
      </c>
      <c r="E2424" s="123" ph="1">
        <v>5</v>
      </c>
      <c r="G2424" s="13" t="s" ph="1">
        <v>4758</v>
      </c>
      <c r="H2424" s="13" t="s" ph="1">
        <v>709</v>
      </c>
      <c r="I2424" s="13" t="s" ph="1">
        <v>106</v>
      </c>
      <c r="K2424" s="13" t="s" ph="1">
        <v>8112</v>
      </c>
      <c r="L2424" s="13" t="s" ph="1">
        <v>3628</v>
      </c>
      <c r="M2424" s="14" t="str" ph="1">
        <f>IFERROR(INDEX([1]!_born[生没年],
MATCH(I2424,[1]!_born[作],0)),"")</f>
        <v/>
      </c>
      <c r="N2424" s="14" t="str" ph="1">
        <f>IFERROR(INDEX([1]!_born[生没年],
MATCH(K2424,[1]!_born[作],0)),"")</f>
        <v/>
      </c>
      <c r="O2424" s="13" t="s" ph="1">
        <v>8604</v>
      </c>
      <c r="R2424" s="16" t="s" ph="1">
        <v>1887</v>
      </c>
      <c r="S2424" s="125" t="s" ph="1">
        <v>10243</v>
      </c>
      <c r="T2424" s="13" t="s" ph="1">
        <v>7870</v>
      </c>
      <c r="U2424" s="16" ph="1">
        <v>37017</v>
      </c>
      <c r="V2424" s="17" ph="1">
        <f t="shared" si="10"/>
        <v>672</v>
      </c>
      <c r="W2424" s="17" ph="1">
        <f t="shared" si="9"/>
        <v>672</v>
      </c>
      <c r="X2424" s="13" t="s" ph="1">
        <v>3802</v>
      </c>
    </row>
    <row r="2425" spans="3:24" ht="22.5" customHeight="1" ph="1" x14ac:dyDescent="0.35">
      <c r="C2425" s="13" t="s" ph="1">
        <v>7591</v>
      </c>
      <c r="D2425" s="123" ph="1">
        <v>1</v>
      </c>
      <c r="E2425" s="123" ph="1">
        <v>5</v>
      </c>
      <c r="G2425" s="13" t="s" ph="1">
        <v>4758</v>
      </c>
      <c r="H2425" s="13" t="s" ph="1">
        <v>709</v>
      </c>
      <c r="I2425" s="13" t="s" ph="1">
        <v>107</v>
      </c>
      <c r="K2425" s="13" t="s" ph="1">
        <v>8112</v>
      </c>
      <c r="L2425" s="13" t="s" ph="1">
        <v>3628</v>
      </c>
      <c r="M2425" s="14" t="str" ph="1">
        <f>IFERROR(INDEX([1]!_born[生没年],
MATCH(I2425,[1]!_born[作],0)),"")</f>
        <v/>
      </c>
      <c r="N2425" s="14" t="str" ph="1">
        <f>IFERROR(INDEX([1]!_born[生没年],
MATCH(K2425,[1]!_born[作],0)),"")</f>
        <v/>
      </c>
      <c r="O2425" s="13" t="s" ph="1">
        <v>8605</v>
      </c>
      <c r="R2425" s="16" t="s" ph="1">
        <v>1887</v>
      </c>
      <c r="S2425" s="125" t="s" ph="1">
        <v>10243</v>
      </c>
      <c r="T2425" s="13" t="s" ph="1">
        <v>7870</v>
      </c>
      <c r="U2425" s="16" ph="1">
        <v>37017</v>
      </c>
      <c r="V2425" s="17" ph="1">
        <f t="shared" si="10"/>
        <v>672</v>
      </c>
      <c r="W2425" s="17" ph="1">
        <f t="shared" si="9"/>
        <v>672</v>
      </c>
      <c r="X2425" s="13" t="s" ph="1">
        <v>3802</v>
      </c>
    </row>
    <row r="2426" spans="3:24" ht="22.5" customHeight="1" ph="1" x14ac:dyDescent="0.35">
      <c r="C2426" s="13" t="s" ph="1">
        <v>7591</v>
      </c>
      <c r="D2426" s="123" ph="1">
        <v>1</v>
      </c>
      <c r="E2426" s="123" ph="1">
        <v>5</v>
      </c>
      <c r="G2426" s="13" t="s" ph="1">
        <v>4758</v>
      </c>
      <c r="H2426" s="13" t="s" ph="1">
        <v>709</v>
      </c>
      <c r="I2426" s="13" t="s" ph="1">
        <v>108</v>
      </c>
      <c r="K2426" s="13" t="s" ph="1">
        <v>8112</v>
      </c>
      <c r="L2426" s="13" t="s" ph="1">
        <v>3628</v>
      </c>
      <c r="M2426" s="14" t="str" ph="1">
        <f>IFERROR(INDEX([1]!_born[生没年],
MATCH(I2426,[1]!_born[作],0)),"")</f>
        <v/>
      </c>
      <c r="N2426" s="14" t="str" ph="1">
        <f>IFERROR(INDEX([1]!_born[生没年],
MATCH(K2426,[1]!_born[作],0)),"")</f>
        <v/>
      </c>
      <c r="O2426" s="13" t="s" ph="1">
        <v>8606</v>
      </c>
      <c r="R2426" s="16" t="s" ph="1">
        <v>1887</v>
      </c>
      <c r="S2426" s="125" t="s" ph="1">
        <v>10243</v>
      </c>
      <c r="T2426" s="13" t="s" ph="1">
        <v>7870</v>
      </c>
      <c r="U2426" s="16" ph="1">
        <v>37017</v>
      </c>
      <c r="V2426" s="17" ph="1">
        <f t="shared" si="10"/>
        <v>672</v>
      </c>
      <c r="W2426" s="17" ph="1">
        <f t="shared" si="9"/>
        <v>672</v>
      </c>
      <c r="X2426" s="13" t="s" ph="1">
        <v>3802</v>
      </c>
    </row>
    <row r="2427" spans="3:24" ht="22.5" customHeight="1" ph="1" x14ac:dyDescent="0.35">
      <c r="C2427" s="13" t="s" ph="1">
        <v>7591</v>
      </c>
      <c r="D2427" s="123" ph="1">
        <v>1</v>
      </c>
      <c r="E2427" s="123" ph="1">
        <v>5</v>
      </c>
      <c r="G2427" s="13" t="s" ph="1">
        <v>4758</v>
      </c>
      <c r="H2427" s="13" t="s" ph="1">
        <v>709</v>
      </c>
      <c r="I2427" s="13" t="s" ph="1">
        <v>533</v>
      </c>
      <c r="K2427" s="13" t="s" ph="1">
        <v>8112</v>
      </c>
      <c r="L2427" s="13" t="s" ph="1">
        <v>3628</v>
      </c>
      <c r="M2427" s="14" t="str" ph="1">
        <f>IFERROR(INDEX([1]!_born[生没年],
MATCH(I2427,[1]!_born[作],0)),"")</f>
        <v/>
      </c>
      <c r="N2427" s="14" t="str" ph="1">
        <f>IFERROR(INDEX([1]!_born[生没年],
MATCH(K2427,[1]!_born[作],0)),"")</f>
        <v/>
      </c>
      <c r="O2427" s="13" t="s" ph="1">
        <v>8607</v>
      </c>
      <c r="R2427" s="16" t="s" ph="1">
        <v>1887</v>
      </c>
      <c r="S2427" s="125" t="s" ph="1">
        <v>10243</v>
      </c>
      <c r="T2427" s="13" t="s" ph="1">
        <v>7870</v>
      </c>
      <c r="U2427" s="16" ph="1">
        <v>37017</v>
      </c>
      <c r="V2427" s="17" ph="1">
        <f t="shared" si="10"/>
        <v>672</v>
      </c>
      <c r="W2427" s="17" ph="1">
        <f t="shared" si="9"/>
        <v>672</v>
      </c>
      <c r="X2427" s="13" t="s" ph="1">
        <v>3802</v>
      </c>
    </row>
    <row r="2428" spans="3:24" ht="22.5" customHeight="1" ph="1" x14ac:dyDescent="0.35">
      <c r="C2428" s="13" t="s" ph="1">
        <v>7591</v>
      </c>
      <c r="D2428" s="123" ph="1">
        <v>1</v>
      </c>
      <c r="E2428" s="123" ph="1">
        <v>5</v>
      </c>
      <c r="G2428" s="13" t="s" ph="1">
        <v>4758</v>
      </c>
      <c r="H2428" s="13" t="s" ph="1">
        <v>709</v>
      </c>
      <c r="I2428" s="13" t="s" ph="1">
        <v>184</v>
      </c>
      <c r="K2428" s="13" t="s" ph="1">
        <v>8112</v>
      </c>
      <c r="L2428" s="13" t="s" ph="1">
        <v>3628</v>
      </c>
      <c r="M2428" s="14" t="str" ph="1">
        <f>IFERROR(INDEX([1]!_born[生没年],
MATCH(I2428,[1]!_born[作],0)),"")</f>
        <v/>
      </c>
      <c r="N2428" s="14" t="str" ph="1">
        <f>IFERROR(INDEX([1]!_born[生没年],
MATCH(K2428,[1]!_born[作],0)),"")</f>
        <v/>
      </c>
      <c r="O2428" s="13" t="s" ph="1">
        <v>8608</v>
      </c>
      <c r="R2428" s="16" t="s" ph="1">
        <v>1887</v>
      </c>
      <c r="S2428" s="125" t="s" ph="1">
        <v>10243</v>
      </c>
      <c r="T2428" s="13" t="s" ph="1">
        <v>7870</v>
      </c>
      <c r="U2428" s="16" ph="1">
        <v>37017</v>
      </c>
      <c r="V2428" s="17" ph="1">
        <f t="shared" si="10"/>
        <v>672</v>
      </c>
      <c r="W2428" s="17" ph="1">
        <f t="shared" si="9"/>
        <v>672</v>
      </c>
      <c r="X2428" s="13" t="s" ph="1">
        <v>3802</v>
      </c>
    </row>
    <row r="2429" spans="3:24" ht="22.5" customHeight="1" ph="1" x14ac:dyDescent="0.35">
      <c r="C2429" s="13" t="s" ph="1">
        <v>7591</v>
      </c>
      <c r="D2429" s="123" ph="1">
        <v>4</v>
      </c>
      <c r="E2429" s="123" ph="1">
        <v>5</v>
      </c>
      <c r="G2429" s="13" t="s" ph="1">
        <v>4758</v>
      </c>
      <c r="H2429" s="13" t="s" ph="1">
        <v>709</v>
      </c>
      <c r="I2429" s="13" t="s" ph="1">
        <v>8609</v>
      </c>
      <c r="K2429" s="13" t="s" ph="1">
        <v>8610</v>
      </c>
      <c r="L2429" s="13" t="s" ph="1">
        <v>3628</v>
      </c>
      <c r="M2429" s="14" t="str" ph="1">
        <f>IFERROR(INDEX([1]!_born[生没年],
MATCH(I2429,[1]!_born[作],0)),"")</f>
        <v/>
      </c>
      <c r="N2429" s="14" t="str" ph="1">
        <f>IFERROR(INDEX([1]!_born[生没年],
MATCH(K2429,[1]!_born[作],0)),"")</f>
        <v/>
      </c>
      <c r="O2429" s="13" t="s" ph="1">
        <v>8611</v>
      </c>
      <c r="R2429" s="16" t="s" ph="1">
        <v>1887</v>
      </c>
      <c r="S2429" s="125" t="s" ph="1">
        <v>10244</v>
      </c>
      <c r="T2429" s="13" t="s" ph="1">
        <v>7870</v>
      </c>
      <c r="U2429" s="16" ph="1">
        <v>37037</v>
      </c>
      <c r="V2429" s="17" ph="1">
        <f>680*1.05</f>
        <v>714</v>
      </c>
      <c r="W2429" s="17" ph="1">
        <f t="shared" ref="W2429:W2449" si="11">680*1.05</f>
        <v>714</v>
      </c>
      <c r="X2429" s="13" t="s" ph="1">
        <v>3802</v>
      </c>
    </row>
    <row r="2430" spans="3:24" ht="22.5" customHeight="1" ph="1" x14ac:dyDescent="0.35">
      <c r="C2430" s="13" t="s" ph="1">
        <v>7591</v>
      </c>
      <c r="D2430" s="123" ph="1">
        <v>4</v>
      </c>
      <c r="E2430" s="123" ph="1">
        <v>5</v>
      </c>
      <c r="G2430" s="13" t="s" ph="1">
        <v>4758</v>
      </c>
      <c r="H2430" s="13" t="s" ph="1">
        <v>709</v>
      </c>
      <c r="I2430" s="13" t="s" ph="1">
        <v>475</v>
      </c>
      <c r="K2430" s="13" t="s" ph="1">
        <v>8610</v>
      </c>
      <c r="L2430" s="13" t="s" ph="1">
        <v>3628</v>
      </c>
      <c r="M2430" s="14" t="str" ph="1">
        <f>IFERROR(INDEX([1]!_born[生没年],
MATCH(I2430,[1]!_born[作],0)),"")</f>
        <v/>
      </c>
      <c r="N2430" s="14" t="str" ph="1">
        <f>IFERROR(INDEX([1]!_born[生没年],
MATCH(K2430,[1]!_born[作],0)),"")</f>
        <v/>
      </c>
      <c r="O2430" s="13" t="s" ph="1">
        <v>8612</v>
      </c>
      <c r="R2430" s="16" t="s" ph="1">
        <v>1887</v>
      </c>
      <c r="S2430" s="125" t="s" ph="1">
        <v>10244</v>
      </c>
      <c r="T2430" s="13" t="s" ph="1">
        <v>7870</v>
      </c>
      <c r="U2430" s="16" ph="1">
        <v>37037</v>
      </c>
      <c r="V2430" s="17" ph="1">
        <f t="shared" ref="V2430:V2449" si="12">680*1.05</f>
        <v>714</v>
      </c>
      <c r="W2430" s="17" ph="1">
        <f t="shared" si="11"/>
        <v>714</v>
      </c>
      <c r="X2430" s="13" t="s" ph="1">
        <v>3802</v>
      </c>
    </row>
    <row r="2431" spans="3:24" ht="22.5" customHeight="1" ph="1" x14ac:dyDescent="0.35">
      <c r="C2431" s="13" t="s" ph="1">
        <v>7591</v>
      </c>
      <c r="D2431" s="123" ph="1">
        <v>4</v>
      </c>
      <c r="E2431" s="123" ph="1">
        <v>5</v>
      </c>
      <c r="G2431" s="13" t="s" ph="1">
        <v>4758</v>
      </c>
      <c r="H2431" s="13" t="s" ph="1">
        <v>709</v>
      </c>
      <c r="I2431" s="13" t="s" ph="1">
        <v>476</v>
      </c>
      <c r="K2431" s="13" t="s" ph="1">
        <v>8610</v>
      </c>
      <c r="L2431" s="13" t="s" ph="1">
        <v>3628</v>
      </c>
      <c r="M2431" s="14" t="str" ph="1">
        <f>IFERROR(INDEX([1]!_born[生没年],
MATCH(I2431,[1]!_born[作],0)),"")</f>
        <v/>
      </c>
      <c r="N2431" s="14" t="str" ph="1">
        <f>IFERROR(INDEX([1]!_born[生没年],
MATCH(K2431,[1]!_born[作],0)),"")</f>
        <v/>
      </c>
      <c r="O2431" s="13" t="s" ph="1">
        <v>8613</v>
      </c>
      <c r="R2431" s="16" t="s" ph="1">
        <v>1887</v>
      </c>
      <c r="S2431" s="125" t="s" ph="1">
        <v>10244</v>
      </c>
      <c r="T2431" s="13" t="s" ph="1">
        <v>7870</v>
      </c>
      <c r="U2431" s="16" ph="1">
        <v>37037</v>
      </c>
      <c r="V2431" s="17" ph="1">
        <f t="shared" si="12"/>
        <v>714</v>
      </c>
      <c r="W2431" s="17" ph="1">
        <f t="shared" si="11"/>
        <v>714</v>
      </c>
      <c r="X2431" s="13" t="s" ph="1">
        <v>3802</v>
      </c>
    </row>
    <row r="2432" spans="3:24" ht="22.5" customHeight="1" ph="1" x14ac:dyDescent="0.35">
      <c r="C2432" s="13" t="s" ph="1">
        <v>7591</v>
      </c>
      <c r="D2432" s="123" ph="1">
        <v>4</v>
      </c>
      <c r="E2432" s="123" ph="1">
        <v>5</v>
      </c>
      <c r="G2432" s="13" t="s" ph="1">
        <v>4758</v>
      </c>
      <c r="H2432" s="13" t="s" ph="1">
        <v>709</v>
      </c>
      <c r="I2432" s="13" t="s" ph="1">
        <v>658</v>
      </c>
      <c r="K2432" s="13" t="s" ph="1">
        <v>8610</v>
      </c>
      <c r="L2432" s="13" t="s" ph="1">
        <v>3628</v>
      </c>
      <c r="M2432" s="14" t="str" ph="1">
        <f>IFERROR(INDEX([1]!_born[生没年],
MATCH(I2432,[1]!_born[作],0)),"")</f>
        <v/>
      </c>
      <c r="N2432" s="14" t="str" ph="1">
        <f>IFERROR(INDEX([1]!_born[生没年],
MATCH(K2432,[1]!_born[作],0)),"")</f>
        <v/>
      </c>
      <c r="O2432" s="13" t="s" ph="1">
        <v>8614</v>
      </c>
      <c r="R2432" s="16" t="s" ph="1">
        <v>1887</v>
      </c>
      <c r="S2432" s="125" t="s" ph="1">
        <v>10244</v>
      </c>
      <c r="T2432" s="13" t="s" ph="1">
        <v>7870</v>
      </c>
      <c r="U2432" s="16" ph="1">
        <v>37037</v>
      </c>
      <c r="V2432" s="17" ph="1">
        <f t="shared" si="12"/>
        <v>714</v>
      </c>
      <c r="W2432" s="17" ph="1">
        <f t="shared" si="11"/>
        <v>714</v>
      </c>
      <c r="X2432" s="13" t="s" ph="1">
        <v>3802</v>
      </c>
    </row>
    <row r="2433" spans="3:24" ht="22.5" customHeight="1" ph="1" x14ac:dyDescent="0.35">
      <c r="C2433" s="13" t="s" ph="1">
        <v>7591</v>
      </c>
      <c r="D2433" s="123" ph="1">
        <v>4</v>
      </c>
      <c r="E2433" s="123" ph="1">
        <v>5</v>
      </c>
      <c r="G2433" s="13" t="s" ph="1">
        <v>4758</v>
      </c>
      <c r="H2433" s="13" t="s" ph="1">
        <v>709</v>
      </c>
      <c r="I2433" s="13" t="s" ph="1">
        <v>477</v>
      </c>
      <c r="K2433" s="13" t="s" ph="1">
        <v>8610</v>
      </c>
      <c r="L2433" s="13" t="s" ph="1">
        <v>3628</v>
      </c>
      <c r="M2433" s="14" t="str" ph="1">
        <f>IFERROR(INDEX([1]!_born[生没年],
MATCH(I2433,[1]!_born[作],0)),"")</f>
        <v/>
      </c>
      <c r="N2433" s="14" t="str" ph="1">
        <f>IFERROR(INDEX([1]!_born[生没年],
MATCH(K2433,[1]!_born[作],0)),"")</f>
        <v/>
      </c>
      <c r="O2433" s="13" t="s" ph="1">
        <v>8615</v>
      </c>
      <c r="R2433" s="16" t="s" ph="1">
        <v>1887</v>
      </c>
      <c r="S2433" s="125" t="s" ph="1">
        <v>10244</v>
      </c>
      <c r="T2433" s="13" t="s" ph="1">
        <v>7870</v>
      </c>
      <c r="U2433" s="16" ph="1">
        <v>37037</v>
      </c>
      <c r="V2433" s="17" ph="1">
        <f t="shared" si="12"/>
        <v>714</v>
      </c>
      <c r="W2433" s="17" ph="1">
        <f t="shared" si="11"/>
        <v>714</v>
      </c>
      <c r="X2433" s="13" t="s" ph="1">
        <v>3802</v>
      </c>
    </row>
    <row r="2434" spans="3:24" ht="22.5" customHeight="1" ph="1" x14ac:dyDescent="0.35">
      <c r="C2434" s="13" t="s" ph="1">
        <v>7591</v>
      </c>
      <c r="D2434" s="123" ph="1">
        <v>4</v>
      </c>
      <c r="E2434" s="123" ph="1">
        <v>5</v>
      </c>
      <c r="G2434" s="13" t="s" ph="1">
        <v>4758</v>
      </c>
      <c r="H2434" s="13" t="s" ph="1">
        <v>709</v>
      </c>
      <c r="I2434" s="13" t="s" ph="1">
        <v>478</v>
      </c>
      <c r="K2434" s="13" t="s" ph="1">
        <v>8610</v>
      </c>
      <c r="L2434" s="13" t="s" ph="1">
        <v>3628</v>
      </c>
      <c r="M2434" s="14" t="str" ph="1">
        <f>IFERROR(INDEX([1]!_born[生没年],
MATCH(I2434,[1]!_born[作],0)),"")</f>
        <v/>
      </c>
      <c r="N2434" s="14" t="str" ph="1">
        <f>IFERROR(INDEX([1]!_born[生没年],
MATCH(K2434,[1]!_born[作],0)),"")</f>
        <v/>
      </c>
      <c r="O2434" s="13" t="s" ph="1">
        <v>8616</v>
      </c>
      <c r="R2434" s="16" t="s" ph="1">
        <v>1887</v>
      </c>
      <c r="S2434" s="125" t="s" ph="1">
        <v>10244</v>
      </c>
      <c r="T2434" s="13" t="s" ph="1">
        <v>7870</v>
      </c>
      <c r="U2434" s="16" ph="1">
        <v>37037</v>
      </c>
      <c r="V2434" s="17" ph="1">
        <f t="shared" si="12"/>
        <v>714</v>
      </c>
      <c r="W2434" s="17" ph="1">
        <f t="shared" si="11"/>
        <v>714</v>
      </c>
      <c r="X2434" s="13" t="s" ph="1">
        <v>3802</v>
      </c>
    </row>
    <row r="2435" spans="3:24" ht="22.5" customHeight="1" ph="1" x14ac:dyDescent="0.35">
      <c r="C2435" s="13" t="s" ph="1">
        <v>7591</v>
      </c>
      <c r="D2435" s="123" ph="1">
        <v>4</v>
      </c>
      <c r="E2435" s="123" ph="1">
        <v>5</v>
      </c>
      <c r="G2435" s="13" t="s" ph="1">
        <v>4758</v>
      </c>
      <c r="H2435" s="13" t="s" ph="1">
        <v>709</v>
      </c>
      <c r="I2435" s="13" t="s" ph="1">
        <v>479</v>
      </c>
      <c r="K2435" s="13" t="s" ph="1">
        <v>8610</v>
      </c>
      <c r="L2435" s="13" t="s" ph="1">
        <v>3628</v>
      </c>
      <c r="M2435" s="14" t="str" ph="1">
        <f>IFERROR(INDEX([1]!_born[生没年],
MATCH(I2435,[1]!_born[作],0)),"")</f>
        <v/>
      </c>
      <c r="N2435" s="14" t="str" ph="1">
        <f>IFERROR(INDEX([1]!_born[生没年],
MATCH(K2435,[1]!_born[作],0)),"")</f>
        <v/>
      </c>
      <c r="O2435" s="13" t="s" ph="1">
        <v>8617</v>
      </c>
      <c r="R2435" s="16" t="s" ph="1">
        <v>1887</v>
      </c>
      <c r="S2435" s="125" t="s" ph="1">
        <v>10244</v>
      </c>
      <c r="T2435" s="13" t="s" ph="1">
        <v>7870</v>
      </c>
      <c r="U2435" s="16" ph="1">
        <v>37037</v>
      </c>
      <c r="V2435" s="17" ph="1">
        <f t="shared" si="12"/>
        <v>714</v>
      </c>
      <c r="W2435" s="17" ph="1">
        <f t="shared" si="11"/>
        <v>714</v>
      </c>
      <c r="X2435" s="13" t="s" ph="1">
        <v>3802</v>
      </c>
    </row>
    <row r="2436" spans="3:24" ht="22.5" customHeight="1" ph="1" x14ac:dyDescent="0.35">
      <c r="C2436" s="13" t="s" ph="1">
        <v>7591</v>
      </c>
      <c r="D2436" s="123" ph="1">
        <v>4</v>
      </c>
      <c r="E2436" s="123" ph="1">
        <v>5</v>
      </c>
      <c r="G2436" s="13" t="s" ph="1">
        <v>4758</v>
      </c>
      <c r="H2436" s="13" t="s" ph="1">
        <v>709</v>
      </c>
      <c r="I2436" s="13" t="s" ph="1">
        <v>149</v>
      </c>
      <c r="K2436" s="13" t="s" ph="1">
        <v>8610</v>
      </c>
      <c r="L2436" s="13" t="s" ph="1">
        <v>3628</v>
      </c>
      <c r="M2436" s="14" t="str" ph="1">
        <f>IFERROR(INDEX([1]!_born[生没年],
MATCH(I2436,[1]!_born[作],0)),"")</f>
        <v/>
      </c>
      <c r="N2436" s="14" t="str" ph="1">
        <f>IFERROR(INDEX([1]!_born[生没年],
MATCH(K2436,[1]!_born[作],0)),"")</f>
        <v/>
      </c>
      <c r="O2436" s="13" t="s" ph="1">
        <v>8618</v>
      </c>
      <c r="R2436" s="16" t="s" ph="1">
        <v>1887</v>
      </c>
      <c r="S2436" s="125" t="s" ph="1">
        <v>10244</v>
      </c>
      <c r="T2436" s="13" t="s" ph="1">
        <v>7870</v>
      </c>
      <c r="U2436" s="16" ph="1">
        <v>37037</v>
      </c>
      <c r="V2436" s="17" ph="1">
        <f t="shared" si="12"/>
        <v>714</v>
      </c>
      <c r="W2436" s="17" ph="1">
        <f t="shared" si="11"/>
        <v>714</v>
      </c>
      <c r="X2436" s="13" t="s" ph="1">
        <v>3802</v>
      </c>
    </row>
    <row r="2437" spans="3:24" ht="22.5" customHeight="1" ph="1" x14ac:dyDescent="0.35">
      <c r="C2437" s="13" t="s" ph="1">
        <v>7591</v>
      </c>
      <c r="D2437" s="123" ph="1">
        <v>4</v>
      </c>
      <c r="E2437" s="123" ph="1">
        <v>5</v>
      </c>
      <c r="G2437" s="13" t="s" ph="1">
        <v>4758</v>
      </c>
      <c r="H2437" s="13" t="s" ph="1">
        <v>709</v>
      </c>
      <c r="I2437" s="13" t="s" ph="1">
        <v>150</v>
      </c>
      <c r="K2437" s="13" t="s" ph="1">
        <v>8610</v>
      </c>
      <c r="L2437" s="13" t="s" ph="1">
        <v>3628</v>
      </c>
      <c r="M2437" s="14" t="str" ph="1">
        <f>IFERROR(INDEX([1]!_born[生没年],
MATCH(I2437,[1]!_born[作],0)),"")</f>
        <v/>
      </c>
      <c r="N2437" s="14" t="str" ph="1">
        <f>IFERROR(INDEX([1]!_born[生没年],
MATCH(K2437,[1]!_born[作],0)),"")</f>
        <v/>
      </c>
      <c r="O2437" s="13" t="s" ph="1">
        <v>8619</v>
      </c>
      <c r="R2437" s="16" t="s" ph="1">
        <v>1887</v>
      </c>
      <c r="S2437" s="125" t="s" ph="1">
        <v>10244</v>
      </c>
      <c r="T2437" s="13" t="s" ph="1">
        <v>7870</v>
      </c>
      <c r="U2437" s="16" ph="1">
        <v>37037</v>
      </c>
      <c r="V2437" s="17" ph="1">
        <f t="shared" si="12"/>
        <v>714</v>
      </c>
      <c r="W2437" s="17" ph="1">
        <f t="shared" si="11"/>
        <v>714</v>
      </c>
      <c r="X2437" s="13" t="s" ph="1">
        <v>3802</v>
      </c>
    </row>
    <row r="2438" spans="3:24" ht="22.5" customHeight="1" ph="1" x14ac:dyDescent="0.35">
      <c r="C2438" s="13" t="s" ph="1">
        <v>7591</v>
      </c>
      <c r="D2438" s="123" ph="1">
        <v>4</v>
      </c>
      <c r="E2438" s="123" ph="1">
        <v>5</v>
      </c>
      <c r="G2438" s="13" t="s" ph="1">
        <v>4758</v>
      </c>
      <c r="H2438" s="13" t="s" ph="1">
        <v>709</v>
      </c>
      <c r="I2438" s="13" t="s" ph="1">
        <v>151</v>
      </c>
      <c r="K2438" s="13" t="s" ph="1">
        <v>8610</v>
      </c>
      <c r="L2438" s="13" t="s" ph="1">
        <v>3628</v>
      </c>
      <c r="M2438" s="14" t="str" ph="1">
        <f>IFERROR(INDEX([1]!_born[生没年],
MATCH(I2438,[1]!_born[作],0)),"")</f>
        <v/>
      </c>
      <c r="N2438" s="14" t="str" ph="1">
        <f>IFERROR(INDEX([1]!_born[生没年],
MATCH(K2438,[1]!_born[作],0)),"")</f>
        <v/>
      </c>
      <c r="O2438" s="13" t="s" ph="1">
        <v>8620</v>
      </c>
      <c r="R2438" s="16" t="s" ph="1">
        <v>1887</v>
      </c>
      <c r="S2438" s="125" t="s" ph="1">
        <v>10244</v>
      </c>
      <c r="T2438" s="13" t="s" ph="1">
        <v>7870</v>
      </c>
      <c r="U2438" s="16" ph="1">
        <v>37037</v>
      </c>
      <c r="V2438" s="17" ph="1">
        <f t="shared" si="12"/>
        <v>714</v>
      </c>
      <c r="W2438" s="17" ph="1">
        <f t="shared" si="11"/>
        <v>714</v>
      </c>
      <c r="X2438" s="13" t="s" ph="1">
        <v>3802</v>
      </c>
    </row>
    <row r="2439" spans="3:24" ht="22.5" customHeight="1" ph="1" x14ac:dyDescent="0.35">
      <c r="C2439" s="13" t="s" ph="1">
        <v>7591</v>
      </c>
      <c r="D2439" s="123" ph="1">
        <v>4</v>
      </c>
      <c r="E2439" s="123" ph="1">
        <v>5</v>
      </c>
      <c r="G2439" s="13" t="s" ph="1">
        <v>4758</v>
      </c>
      <c r="H2439" s="13" t="s" ph="1">
        <v>709</v>
      </c>
      <c r="I2439" s="13" t="s" ph="1">
        <v>152</v>
      </c>
      <c r="K2439" s="13" t="s" ph="1">
        <v>8610</v>
      </c>
      <c r="L2439" s="13" t="s" ph="1">
        <v>3628</v>
      </c>
      <c r="M2439" s="14" t="str" ph="1">
        <f>IFERROR(INDEX([1]!_born[生没年],
MATCH(I2439,[1]!_born[作],0)),"")</f>
        <v/>
      </c>
      <c r="N2439" s="14" t="str" ph="1">
        <f>IFERROR(INDEX([1]!_born[生没年],
MATCH(K2439,[1]!_born[作],0)),"")</f>
        <v/>
      </c>
      <c r="O2439" s="13" t="s" ph="1">
        <v>8621</v>
      </c>
      <c r="R2439" s="16" t="s" ph="1">
        <v>1887</v>
      </c>
      <c r="S2439" s="125" t="s" ph="1">
        <v>10244</v>
      </c>
      <c r="T2439" s="13" t="s" ph="1">
        <v>7870</v>
      </c>
      <c r="U2439" s="16" ph="1">
        <v>37037</v>
      </c>
      <c r="V2439" s="17" ph="1">
        <f t="shared" si="12"/>
        <v>714</v>
      </c>
      <c r="W2439" s="17" ph="1">
        <f t="shared" si="11"/>
        <v>714</v>
      </c>
      <c r="X2439" s="13" t="s" ph="1">
        <v>3802</v>
      </c>
    </row>
    <row r="2440" spans="3:24" ht="22.5" customHeight="1" ph="1" x14ac:dyDescent="0.35">
      <c r="C2440" s="13" t="s" ph="1">
        <v>7591</v>
      </c>
      <c r="D2440" s="123" ph="1">
        <v>4</v>
      </c>
      <c r="E2440" s="123" ph="1">
        <v>5</v>
      </c>
      <c r="G2440" s="13" t="s" ph="1">
        <v>4758</v>
      </c>
      <c r="H2440" s="13" t="s" ph="1">
        <v>709</v>
      </c>
      <c r="I2440" s="13" t="s" ph="1">
        <v>450</v>
      </c>
      <c r="K2440" s="13" t="s" ph="1">
        <v>8610</v>
      </c>
      <c r="L2440" s="13" t="s" ph="1">
        <v>3628</v>
      </c>
      <c r="M2440" s="14" t="str" ph="1">
        <f>IFERROR(INDEX([1]!_born[生没年],
MATCH(I2440,[1]!_born[作],0)),"")</f>
        <v/>
      </c>
      <c r="N2440" s="14" t="str" ph="1">
        <f>IFERROR(INDEX([1]!_born[生没年],
MATCH(K2440,[1]!_born[作],0)),"")</f>
        <v/>
      </c>
      <c r="O2440" s="13" t="s" ph="1">
        <v>8622</v>
      </c>
      <c r="R2440" s="16" t="s" ph="1">
        <v>1887</v>
      </c>
      <c r="S2440" s="125" t="s" ph="1">
        <v>10244</v>
      </c>
      <c r="T2440" s="13" t="s" ph="1">
        <v>7870</v>
      </c>
      <c r="U2440" s="16" ph="1">
        <v>37037</v>
      </c>
      <c r="V2440" s="17" ph="1">
        <f t="shared" si="12"/>
        <v>714</v>
      </c>
      <c r="W2440" s="17" ph="1">
        <f t="shared" si="11"/>
        <v>714</v>
      </c>
      <c r="X2440" s="13" t="s" ph="1">
        <v>3802</v>
      </c>
    </row>
    <row r="2441" spans="3:24" ht="22.5" customHeight="1" ph="1" x14ac:dyDescent="0.35">
      <c r="C2441" s="13" t="s" ph="1">
        <v>7591</v>
      </c>
      <c r="D2441" s="123" ph="1">
        <v>4</v>
      </c>
      <c r="E2441" s="123" ph="1">
        <v>5</v>
      </c>
      <c r="G2441" s="13" t="s" ph="1">
        <v>4758</v>
      </c>
      <c r="H2441" s="13" t="s" ph="1">
        <v>709</v>
      </c>
      <c r="I2441" s="13" t="s" ph="1">
        <v>451</v>
      </c>
      <c r="K2441" s="13" t="s" ph="1">
        <v>8610</v>
      </c>
      <c r="L2441" s="13" t="s" ph="1">
        <v>3628</v>
      </c>
      <c r="M2441" s="14" t="str" ph="1">
        <f>IFERROR(INDEX([1]!_born[生没年],
MATCH(I2441,[1]!_born[作],0)),"")</f>
        <v/>
      </c>
      <c r="N2441" s="14" t="str" ph="1">
        <f>IFERROR(INDEX([1]!_born[生没年],
MATCH(K2441,[1]!_born[作],0)),"")</f>
        <v/>
      </c>
      <c r="O2441" s="13" t="s" ph="1">
        <v>8623</v>
      </c>
      <c r="R2441" s="16" t="s" ph="1">
        <v>1887</v>
      </c>
      <c r="S2441" s="125" t="s" ph="1">
        <v>10244</v>
      </c>
      <c r="T2441" s="13" t="s" ph="1">
        <v>7870</v>
      </c>
      <c r="U2441" s="16" ph="1">
        <v>37037</v>
      </c>
      <c r="V2441" s="17" ph="1">
        <f t="shared" si="12"/>
        <v>714</v>
      </c>
      <c r="W2441" s="17" ph="1">
        <f t="shared" si="11"/>
        <v>714</v>
      </c>
      <c r="X2441" s="13" t="s" ph="1">
        <v>3802</v>
      </c>
    </row>
    <row r="2442" spans="3:24" ht="22.5" customHeight="1" ph="1" x14ac:dyDescent="0.35">
      <c r="C2442" s="13" t="s" ph="1">
        <v>7591</v>
      </c>
      <c r="D2442" s="123" ph="1">
        <v>4</v>
      </c>
      <c r="E2442" s="123" ph="1">
        <v>5</v>
      </c>
      <c r="G2442" s="13" t="s" ph="1">
        <v>4758</v>
      </c>
      <c r="H2442" s="13" t="s" ph="1">
        <v>709</v>
      </c>
      <c r="I2442" s="13" t="s" ph="1">
        <v>452</v>
      </c>
      <c r="K2442" s="13" t="s" ph="1">
        <v>8610</v>
      </c>
      <c r="L2442" s="13" t="s" ph="1">
        <v>3628</v>
      </c>
      <c r="M2442" s="14" t="str" ph="1">
        <f>IFERROR(INDEX([1]!_born[生没年],
MATCH(I2442,[1]!_born[作],0)),"")</f>
        <v/>
      </c>
      <c r="N2442" s="14" t="str" ph="1">
        <f>IFERROR(INDEX([1]!_born[生没年],
MATCH(K2442,[1]!_born[作],0)),"")</f>
        <v/>
      </c>
      <c r="O2442" s="13" t="s" ph="1">
        <v>8624</v>
      </c>
      <c r="R2442" s="16" t="s" ph="1">
        <v>1887</v>
      </c>
      <c r="S2442" s="125" t="s" ph="1">
        <v>10244</v>
      </c>
      <c r="T2442" s="13" t="s" ph="1">
        <v>7870</v>
      </c>
      <c r="U2442" s="16" ph="1">
        <v>37037</v>
      </c>
      <c r="V2442" s="17" ph="1">
        <f t="shared" si="12"/>
        <v>714</v>
      </c>
      <c r="W2442" s="17" ph="1">
        <f t="shared" si="11"/>
        <v>714</v>
      </c>
      <c r="X2442" s="13" t="s" ph="1">
        <v>3802</v>
      </c>
    </row>
    <row r="2443" spans="3:24" ht="22.5" customHeight="1" ph="1" x14ac:dyDescent="0.35">
      <c r="C2443" s="13" t="s" ph="1">
        <v>7591</v>
      </c>
      <c r="D2443" s="123" ph="1">
        <v>4</v>
      </c>
      <c r="E2443" s="123" ph="1">
        <v>5</v>
      </c>
      <c r="G2443" s="13" t="s" ph="1">
        <v>4758</v>
      </c>
      <c r="H2443" s="13" t="s" ph="1">
        <v>709</v>
      </c>
      <c r="I2443" s="13" t="s" ph="1">
        <v>453</v>
      </c>
      <c r="K2443" s="13" t="s" ph="1">
        <v>8610</v>
      </c>
      <c r="L2443" s="13" t="s" ph="1">
        <v>3628</v>
      </c>
      <c r="M2443" s="14" t="str" ph="1">
        <f>IFERROR(INDEX([1]!_born[生没年],
MATCH(I2443,[1]!_born[作],0)),"")</f>
        <v/>
      </c>
      <c r="N2443" s="14" t="str" ph="1">
        <f>IFERROR(INDEX([1]!_born[生没年],
MATCH(K2443,[1]!_born[作],0)),"")</f>
        <v/>
      </c>
      <c r="O2443" s="13" t="s" ph="1">
        <v>8625</v>
      </c>
      <c r="R2443" s="16" t="s" ph="1">
        <v>1887</v>
      </c>
      <c r="S2443" s="125" t="s" ph="1">
        <v>10244</v>
      </c>
      <c r="T2443" s="13" t="s" ph="1">
        <v>7870</v>
      </c>
      <c r="U2443" s="16" ph="1">
        <v>37037</v>
      </c>
      <c r="V2443" s="17" ph="1">
        <f t="shared" si="12"/>
        <v>714</v>
      </c>
      <c r="W2443" s="17" ph="1">
        <f t="shared" si="11"/>
        <v>714</v>
      </c>
      <c r="X2443" s="13" t="s" ph="1">
        <v>3802</v>
      </c>
    </row>
    <row r="2444" spans="3:24" ht="22.5" customHeight="1" ph="1" x14ac:dyDescent="0.35">
      <c r="C2444" s="13" t="s" ph="1">
        <v>7591</v>
      </c>
      <c r="D2444" s="123" ph="1">
        <v>4</v>
      </c>
      <c r="E2444" s="123" ph="1">
        <v>5</v>
      </c>
      <c r="G2444" s="13" t="s" ph="1">
        <v>4758</v>
      </c>
      <c r="H2444" s="13" t="s" ph="1">
        <v>709</v>
      </c>
      <c r="I2444" s="13" t="s" ph="1">
        <v>454</v>
      </c>
      <c r="K2444" s="13" t="s" ph="1">
        <v>8610</v>
      </c>
      <c r="L2444" s="13" t="s" ph="1">
        <v>3628</v>
      </c>
      <c r="M2444" s="14" t="str" ph="1">
        <f>IFERROR(INDEX([1]!_born[生没年],
MATCH(I2444,[1]!_born[作],0)),"")</f>
        <v/>
      </c>
      <c r="N2444" s="14" t="str" ph="1">
        <f>IFERROR(INDEX([1]!_born[生没年],
MATCH(K2444,[1]!_born[作],0)),"")</f>
        <v/>
      </c>
      <c r="O2444" s="13" t="s" ph="1">
        <v>8626</v>
      </c>
      <c r="R2444" s="16" t="s" ph="1">
        <v>1887</v>
      </c>
      <c r="S2444" s="125" t="s" ph="1">
        <v>10244</v>
      </c>
      <c r="T2444" s="13" t="s" ph="1">
        <v>7870</v>
      </c>
      <c r="U2444" s="16" ph="1">
        <v>37037</v>
      </c>
      <c r="V2444" s="17" ph="1">
        <f t="shared" si="12"/>
        <v>714</v>
      </c>
      <c r="W2444" s="17" ph="1">
        <f t="shared" si="11"/>
        <v>714</v>
      </c>
      <c r="X2444" s="13" t="s" ph="1">
        <v>3802</v>
      </c>
    </row>
    <row r="2445" spans="3:24" ht="22.5" customHeight="1" ph="1" x14ac:dyDescent="0.35">
      <c r="C2445" s="13" t="s" ph="1">
        <v>7591</v>
      </c>
      <c r="D2445" s="123" ph="1">
        <v>4</v>
      </c>
      <c r="E2445" s="123" ph="1">
        <v>5</v>
      </c>
      <c r="G2445" s="13" t="s" ph="1">
        <v>4758</v>
      </c>
      <c r="H2445" s="13" t="s" ph="1">
        <v>709</v>
      </c>
      <c r="I2445" s="13" t="s" ph="1">
        <v>408</v>
      </c>
      <c r="K2445" s="13" t="s" ph="1">
        <v>8610</v>
      </c>
      <c r="L2445" s="13" t="s" ph="1">
        <v>3628</v>
      </c>
      <c r="M2445" s="14" t="str" ph="1">
        <f>IFERROR(INDEX([1]!_born[生没年],
MATCH(I2445,[1]!_born[作],0)),"")</f>
        <v/>
      </c>
      <c r="N2445" s="14" t="str" ph="1">
        <f>IFERROR(INDEX([1]!_born[生没年],
MATCH(K2445,[1]!_born[作],0)),"")</f>
        <v/>
      </c>
      <c r="O2445" s="13" t="s" ph="1">
        <v>8627</v>
      </c>
      <c r="R2445" s="16" t="s" ph="1">
        <v>1887</v>
      </c>
      <c r="S2445" s="125" t="s" ph="1">
        <v>10244</v>
      </c>
      <c r="T2445" s="13" t="s" ph="1">
        <v>7870</v>
      </c>
      <c r="U2445" s="16" ph="1">
        <v>37037</v>
      </c>
      <c r="V2445" s="17" ph="1">
        <f t="shared" si="12"/>
        <v>714</v>
      </c>
      <c r="W2445" s="17" ph="1">
        <f t="shared" si="11"/>
        <v>714</v>
      </c>
      <c r="X2445" s="13" t="s" ph="1">
        <v>3802</v>
      </c>
    </row>
    <row r="2446" spans="3:24" ht="22.5" customHeight="1" ph="1" x14ac:dyDescent="0.35">
      <c r="C2446" s="13" t="s" ph="1">
        <v>7591</v>
      </c>
      <c r="D2446" s="123" ph="1">
        <v>4</v>
      </c>
      <c r="E2446" s="123" ph="1">
        <v>5</v>
      </c>
      <c r="G2446" s="13" t="s" ph="1">
        <v>4758</v>
      </c>
      <c r="H2446" s="13" t="s" ph="1">
        <v>709</v>
      </c>
      <c r="I2446" s="13" t="s" ph="1">
        <v>578</v>
      </c>
      <c r="K2446" s="13" t="s" ph="1">
        <v>8610</v>
      </c>
      <c r="L2446" s="13" t="s" ph="1">
        <v>3628</v>
      </c>
      <c r="M2446" s="14" t="str" ph="1">
        <f>IFERROR(INDEX([1]!_born[生没年],
MATCH(I2446,[1]!_born[作],0)),"")</f>
        <v/>
      </c>
      <c r="N2446" s="14" t="str" ph="1">
        <f>IFERROR(INDEX([1]!_born[生没年],
MATCH(K2446,[1]!_born[作],0)),"")</f>
        <v/>
      </c>
      <c r="O2446" s="13" t="s" ph="1">
        <v>8628</v>
      </c>
      <c r="R2446" s="16" t="s" ph="1">
        <v>1887</v>
      </c>
      <c r="S2446" s="125" t="s" ph="1">
        <v>10244</v>
      </c>
      <c r="T2446" s="13" t="s" ph="1">
        <v>7870</v>
      </c>
      <c r="U2446" s="16" ph="1">
        <v>37037</v>
      </c>
      <c r="V2446" s="17" ph="1">
        <f t="shared" si="12"/>
        <v>714</v>
      </c>
      <c r="W2446" s="17" ph="1">
        <f t="shared" si="11"/>
        <v>714</v>
      </c>
      <c r="X2446" s="13" t="s" ph="1">
        <v>3802</v>
      </c>
    </row>
    <row r="2447" spans="3:24" ht="22.5" customHeight="1" ph="1" x14ac:dyDescent="0.35">
      <c r="C2447" s="13" t="s" ph="1">
        <v>7591</v>
      </c>
      <c r="D2447" s="123" ph="1">
        <v>4</v>
      </c>
      <c r="E2447" s="123" ph="1">
        <v>5</v>
      </c>
      <c r="G2447" s="13" t="s" ph="1">
        <v>4758</v>
      </c>
      <c r="H2447" s="13" t="s" ph="1">
        <v>709</v>
      </c>
      <c r="I2447" s="13" t="s" ph="1">
        <v>409</v>
      </c>
      <c r="K2447" s="13" t="s" ph="1">
        <v>8610</v>
      </c>
      <c r="L2447" s="13" t="s" ph="1">
        <v>3628</v>
      </c>
      <c r="M2447" s="14" t="str" ph="1">
        <f>IFERROR(INDEX([1]!_born[生没年],
MATCH(I2447,[1]!_born[作],0)),"")</f>
        <v/>
      </c>
      <c r="N2447" s="14" t="str" ph="1">
        <f>IFERROR(INDEX([1]!_born[生没年],
MATCH(K2447,[1]!_born[作],0)),"")</f>
        <v/>
      </c>
      <c r="O2447" s="13" t="s" ph="1">
        <v>8629</v>
      </c>
      <c r="R2447" s="16" t="s" ph="1">
        <v>1887</v>
      </c>
      <c r="S2447" s="125" t="s" ph="1">
        <v>10244</v>
      </c>
      <c r="T2447" s="13" t="s" ph="1">
        <v>7870</v>
      </c>
      <c r="U2447" s="16" ph="1">
        <v>37037</v>
      </c>
      <c r="V2447" s="17" ph="1">
        <f t="shared" si="12"/>
        <v>714</v>
      </c>
      <c r="W2447" s="17" ph="1">
        <f t="shared" si="11"/>
        <v>714</v>
      </c>
      <c r="X2447" s="13" t="s" ph="1">
        <v>3802</v>
      </c>
    </row>
    <row r="2448" spans="3:24" ht="22.5" customHeight="1" ph="1" x14ac:dyDescent="0.35">
      <c r="C2448" s="13" t="s" ph="1">
        <v>7591</v>
      </c>
      <c r="D2448" s="123" ph="1">
        <v>4</v>
      </c>
      <c r="E2448" s="123" ph="1">
        <v>5</v>
      </c>
      <c r="G2448" s="13" t="s" ph="1">
        <v>4758</v>
      </c>
      <c r="H2448" s="13" t="s" ph="1">
        <v>709</v>
      </c>
      <c r="I2448" s="13" t="s" ph="1">
        <v>410</v>
      </c>
      <c r="K2448" s="13" t="s" ph="1">
        <v>8610</v>
      </c>
      <c r="L2448" s="13" t="s" ph="1">
        <v>3628</v>
      </c>
      <c r="M2448" s="14" t="str" ph="1">
        <f>IFERROR(INDEX([1]!_born[生没年],
MATCH(I2448,[1]!_born[作],0)),"")</f>
        <v/>
      </c>
      <c r="N2448" s="14" t="str" ph="1">
        <f>IFERROR(INDEX([1]!_born[生没年],
MATCH(K2448,[1]!_born[作],0)),"")</f>
        <v/>
      </c>
      <c r="O2448" s="13" t="s" ph="1">
        <v>8630</v>
      </c>
      <c r="R2448" s="16" t="s" ph="1">
        <v>1887</v>
      </c>
      <c r="S2448" s="125" t="s" ph="1">
        <v>10244</v>
      </c>
      <c r="T2448" s="13" t="s" ph="1">
        <v>7870</v>
      </c>
      <c r="U2448" s="16" ph="1">
        <v>37037</v>
      </c>
      <c r="V2448" s="17" ph="1">
        <f t="shared" si="12"/>
        <v>714</v>
      </c>
      <c r="W2448" s="17" ph="1">
        <f t="shared" si="11"/>
        <v>714</v>
      </c>
      <c r="X2448" s="13" t="s" ph="1">
        <v>3802</v>
      </c>
    </row>
    <row r="2449" spans="3:25" ht="22.5" customHeight="1" ph="1" x14ac:dyDescent="0.35">
      <c r="C2449" s="13" t="s" ph="1">
        <v>7591</v>
      </c>
      <c r="D2449" s="123" ph="1">
        <v>4</v>
      </c>
      <c r="E2449" s="123" ph="1">
        <v>5</v>
      </c>
      <c r="G2449" s="13" t="s" ph="1">
        <v>4758</v>
      </c>
      <c r="H2449" s="13" t="s" ph="1">
        <v>709</v>
      </c>
      <c r="I2449" s="13" t="s" ph="1">
        <v>411</v>
      </c>
      <c r="K2449" s="13" t="s" ph="1">
        <v>8610</v>
      </c>
      <c r="L2449" s="13" t="s" ph="1">
        <v>3628</v>
      </c>
      <c r="M2449" s="14" t="str" ph="1">
        <f>IFERROR(INDEX([1]!_born[生没年],
MATCH(I2449,[1]!_born[作],0)),"")</f>
        <v/>
      </c>
      <c r="N2449" s="14" t="str" ph="1">
        <f>IFERROR(INDEX([1]!_born[生没年],
MATCH(K2449,[1]!_born[作],0)),"")</f>
        <v/>
      </c>
      <c r="O2449" s="13" t="s" ph="1">
        <v>8631</v>
      </c>
      <c r="R2449" s="16" t="s" ph="1">
        <v>1887</v>
      </c>
      <c r="S2449" s="125" t="s" ph="1">
        <v>10244</v>
      </c>
      <c r="T2449" s="13" t="s" ph="1">
        <v>7870</v>
      </c>
      <c r="U2449" s="16" ph="1">
        <v>37037</v>
      </c>
      <c r="V2449" s="17" ph="1">
        <f t="shared" si="12"/>
        <v>714</v>
      </c>
      <c r="W2449" s="17" ph="1">
        <f t="shared" si="11"/>
        <v>714</v>
      </c>
      <c r="X2449" s="13" t="s" ph="1">
        <v>3802</v>
      </c>
    </row>
    <row r="2450" spans="3:25" ht="22.5" customHeight="1" ph="1" x14ac:dyDescent="0.35">
      <c r="C2450" s="13" t="s" ph="1">
        <v>7591</v>
      </c>
      <c r="D2450" s="123" ph="1">
        <v>5</v>
      </c>
      <c r="E2450" s="123" ph="1">
        <v>5</v>
      </c>
      <c r="G2450" s="13" t="s" ph="1">
        <v>4758</v>
      </c>
      <c r="H2450" s="13" t="s" ph="1">
        <v>709</v>
      </c>
      <c r="I2450" s="13" t="s" ph="1">
        <v>8632</v>
      </c>
      <c r="K2450" s="13" t="s" ph="1">
        <v>7640</v>
      </c>
      <c r="L2450" s="13" t="s" ph="1">
        <v>3628</v>
      </c>
      <c r="M2450" s="14" t="str" ph="1">
        <f>IFERROR(INDEX([1]!_born[生没年],
MATCH(I2450,[1]!_born[作],0)),"")</f>
        <v/>
      </c>
      <c r="N2450" s="14" t="str" ph="1">
        <f>IFERROR(INDEX([1]!_born[生没年],
MATCH(K2450,[1]!_born[作],0)),"")</f>
        <v/>
      </c>
      <c r="O2450" s="13" t="s" ph="1">
        <v>8633</v>
      </c>
      <c r="R2450" s="16" t="s" ph="1">
        <v>1888</v>
      </c>
      <c r="S2450" s="125" t="s" ph="1">
        <v>10245</v>
      </c>
      <c r="T2450" s="13" t="s" ph="1">
        <v>7870</v>
      </c>
      <c r="U2450" s="16" ph="1">
        <v>37288</v>
      </c>
      <c r="V2450" s="17" ph="1">
        <f>600*1.05</f>
        <v>630</v>
      </c>
      <c r="W2450" s="17" ph="1">
        <f t="shared" ref="W2450:W2460" si="13">600*1.05</f>
        <v>630</v>
      </c>
    </row>
    <row r="2451" spans="3:25" ht="22.5" customHeight="1" ph="1" x14ac:dyDescent="0.35">
      <c r="C2451" s="13" t="s" ph="1">
        <v>7591</v>
      </c>
      <c r="D2451" s="123" ph="1">
        <v>5</v>
      </c>
      <c r="E2451" s="123" ph="1">
        <v>5</v>
      </c>
      <c r="G2451" s="13" t="s" ph="1">
        <v>4758</v>
      </c>
      <c r="H2451" s="13" t="s" ph="1">
        <v>709</v>
      </c>
      <c r="I2451" s="13" t="s" ph="1">
        <v>8634</v>
      </c>
      <c r="K2451" s="13" t="s" ph="1">
        <v>7640</v>
      </c>
      <c r="L2451" s="13" t="s" ph="1">
        <v>3628</v>
      </c>
      <c r="M2451" s="14" t="str" ph="1">
        <f>IFERROR(INDEX([1]!_born[生没年],
MATCH(I2451,[1]!_born[作],0)),"")</f>
        <v/>
      </c>
      <c r="N2451" s="14" t="str" ph="1">
        <f>IFERROR(INDEX([1]!_born[生没年],
MATCH(K2451,[1]!_born[作],0)),"")</f>
        <v/>
      </c>
      <c r="O2451" s="13" t="s" ph="1">
        <v>8635</v>
      </c>
      <c r="R2451" s="16" t="s" ph="1">
        <v>1888</v>
      </c>
      <c r="S2451" s="125" t="s" ph="1">
        <v>10245</v>
      </c>
      <c r="T2451" s="13" t="s" ph="1">
        <v>7870</v>
      </c>
      <c r="U2451" s="16" ph="1">
        <v>37288</v>
      </c>
      <c r="V2451" s="17" ph="1">
        <f t="shared" ref="V2451:V2460" si="14">600*1.05</f>
        <v>630</v>
      </c>
      <c r="W2451" s="17" ph="1">
        <f t="shared" si="13"/>
        <v>630</v>
      </c>
    </row>
    <row r="2452" spans="3:25" ht="22.5" customHeight="1" ph="1" x14ac:dyDescent="0.35">
      <c r="C2452" s="13" t="s" ph="1">
        <v>7591</v>
      </c>
      <c r="D2452" s="123" ph="1">
        <v>5</v>
      </c>
      <c r="E2452" s="123" ph="1">
        <v>5</v>
      </c>
      <c r="G2452" s="13" t="s" ph="1">
        <v>4758</v>
      </c>
      <c r="H2452" s="13" t="s" ph="1">
        <v>709</v>
      </c>
      <c r="I2452" s="13" t="s" ph="1">
        <v>8636</v>
      </c>
      <c r="K2452" s="13" t="s" ph="1">
        <v>7640</v>
      </c>
      <c r="L2452" s="13" t="s" ph="1">
        <v>3628</v>
      </c>
      <c r="M2452" s="14" t="str" ph="1">
        <f>IFERROR(INDEX([1]!_born[生没年],
MATCH(I2452,[1]!_born[作],0)),"")</f>
        <v/>
      </c>
      <c r="N2452" s="14" t="str" ph="1">
        <f>IFERROR(INDEX([1]!_born[生没年],
MATCH(K2452,[1]!_born[作],0)),"")</f>
        <v/>
      </c>
      <c r="O2452" s="13" t="s" ph="1">
        <v>8637</v>
      </c>
      <c r="R2452" s="16" t="s" ph="1">
        <v>1888</v>
      </c>
      <c r="S2452" s="125" t="s" ph="1">
        <v>10245</v>
      </c>
      <c r="T2452" s="13" t="s" ph="1">
        <v>7870</v>
      </c>
      <c r="U2452" s="16" ph="1">
        <v>37288</v>
      </c>
      <c r="V2452" s="17" ph="1">
        <f t="shared" si="14"/>
        <v>630</v>
      </c>
      <c r="W2452" s="17" ph="1">
        <f t="shared" si="13"/>
        <v>630</v>
      </c>
    </row>
    <row r="2453" spans="3:25" ht="22.5" customHeight="1" ph="1" x14ac:dyDescent="0.35">
      <c r="C2453" s="13" t="s" ph="1">
        <v>7591</v>
      </c>
      <c r="D2453" s="123" ph="1">
        <v>5</v>
      </c>
      <c r="E2453" s="123" ph="1">
        <v>5</v>
      </c>
      <c r="G2453" s="13" t="s" ph="1">
        <v>4758</v>
      </c>
      <c r="H2453" s="13" t="s" ph="1">
        <v>709</v>
      </c>
      <c r="I2453" s="13" t="s" ph="1">
        <v>528</v>
      </c>
      <c r="K2453" s="13" t="s" ph="1">
        <v>7640</v>
      </c>
      <c r="L2453" s="13" t="s" ph="1">
        <v>3628</v>
      </c>
      <c r="M2453" s="14" t="str" ph="1">
        <f>IFERROR(INDEX([1]!_born[生没年],
MATCH(I2453,[1]!_born[作],0)),"")</f>
        <v/>
      </c>
      <c r="N2453" s="14" t="str" ph="1">
        <f>IFERROR(INDEX([1]!_born[生没年],
MATCH(K2453,[1]!_born[作],0)),"")</f>
        <v/>
      </c>
      <c r="O2453" s="13" t="s" ph="1">
        <v>8638</v>
      </c>
      <c r="R2453" s="16" t="s" ph="1">
        <v>1888</v>
      </c>
      <c r="S2453" s="125" t="s" ph="1">
        <v>10245</v>
      </c>
      <c r="T2453" s="13" t="s" ph="1">
        <v>7870</v>
      </c>
      <c r="U2453" s="16" ph="1">
        <v>37288</v>
      </c>
      <c r="V2453" s="17" ph="1">
        <f t="shared" si="14"/>
        <v>630</v>
      </c>
      <c r="W2453" s="17" ph="1">
        <f t="shared" si="13"/>
        <v>630</v>
      </c>
    </row>
    <row r="2454" spans="3:25" ht="22.5" customHeight="1" ph="1" x14ac:dyDescent="0.35">
      <c r="C2454" s="13" t="s" ph="1">
        <v>7591</v>
      </c>
      <c r="D2454" s="123" ph="1">
        <v>5</v>
      </c>
      <c r="E2454" s="123" ph="1">
        <v>5</v>
      </c>
      <c r="G2454" s="13" t="s" ph="1">
        <v>4758</v>
      </c>
      <c r="H2454" s="13" t="s" ph="1">
        <v>709</v>
      </c>
      <c r="I2454" s="13" t="s" ph="1">
        <v>8640</v>
      </c>
      <c r="K2454" s="13" t="s" ph="1">
        <v>8411</v>
      </c>
      <c r="L2454" s="13" t="s" ph="1">
        <v>3628</v>
      </c>
      <c r="M2454" s="14" t="str" ph="1">
        <f>IFERROR(INDEX([1]!_born[生没年],
MATCH(I2454,[1]!_born[作],0)),"")</f>
        <v/>
      </c>
      <c r="N2454" s="14" t="str" ph="1">
        <f>IFERROR(INDEX([1]!_born[生没年],
MATCH(K2454,[1]!_born[作],0)),"")</f>
        <v/>
      </c>
      <c r="O2454" s="13" t="s" ph="1">
        <v>8641</v>
      </c>
      <c r="R2454" s="16" t="s" ph="1">
        <v>1888</v>
      </c>
      <c r="S2454" s="125" t="s" ph="1">
        <v>8639</v>
      </c>
      <c r="T2454" s="13" t="s" ph="1">
        <v>7870</v>
      </c>
      <c r="U2454" s="16" ph="1">
        <v>37288</v>
      </c>
      <c r="V2454" s="17" ph="1">
        <f t="shared" si="14"/>
        <v>630</v>
      </c>
      <c r="W2454" s="17" ph="1">
        <f t="shared" si="13"/>
        <v>630</v>
      </c>
    </row>
    <row r="2455" spans="3:25" ht="22.5" customHeight="1" ph="1" x14ac:dyDescent="0.35">
      <c r="C2455" s="13" t="s" ph="1">
        <v>7591</v>
      </c>
      <c r="D2455" s="123" ph="1">
        <v>5</v>
      </c>
      <c r="E2455" s="123" ph="1">
        <v>5</v>
      </c>
      <c r="G2455" s="13" t="s" ph="1">
        <v>4758</v>
      </c>
      <c r="H2455" s="13" t="s" ph="1">
        <v>709</v>
      </c>
      <c r="I2455" s="13" t="s" ph="1">
        <v>8642</v>
      </c>
      <c r="K2455" s="13" t="s" ph="1">
        <v>8411</v>
      </c>
      <c r="L2455" s="13" t="s" ph="1">
        <v>3628</v>
      </c>
      <c r="M2455" s="14" t="str" ph="1">
        <f>IFERROR(INDEX([1]!_born[生没年],
MATCH(I2455,[1]!_born[作],0)),"")</f>
        <v/>
      </c>
      <c r="N2455" s="14" t="str" ph="1">
        <f>IFERROR(INDEX([1]!_born[生没年],
MATCH(K2455,[1]!_born[作],0)),"")</f>
        <v/>
      </c>
      <c r="O2455" s="13" t="s" ph="1">
        <v>8643</v>
      </c>
      <c r="R2455" s="16" t="s" ph="1">
        <v>1888</v>
      </c>
      <c r="S2455" s="125" t="s" ph="1">
        <v>8639</v>
      </c>
      <c r="T2455" s="13" t="s" ph="1">
        <v>7870</v>
      </c>
      <c r="U2455" s="16" ph="1">
        <v>37288</v>
      </c>
      <c r="V2455" s="17" ph="1">
        <f t="shared" si="14"/>
        <v>630</v>
      </c>
      <c r="W2455" s="17" ph="1">
        <f t="shared" si="13"/>
        <v>630</v>
      </c>
    </row>
    <row r="2456" spans="3:25" ht="22.5" customHeight="1" ph="1" x14ac:dyDescent="0.35">
      <c r="C2456" s="13" t="s" ph="1">
        <v>7591</v>
      </c>
      <c r="D2456" s="123" ph="1">
        <v>5</v>
      </c>
      <c r="E2456" s="123" ph="1">
        <v>5</v>
      </c>
      <c r="G2456" s="13" t="s" ph="1">
        <v>4758</v>
      </c>
      <c r="H2456" s="13" t="s" ph="1">
        <v>709</v>
      </c>
      <c r="I2456" s="13" t="s" ph="1">
        <v>613</v>
      </c>
      <c r="K2456" s="13" t="s" ph="1">
        <v>8411</v>
      </c>
      <c r="L2456" s="13" t="s" ph="1">
        <v>3628</v>
      </c>
      <c r="M2456" s="14" t="str" ph="1">
        <f>IFERROR(INDEX([1]!_born[生没年],
MATCH(I2456,[1]!_born[作],0)),"")</f>
        <v/>
      </c>
      <c r="N2456" s="14" t="str" ph="1">
        <f>IFERROR(INDEX([1]!_born[生没年],
MATCH(K2456,[1]!_born[作],0)),"")</f>
        <v/>
      </c>
      <c r="O2456" s="13" t="s" ph="1">
        <v>8644</v>
      </c>
      <c r="R2456" s="16" t="s" ph="1">
        <v>1888</v>
      </c>
      <c r="S2456" s="125" t="s" ph="1">
        <v>8639</v>
      </c>
      <c r="T2456" s="13" t="s" ph="1">
        <v>7870</v>
      </c>
      <c r="U2456" s="16" ph="1">
        <v>37288</v>
      </c>
      <c r="V2456" s="17" ph="1">
        <f t="shared" si="14"/>
        <v>630</v>
      </c>
      <c r="W2456" s="17" ph="1">
        <f t="shared" si="13"/>
        <v>630</v>
      </c>
    </row>
    <row r="2457" spans="3:25" ht="22.5" customHeight="1" ph="1" x14ac:dyDescent="0.35">
      <c r="C2457" s="13" t="s" ph="1">
        <v>7591</v>
      </c>
      <c r="D2457" s="123" ph="1">
        <v>5</v>
      </c>
      <c r="E2457" s="123" ph="1">
        <v>5</v>
      </c>
      <c r="G2457" s="13" t="s" ph="1">
        <v>4758</v>
      </c>
      <c r="H2457" s="13" t="s" ph="1">
        <v>709</v>
      </c>
      <c r="I2457" s="13" t="s" ph="1">
        <v>559</v>
      </c>
      <c r="K2457" s="13" t="s" ph="1">
        <v>8411</v>
      </c>
      <c r="L2457" s="13" t="s" ph="1">
        <v>3628</v>
      </c>
      <c r="M2457" s="14" t="str" ph="1">
        <f>IFERROR(INDEX([1]!_born[生没年],
MATCH(I2457,[1]!_born[作],0)),"")</f>
        <v/>
      </c>
      <c r="N2457" s="14" t="str" ph="1">
        <f>IFERROR(INDEX([1]!_born[生没年],
MATCH(K2457,[1]!_born[作],0)),"")</f>
        <v/>
      </c>
      <c r="O2457" s="13" t="s" ph="1">
        <v>8645</v>
      </c>
      <c r="R2457" s="16" t="s" ph="1">
        <v>1888</v>
      </c>
      <c r="S2457" s="125" t="s" ph="1">
        <v>8639</v>
      </c>
      <c r="T2457" s="13" t="s" ph="1">
        <v>7870</v>
      </c>
      <c r="U2457" s="16" ph="1">
        <v>37288</v>
      </c>
      <c r="V2457" s="17" ph="1">
        <f t="shared" si="14"/>
        <v>630</v>
      </c>
      <c r="W2457" s="17" ph="1">
        <f t="shared" si="13"/>
        <v>630</v>
      </c>
    </row>
    <row r="2458" spans="3:25" ht="22.5" customHeight="1" ph="1" x14ac:dyDescent="0.35">
      <c r="C2458" s="13" t="s" ph="1">
        <v>7591</v>
      </c>
      <c r="D2458" s="123" ph="1">
        <v>5</v>
      </c>
      <c r="E2458" s="123" ph="1">
        <v>5</v>
      </c>
      <c r="G2458" s="13" t="s" ph="1">
        <v>4758</v>
      </c>
      <c r="H2458" s="13" t="s" ph="1">
        <v>709</v>
      </c>
      <c r="I2458" s="13" t="s" ph="1">
        <v>560</v>
      </c>
      <c r="K2458" s="13" t="s" ph="1">
        <v>8411</v>
      </c>
      <c r="L2458" s="13" t="s" ph="1">
        <v>3628</v>
      </c>
      <c r="M2458" s="14" t="str" ph="1">
        <f>IFERROR(INDEX([1]!_born[生没年],
MATCH(I2458,[1]!_born[作],0)),"")</f>
        <v/>
      </c>
      <c r="N2458" s="14" t="str" ph="1">
        <f>IFERROR(INDEX([1]!_born[生没年],
MATCH(K2458,[1]!_born[作],0)),"")</f>
        <v/>
      </c>
      <c r="O2458" s="13" t="s" ph="1">
        <v>8646</v>
      </c>
      <c r="R2458" s="16" t="s" ph="1">
        <v>1888</v>
      </c>
      <c r="S2458" s="125" t="s" ph="1">
        <v>8639</v>
      </c>
      <c r="T2458" s="13" t="s" ph="1">
        <v>7870</v>
      </c>
      <c r="U2458" s="16" ph="1">
        <v>37288</v>
      </c>
      <c r="V2458" s="17" ph="1">
        <f t="shared" si="14"/>
        <v>630</v>
      </c>
      <c r="W2458" s="17" ph="1">
        <f t="shared" si="13"/>
        <v>630</v>
      </c>
    </row>
    <row r="2459" spans="3:25" ht="22.5" customHeight="1" ph="1" x14ac:dyDescent="0.35">
      <c r="C2459" s="13" t="s" ph="1">
        <v>7591</v>
      </c>
      <c r="D2459" s="123" ph="1">
        <v>5</v>
      </c>
      <c r="E2459" s="123" ph="1">
        <v>5</v>
      </c>
      <c r="G2459" s="13" t="s" ph="1">
        <v>4758</v>
      </c>
      <c r="H2459" s="13" t="s" ph="1">
        <v>709</v>
      </c>
      <c r="I2459" s="13" t="s" ph="1">
        <v>7640</v>
      </c>
      <c r="J2459" s="13" t="s" ph="1">
        <v>8647</v>
      </c>
      <c r="M2459" s="14" t="str" ph="1">
        <f>IFERROR(INDEX([1]!_born[生没年],
MATCH(I2459,[1]!_born[作],0)),"")</f>
        <v/>
      </c>
      <c r="N2459" s="14" t="str" ph="1">
        <f>IFERROR(INDEX([1]!_born[生没年],
MATCH(K2459,[1]!_born[作],0)),"")</f>
        <v/>
      </c>
      <c r="O2459" s="13" t="s" ph="1">
        <v>8647</v>
      </c>
      <c r="R2459" s="16" t="s" ph="1">
        <v>1888</v>
      </c>
      <c r="S2459" s="125" t="s" ph="1">
        <v>8639</v>
      </c>
      <c r="T2459" s="13" t="s" ph="1">
        <v>7870</v>
      </c>
      <c r="U2459" s="16" ph="1">
        <v>37288</v>
      </c>
      <c r="V2459" s="17" ph="1">
        <f t="shared" si="14"/>
        <v>630</v>
      </c>
      <c r="W2459" s="17" ph="1">
        <f t="shared" si="13"/>
        <v>630</v>
      </c>
    </row>
    <row r="2460" spans="3:25" ht="22.5" customHeight="1" ph="1" x14ac:dyDescent="0.35">
      <c r="C2460" s="13" t="s" ph="1">
        <v>7591</v>
      </c>
      <c r="D2460" s="123" ph="1">
        <v>5</v>
      </c>
      <c r="E2460" s="123" ph="1">
        <v>5</v>
      </c>
      <c r="G2460" s="13" t="s" ph="1">
        <v>4758</v>
      </c>
      <c r="H2460" s="13" t="s" ph="1">
        <v>709</v>
      </c>
      <c r="I2460" s="13" t="s" ph="1">
        <v>8411</v>
      </c>
      <c r="J2460" s="13" t="s" ph="1">
        <v>8648</v>
      </c>
      <c r="M2460" s="14" t="str" ph="1">
        <f>IFERROR(INDEX([1]!_born[生没年],
MATCH(I2460,[1]!_born[作],0)),"")</f>
        <v/>
      </c>
      <c r="N2460" s="14" t="str" ph="1">
        <f>IFERROR(INDEX([1]!_born[生没年],
MATCH(K2460,[1]!_born[作],0)),"")</f>
        <v/>
      </c>
      <c r="O2460" s="13" t="s" ph="1">
        <v>8648</v>
      </c>
      <c r="R2460" s="16" t="s" ph="1">
        <v>1888</v>
      </c>
      <c r="S2460" s="125" t="s" ph="1">
        <v>8639</v>
      </c>
      <c r="T2460" s="13" t="s" ph="1">
        <v>7870</v>
      </c>
      <c r="U2460" s="16" ph="1">
        <v>37288</v>
      </c>
      <c r="V2460" s="17" ph="1">
        <f t="shared" si="14"/>
        <v>630</v>
      </c>
      <c r="W2460" s="17" ph="1">
        <f t="shared" si="13"/>
        <v>630</v>
      </c>
    </row>
    <row r="2461" spans="3:25" ht="22.5" customHeight="1" ph="1" x14ac:dyDescent="0.35">
      <c r="C2461" s="13" t="s" ph="1">
        <v>7591</v>
      </c>
      <c r="D2461" s="123" ph="1">
        <v>1</v>
      </c>
      <c r="E2461" s="123" ph="1">
        <v>2</v>
      </c>
      <c r="G2461" s="13" t="s" ph="1">
        <v>4758</v>
      </c>
      <c r="H2461" s="13" t="s" ph="1">
        <v>709</v>
      </c>
      <c r="I2461" s="13" t="s" ph="1">
        <v>546</v>
      </c>
      <c r="K2461" s="13" t="s" ph="1">
        <v>8112</v>
      </c>
      <c r="L2461" s="13" t="s" ph="1">
        <v>3628</v>
      </c>
      <c r="M2461" s="14" t="str" ph="1">
        <f>IFERROR(INDEX([1]!_born[生没年],
MATCH(I2461,[1]!_born[作],0)),"")</f>
        <v/>
      </c>
      <c r="N2461" s="14" t="str" ph="1">
        <f>IFERROR(INDEX([1]!_born[生没年],
MATCH(K2461,[1]!_born[作],0)),"")</f>
        <v/>
      </c>
      <c r="O2461" s="13" t="s" ph="1">
        <v>8649</v>
      </c>
      <c r="R2461" s="16" t="s" ph="1">
        <v>1889</v>
      </c>
      <c r="S2461" s="125" t="s" ph="1">
        <v>10246</v>
      </c>
      <c r="T2461" s="13" t="s" ph="1">
        <v>7870</v>
      </c>
      <c r="U2461" s="16" ph="1">
        <v>37193</v>
      </c>
      <c r="V2461" s="17" ph="1">
        <f>620*1.05</f>
        <v>651</v>
      </c>
      <c r="W2461" s="17" ph="1">
        <f t="shared" ref="W2461:W2485" si="15">620*1.05</f>
        <v>651</v>
      </c>
      <c r="X2461" s="13" t="s" ph="1">
        <v>592</v>
      </c>
      <c r="Y2461" s="13" t="s" ph="1">
        <v>8650</v>
      </c>
    </row>
    <row r="2462" spans="3:25" ht="22.5" customHeight="1" ph="1" x14ac:dyDescent="0.35">
      <c r="C2462" s="13" t="s" ph="1">
        <v>7591</v>
      </c>
      <c r="D2462" s="123" ph="1">
        <v>1</v>
      </c>
      <c r="E2462" s="123" ph="1">
        <v>2</v>
      </c>
      <c r="G2462" s="13" t="s" ph="1">
        <v>4758</v>
      </c>
      <c r="H2462" s="13" t="s" ph="1">
        <v>709</v>
      </c>
      <c r="I2462" s="13" t="s" ph="1">
        <v>547</v>
      </c>
      <c r="K2462" s="13" t="s" ph="1">
        <v>8112</v>
      </c>
      <c r="L2462" s="13" t="s" ph="1">
        <v>3628</v>
      </c>
      <c r="M2462" s="14" t="str" ph="1">
        <f>IFERROR(INDEX([1]!_born[生没年],
MATCH(I2462,[1]!_born[作],0)),"")</f>
        <v/>
      </c>
      <c r="N2462" s="14" t="str" ph="1">
        <f>IFERROR(INDEX([1]!_born[生没年],
MATCH(K2462,[1]!_born[作],0)),"")</f>
        <v/>
      </c>
      <c r="O2462" s="13" t="s" ph="1">
        <v>8651</v>
      </c>
      <c r="R2462" s="16" t="s" ph="1">
        <v>1889</v>
      </c>
      <c r="S2462" s="125" t="s" ph="1">
        <v>10246</v>
      </c>
      <c r="T2462" s="13" t="s" ph="1">
        <v>7870</v>
      </c>
      <c r="U2462" s="16" ph="1">
        <v>37193</v>
      </c>
      <c r="V2462" s="17" ph="1">
        <f t="shared" ref="V2462:V2485" si="16">620*1.05</f>
        <v>651</v>
      </c>
      <c r="W2462" s="17" ph="1">
        <f t="shared" si="15"/>
        <v>651</v>
      </c>
      <c r="X2462" s="13" t="s" ph="1">
        <v>592</v>
      </c>
    </row>
    <row r="2463" spans="3:25" ht="22.5" customHeight="1" ph="1" x14ac:dyDescent="0.35">
      <c r="C2463" s="13" t="s" ph="1">
        <v>7591</v>
      </c>
      <c r="D2463" s="123" ph="1">
        <v>1</v>
      </c>
      <c r="E2463" s="123" ph="1">
        <v>2</v>
      </c>
      <c r="G2463" s="13" t="s" ph="1">
        <v>4758</v>
      </c>
      <c r="H2463" s="13" t="s" ph="1">
        <v>709</v>
      </c>
      <c r="I2463" s="13" t="s" ph="1">
        <v>548</v>
      </c>
      <c r="K2463" s="13" t="s" ph="1">
        <v>8112</v>
      </c>
      <c r="L2463" s="13" t="s" ph="1">
        <v>3628</v>
      </c>
      <c r="M2463" s="14" t="str" ph="1">
        <f>IFERROR(INDEX([1]!_born[生没年],
MATCH(I2463,[1]!_born[作],0)),"")</f>
        <v/>
      </c>
      <c r="N2463" s="14" t="str" ph="1">
        <f>IFERROR(INDEX([1]!_born[生没年],
MATCH(K2463,[1]!_born[作],0)),"")</f>
        <v/>
      </c>
      <c r="O2463" s="13" t="s" ph="1">
        <v>8652</v>
      </c>
      <c r="R2463" s="16" t="s" ph="1">
        <v>1889</v>
      </c>
      <c r="S2463" s="125" t="s" ph="1">
        <v>10246</v>
      </c>
      <c r="T2463" s="13" t="s" ph="1">
        <v>7870</v>
      </c>
      <c r="U2463" s="16" ph="1">
        <v>37193</v>
      </c>
      <c r="V2463" s="17" ph="1">
        <f t="shared" si="16"/>
        <v>651</v>
      </c>
      <c r="W2463" s="17" ph="1">
        <f t="shared" si="15"/>
        <v>651</v>
      </c>
      <c r="X2463" s="13" t="s" ph="1">
        <v>592</v>
      </c>
    </row>
    <row r="2464" spans="3:25" ht="22.5" customHeight="1" ph="1" x14ac:dyDescent="0.35">
      <c r="C2464" s="13" t="s" ph="1">
        <v>7591</v>
      </c>
      <c r="D2464" s="123" ph="1">
        <v>1</v>
      </c>
      <c r="E2464" s="123" ph="1">
        <v>2</v>
      </c>
      <c r="G2464" s="13" t="s" ph="1">
        <v>4758</v>
      </c>
      <c r="H2464" s="13" t="s" ph="1">
        <v>709</v>
      </c>
      <c r="I2464" s="13" t="s" ph="1">
        <v>549</v>
      </c>
      <c r="K2464" s="13" t="s" ph="1">
        <v>8112</v>
      </c>
      <c r="L2464" s="13" t="s" ph="1">
        <v>3628</v>
      </c>
      <c r="M2464" s="14" t="str" ph="1">
        <f>IFERROR(INDEX([1]!_born[生没年],
MATCH(I2464,[1]!_born[作],0)),"")</f>
        <v/>
      </c>
      <c r="N2464" s="14" t="str" ph="1">
        <f>IFERROR(INDEX([1]!_born[生没年],
MATCH(K2464,[1]!_born[作],0)),"")</f>
        <v/>
      </c>
      <c r="O2464" s="13" t="s" ph="1">
        <v>8653</v>
      </c>
      <c r="R2464" s="16" t="s" ph="1">
        <v>1889</v>
      </c>
      <c r="S2464" s="125" t="s" ph="1">
        <v>10246</v>
      </c>
      <c r="T2464" s="13" t="s" ph="1">
        <v>7870</v>
      </c>
      <c r="U2464" s="16" ph="1">
        <v>37193</v>
      </c>
      <c r="V2464" s="17" ph="1">
        <f t="shared" si="16"/>
        <v>651</v>
      </c>
      <c r="W2464" s="17" ph="1">
        <f t="shared" si="15"/>
        <v>651</v>
      </c>
      <c r="X2464" s="13" t="s" ph="1">
        <v>592</v>
      </c>
    </row>
    <row r="2465" spans="3:24" ht="22.5" customHeight="1" ph="1" x14ac:dyDescent="0.35">
      <c r="C2465" s="13" t="s" ph="1">
        <v>7591</v>
      </c>
      <c r="D2465" s="123" ph="1">
        <v>1</v>
      </c>
      <c r="E2465" s="123" ph="1">
        <v>2</v>
      </c>
      <c r="G2465" s="13" t="s" ph="1">
        <v>4758</v>
      </c>
      <c r="H2465" s="13" t="s" ph="1">
        <v>709</v>
      </c>
      <c r="I2465" s="13" t="s" ph="1">
        <v>225</v>
      </c>
      <c r="K2465" s="13" t="s" ph="1">
        <v>8112</v>
      </c>
      <c r="L2465" s="13" t="s" ph="1">
        <v>3628</v>
      </c>
      <c r="M2465" s="14" t="str" ph="1">
        <f>IFERROR(INDEX([1]!_born[生没年],
MATCH(I2465,[1]!_born[作],0)),"")</f>
        <v/>
      </c>
      <c r="N2465" s="14" t="str" ph="1">
        <f>IFERROR(INDEX([1]!_born[生没年],
MATCH(K2465,[1]!_born[作],0)),"")</f>
        <v/>
      </c>
      <c r="O2465" s="13" t="s" ph="1">
        <v>8654</v>
      </c>
      <c r="R2465" s="16" t="s" ph="1">
        <v>1889</v>
      </c>
      <c r="S2465" s="125" t="s" ph="1">
        <v>10246</v>
      </c>
      <c r="T2465" s="13" t="s" ph="1">
        <v>7870</v>
      </c>
      <c r="U2465" s="16" ph="1">
        <v>37193</v>
      </c>
      <c r="V2465" s="17" ph="1">
        <f t="shared" si="16"/>
        <v>651</v>
      </c>
      <c r="W2465" s="17" ph="1">
        <f t="shared" si="15"/>
        <v>651</v>
      </c>
      <c r="X2465" s="13" t="s" ph="1">
        <v>592</v>
      </c>
    </row>
    <row r="2466" spans="3:24" ht="22.5" customHeight="1" ph="1" x14ac:dyDescent="0.35">
      <c r="C2466" s="13" t="s" ph="1">
        <v>7591</v>
      </c>
      <c r="D2466" s="123" ph="1">
        <v>1</v>
      </c>
      <c r="E2466" s="123" ph="1">
        <v>2</v>
      </c>
      <c r="G2466" s="13" t="s" ph="1">
        <v>4758</v>
      </c>
      <c r="H2466" s="13" t="s" ph="1">
        <v>709</v>
      </c>
      <c r="I2466" s="13" t="s" ph="1">
        <v>516</v>
      </c>
      <c r="K2466" s="13" t="s" ph="1">
        <v>8112</v>
      </c>
      <c r="L2466" s="13" t="s" ph="1">
        <v>3628</v>
      </c>
      <c r="M2466" s="14" t="str" ph="1">
        <f>IFERROR(INDEX([1]!_born[生没年],
MATCH(I2466,[1]!_born[作],0)),"")</f>
        <v/>
      </c>
      <c r="N2466" s="14" t="str" ph="1">
        <f>IFERROR(INDEX([1]!_born[生没年],
MATCH(K2466,[1]!_born[作],0)),"")</f>
        <v/>
      </c>
      <c r="O2466" s="13" t="s" ph="1">
        <v>8655</v>
      </c>
      <c r="R2466" s="16" t="s" ph="1">
        <v>1889</v>
      </c>
      <c r="S2466" s="125" t="s" ph="1">
        <v>10246</v>
      </c>
      <c r="T2466" s="13" t="s" ph="1">
        <v>7870</v>
      </c>
      <c r="U2466" s="16" ph="1">
        <v>37193</v>
      </c>
      <c r="V2466" s="17" ph="1">
        <f t="shared" si="16"/>
        <v>651</v>
      </c>
      <c r="W2466" s="17" ph="1">
        <f t="shared" si="15"/>
        <v>651</v>
      </c>
      <c r="X2466" s="13" t="s" ph="1">
        <v>592</v>
      </c>
    </row>
    <row r="2467" spans="3:24" ht="22.5" customHeight="1" ph="1" x14ac:dyDescent="0.35">
      <c r="C2467" s="13" t="s" ph="1">
        <v>7591</v>
      </c>
      <c r="D2467" s="123" ph="1">
        <v>1</v>
      </c>
      <c r="E2467" s="123" ph="1">
        <v>2</v>
      </c>
      <c r="G2467" s="13" t="s" ph="1">
        <v>4758</v>
      </c>
      <c r="H2467" s="13" t="s" ph="1">
        <v>709</v>
      </c>
      <c r="I2467" s="13" t="s" ph="1">
        <v>375</v>
      </c>
      <c r="K2467" s="13" t="s" ph="1">
        <v>8112</v>
      </c>
      <c r="L2467" s="13" t="s" ph="1">
        <v>3628</v>
      </c>
      <c r="M2467" s="14" t="str" ph="1">
        <f>IFERROR(INDEX([1]!_born[生没年],
MATCH(I2467,[1]!_born[作],0)),"")</f>
        <v/>
      </c>
      <c r="N2467" s="14" t="str" ph="1">
        <f>IFERROR(INDEX([1]!_born[生没年],
MATCH(K2467,[1]!_born[作],0)),"")</f>
        <v/>
      </c>
      <c r="O2467" s="13" t="s" ph="1">
        <v>8656</v>
      </c>
      <c r="R2467" s="16" t="s" ph="1">
        <v>1889</v>
      </c>
      <c r="S2467" s="125" t="s" ph="1">
        <v>10246</v>
      </c>
      <c r="T2467" s="13" t="s" ph="1">
        <v>7870</v>
      </c>
      <c r="U2467" s="16" ph="1">
        <v>37193</v>
      </c>
      <c r="V2467" s="17" ph="1">
        <f t="shared" si="16"/>
        <v>651</v>
      </c>
      <c r="W2467" s="17" ph="1">
        <f t="shared" si="15"/>
        <v>651</v>
      </c>
      <c r="X2467" s="13" t="s" ph="1">
        <v>592</v>
      </c>
    </row>
    <row r="2468" spans="3:24" ht="22.5" customHeight="1" ph="1" x14ac:dyDescent="0.35">
      <c r="C2468" s="13" t="s" ph="1">
        <v>7591</v>
      </c>
      <c r="D2468" s="123" ph="1">
        <v>1</v>
      </c>
      <c r="E2468" s="123" ph="1">
        <v>2</v>
      </c>
      <c r="G2468" s="13" t="s" ph="1">
        <v>4758</v>
      </c>
      <c r="H2468" s="13" t="s" ph="1">
        <v>709</v>
      </c>
      <c r="I2468" s="13" t="s" ph="1">
        <v>64</v>
      </c>
      <c r="K2468" s="13" t="s" ph="1">
        <v>8112</v>
      </c>
      <c r="L2468" s="13" t="s" ph="1">
        <v>3628</v>
      </c>
      <c r="M2468" s="14" t="str" ph="1">
        <f>IFERROR(INDEX([1]!_born[生没年],
MATCH(I2468,[1]!_born[作],0)),"")</f>
        <v/>
      </c>
      <c r="N2468" s="14" t="str" ph="1">
        <f>IFERROR(INDEX([1]!_born[生没年],
MATCH(K2468,[1]!_born[作],0)),"")</f>
        <v/>
      </c>
      <c r="O2468" s="13" t="s" ph="1">
        <v>8657</v>
      </c>
      <c r="R2468" s="16" t="s" ph="1">
        <v>1889</v>
      </c>
      <c r="S2468" s="125" t="s" ph="1">
        <v>10246</v>
      </c>
      <c r="T2468" s="13" t="s" ph="1">
        <v>7870</v>
      </c>
      <c r="U2468" s="16" ph="1">
        <v>37193</v>
      </c>
      <c r="V2468" s="17" ph="1">
        <f t="shared" si="16"/>
        <v>651</v>
      </c>
      <c r="W2468" s="17" ph="1">
        <f t="shared" si="15"/>
        <v>651</v>
      </c>
      <c r="X2468" s="13" t="s" ph="1">
        <v>592</v>
      </c>
    </row>
    <row r="2469" spans="3:24" ht="22.5" customHeight="1" ph="1" x14ac:dyDescent="0.35">
      <c r="C2469" s="13" t="s" ph="1">
        <v>7591</v>
      </c>
      <c r="D2469" s="123" ph="1">
        <v>1</v>
      </c>
      <c r="E2469" s="123" ph="1">
        <v>2</v>
      </c>
      <c r="G2469" s="13" t="s" ph="1">
        <v>4758</v>
      </c>
      <c r="H2469" s="13" t="s" ph="1">
        <v>709</v>
      </c>
      <c r="I2469" s="13" t="s" ph="1">
        <v>184</v>
      </c>
      <c r="K2469" s="13" t="s" ph="1">
        <v>8112</v>
      </c>
      <c r="L2469" s="13" t="s" ph="1">
        <v>3628</v>
      </c>
      <c r="M2469" s="14" t="str" ph="1">
        <f>IFERROR(INDEX([1]!_born[生没年],
MATCH(I2469,[1]!_born[作],0)),"")</f>
        <v/>
      </c>
      <c r="N2469" s="14" t="str" ph="1">
        <f>IFERROR(INDEX([1]!_born[生没年],
MATCH(K2469,[1]!_born[作],0)),"")</f>
        <v/>
      </c>
      <c r="O2469" s="13" t="s" ph="1">
        <v>8658</v>
      </c>
      <c r="R2469" s="16" t="s" ph="1">
        <v>1889</v>
      </c>
      <c r="S2469" s="125" t="s" ph="1">
        <v>10246</v>
      </c>
      <c r="T2469" s="13" t="s" ph="1">
        <v>7870</v>
      </c>
      <c r="U2469" s="16" ph="1">
        <v>37193</v>
      </c>
      <c r="V2469" s="17" ph="1">
        <f t="shared" si="16"/>
        <v>651</v>
      </c>
      <c r="W2469" s="17" ph="1">
        <f t="shared" si="15"/>
        <v>651</v>
      </c>
      <c r="X2469" s="13" t="s" ph="1">
        <v>592</v>
      </c>
    </row>
    <row r="2470" spans="3:24" ht="22.5" customHeight="1" ph="1" x14ac:dyDescent="0.35">
      <c r="C2470" s="13" t="s" ph="1">
        <v>7591</v>
      </c>
      <c r="D2470" s="123" ph="1">
        <v>1</v>
      </c>
      <c r="E2470" s="123" ph="1">
        <v>2</v>
      </c>
      <c r="G2470" s="13" t="s" ph="1">
        <v>4758</v>
      </c>
      <c r="H2470" s="13" t="s" ph="1">
        <v>709</v>
      </c>
      <c r="I2470" s="13" t="s" ph="1">
        <v>438</v>
      </c>
      <c r="K2470" s="13" t="s" ph="1">
        <v>8112</v>
      </c>
      <c r="L2470" s="13" t="s" ph="1">
        <v>3628</v>
      </c>
      <c r="M2470" s="14" t="str" ph="1">
        <f>IFERROR(INDEX([1]!_born[生没年],
MATCH(I2470,[1]!_born[作],0)),"")</f>
        <v/>
      </c>
      <c r="N2470" s="14" t="str" ph="1">
        <f>IFERROR(INDEX([1]!_born[生没年],
MATCH(K2470,[1]!_born[作],0)),"")</f>
        <v/>
      </c>
      <c r="O2470" s="13" t="s" ph="1">
        <v>8659</v>
      </c>
      <c r="R2470" s="16" t="s" ph="1">
        <v>1889</v>
      </c>
      <c r="S2470" s="125" t="s" ph="1">
        <v>10246</v>
      </c>
      <c r="T2470" s="13" t="s" ph="1">
        <v>7870</v>
      </c>
      <c r="U2470" s="16" ph="1">
        <v>37193</v>
      </c>
      <c r="V2470" s="17" ph="1">
        <f t="shared" si="16"/>
        <v>651</v>
      </c>
      <c r="W2470" s="17" ph="1">
        <f t="shared" si="15"/>
        <v>651</v>
      </c>
      <c r="X2470" s="13" t="s" ph="1">
        <v>592</v>
      </c>
    </row>
    <row r="2471" spans="3:24" ht="22.5" customHeight="1" ph="1" x14ac:dyDescent="0.35">
      <c r="C2471" s="13" t="s" ph="1">
        <v>7591</v>
      </c>
      <c r="D2471" s="123" ph="1">
        <v>1</v>
      </c>
      <c r="E2471" s="123" ph="1">
        <v>2</v>
      </c>
      <c r="G2471" s="13" t="s" ph="1">
        <v>4758</v>
      </c>
      <c r="H2471" s="13" t="s" ph="1">
        <v>709</v>
      </c>
      <c r="I2471" s="13" t="s" ph="1">
        <v>168</v>
      </c>
      <c r="K2471" s="13" t="s" ph="1">
        <v>8112</v>
      </c>
      <c r="L2471" s="13" t="s" ph="1">
        <v>3628</v>
      </c>
      <c r="M2471" s="14" t="str" ph="1">
        <f>IFERROR(INDEX([1]!_born[生没年],
MATCH(I2471,[1]!_born[作],0)),"")</f>
        <v/>
      </c>
      <c r="N2471" s="14" t="str" ph="1">
        <f>IFERROR(INDEX([1]!_born[生没年],
MATCH(K2471,[1]!_born[作],0)),"")</f>
        <v/>
      </c>
      <c r="O2471" s="13" t="s" ph="1">
        <v>8660</v>
      </c>
      <c r="R2471" s="16" t="s" ph="1">
        <v>1889</v>
      </c>
      <c r="S2471" s="125" t="s" ph="1">
        <v>10246</v>
      </c>
      <c r="T2471" s="13" t="s" ph="1">
        <v>7870</v>
      </c>
      <c r="U2471" s="16" ph="1">
        <v>37193</v>
      </c>
      <c r="V2471" s="17" ph="1">
        <f t="shared" si="16"/>
        <v>651</v>
      </c>
      <c r="W2471" s="17" ph="1">
        <f t="shared" si="15"/>
        <v>651</v>
      </c>
      <c r="X2471" s="13" t="s" ph="1">
        <v>592</v>
      </c>
    </row>
    <row r="2472" spans="3:24" ht="22.5" customHeight="1" ph="1" x14ac:dyDescent="0.35">
      <c r="C2472" s="13" t="s" ph="1">
        <v>7591</v>
      </c>
      <c r="D2472" s="123" ph="1">
        <v>1</v>
      </c>
      <c r="E2472" s="123" ph="1">
        <v>2</v>
      </c>
      <c r="G2472" s="13" t="s" ph="1">
        <v>4758</v>
      </c>
      <c r="H2472" s="13" t="s" ph="1">
        <v>709</v>
      </c>
      <c r="I2472" s="13" t="s" ph="1">
        <v>169</v>
      </c>
      <c r="K2472" s="13" t="s" ph="1">
        <v>8112</v>
      </c>
      <c r="L2472" s="13" t="s" ph="1">
        <v>3628</v>
      </c>
      <c r="M2472" s="14" t="str" ph="1">
        <f>IFERROR(INDEX([1]!_born[生没年],
MATCH(I2472,[1]!_born[作],0)),"")</f>
        <v/>
      </c>
      <c r="N2472" s="14" t="str" ph="1">
        <f>IFERROR(INDEX([1]!_born[生没年],
MATCH(K2472,[1]!_born[作],0)),"")</f>
        <v/>
      </c>
      <c r="O2472" s="13" t="s" ph="1">
        <v>8661</v>
      </c>
      <c r="R2472" s="16" t="s" ph="1">
        <v>1889</v>
      </c>
      <c r="S2472" s="125" t="s" ph="1">
        <v>10246</v>
      </c>
      <c r="T2472" s="13" t="s" ph="1">
        <v>7870</v>
      </c>
      <c r="U2472" s="16" ph="1">
        <v>37193</v>
      </c>
      <c r="V2472" s="17" ph="1">
        <f t="shared" si="16"/>
        <v>651</v>
      </c>
      <c r="W2472" s="17" ph="1">
        <f t="shared" si="15"/>
        <v>651</v>
      </c>
      <c r="X2472" s="13" t="s" ph="1">
        <v>592</v>
      </c>
    </row>
    <row r="2473" spans="3:24" ht="22.5" customHeight="1" ph="1" x14ac:dyDescent="0.35">
      <c r="C2473" s="13" t="s" ph="1">
        <v>7591</v>
      </c>
      <c r="D2473" s="123" ph="1">
        <v>2</v>
      </c>
      <c r="E2473" s="123" ph="1">
        <v>2</v>
      </c>
      <c r="G2473" s="13" t="s" ph="1">
        <v>4758</v>
      </c>
      <c r="H2473" s="13" t="s" ph="1">
        <v>709</v>
      </c>
      <c r="I2473" s="13" t="s" ph="1">
        <v>393</v>
      </c>
      <c r="K2473" s="13" t="s" ph="1">
        <v>8112</v>
      </c>
      <c r="L2473" s="13" t="s" ph="1">
        <v>3628</v>
      </c>
      <c r="M2473" s="14" t="str" ph="1">
        <f>IFERROR(INDEX([1]!_born[生没年],
MATCH(I2473,[1]!_born[作],0)),"")</f>
        <v/>
      </c>
      <c r="N2473" s="14" t="str" ph="1">
        <f>IFERROR(INDEX([1]!_born[生没年],
MATCH(K2473,[1]!_born[作],0)),"")</f>
        <v/>
      </c>
      <c r="O2473" s="13" t="s" ph="1">
        <v>8662</v>
      </c>
      <c r="R2473" s="16" t="s" ph="1">
        <v>1889</v>
      </c>
      <c r="S2473" s="125" t="s" ph="1">
        <v>10247</v>
      </c>
      <c r="T2473" s="13" t="s" ph="1">
        <v>7870</v>
      </c>
      <c r="U2473" s="16" ph="1">
        <v>37193</v>
      </c>
      <c r="V2473" s="17" ph="1">
        <f t="shared" si="16"/>
        <v>651</v>
      </c>
      <c r="W2473" s="17" ph="1">
        <f t="shared" si="15"/>
        <v>651</v>
      </c>
      <c r="X2473" s="13" t="s" ph="1">
        <v>592</v>
      </c>
    </row>
    <row r="2474" spans="3:24" ht="22.5" customHeight="1" ph="1" x14ac:dyDescent="0.35">
      <c r="C2474" s="13" t="s" ph="1">
        <v>7591</v>
      </c>
      <c r="D2474" s="123" ph="1">
        <v>2</v>
      </c>
      <c r="E2474" s="123" ph="1">
        <v>2</v>
      </c>
      <c r="G2474" s="13" t="s" ph="1">
        <v>4758</v>
      </c>
      <c r="H2474" s="13" t="s" ph="1">
        <v>709</v>
      </c>
      <c r="I2474" s="13" t="s" ph="1">
        <v>394</v>
      </c>
      <c r="K2474" s="13" t="s" ph="1">
        <v>8112</v>
      </c>
      <c r="L2474" s="13" t="s" ph="1">
        <v>3628</v>
      </c>
      <c r="M2474" s="14" t="str" ph="1">
        <f>IFERROR(INDEX([1]!_born[生没年],
MATCH(I2474,[1]!_born[作],0)),"")</f>
        <v/>
      </c>
      <c r="N2474" s="14" t="str" ph="1">
        <f>IFERROR(INDEX([1]!_born[生没年],
MATCH(K2474,[1]!_born[作],0)),"")</f>
        <v/>
      </c>
      <c r="O2474" s="13" t="s" ph="1">
        <v>8663</v>
      </c>
      <c r="R2474" s="16" t="s" ph="1">
        <v>1889</v>
      </c>
      <c r="S2474" s="125" t="s" ph="1">
        <v>10247</v>
      </c>
      <c r="T2474" s="13" t="s" ph="1">
        <v>7870</v>
      </c>
      <c r="U2474" s="16" ph="1">
        <v>37193</v>
      </c>
      <c r="V2474" s="17" ph="1">
        <f t="shared" si="16"/>
        <v>651</v>
      </c>
      <c r="W2474" s="17" ph="1">
        <f t="shared" si="15"/>
        <v>651</v>
      </c>
      <c r="X2474" s="13" t="s" ph="1">
        <v>592</v>
      </c>
    </row>
    <row r="2475" spans="3:24" ht="22.5" customHeight="1" ph="1" x14ac:dyDescent="0.35">
      <c r="C2475" s="13" t="s" ph="1">
        <v>7591</v>
      </c>
      <c r="D2475" s="123" ph="1">
        <v>2</v>
      </c>
      <c r="E2475" s="123" ph="1">
        <v>2</v>
      </c>
      <c r="G2475" s="13" t="s" ph="1">
        <v>4758</v>
      </c>
      <c r="H2475" s="13" t="s" ph="1">
        <v>709</v>
      </c>
      <c r="I2475" s="13" t="s" ph="1">
        <v>597</v>
      </c>
      <c r="K2475" s="13" t="s" ph="1">
        <v>8112</v>
      </c>
      <c r="L2475" s="13" t="s" ph="1">
        <v>3628</v>
      </c>
      <c r="M2475" s="14" t="str" ph="1">
        <f>IFERROR(INDEX([1]!_born[生没年],
MATCH(I2475,[1]!_born[作],0)),"")</f>
        <v/>
      </c>
      <c r="N2475" s="14" t="str" ph="1">
        <f>IFERROR(INDEX([1]!_born[生没年],
MATCH(K2475,[1]!_born[作],0)),"")</f>
        <v/>
      </c>
      <c r="O2475" s="13" t="s" ph="1">
        <v>8664</v>
      </c>
      <c r="R2475" s="16" t="s" ph="1">
        <v>1889</v>
      </c>
      <c r="S2475" s="125" t="s" ph="1">
        <v>10247</v>
      </c>
      <c r="T2475" s="13" t="s" ph="1">
        <v>7870</v>
      </c>
      <c r="U2475" s="16" ph="1">
        <v>37193</v>
      </c>
      <c r="V2475" s="17" ph="1">
        <f t="shared" si="16"/>
        <v>651</v>
      </c>
      <c r="W2475" s="17" ph="1">
        <f t="shared" si="15"/>
        <v>651</v>
      </c>
      <c r="X2475" s="13" t="s" ph="1">
        <v>592</v>
      </c>
    </row>
    <row r="2476" spans="3:24" ht="22.5" customHeight="1" ph="1" x14ac:dyDescent="0.35">
      <c r="C2476" s="13" t="s" ph="1">
        <v>7591</v>
      </c>
      <c r="D2476" s="123" ph="1">
        <v>2</v>
      </c>
      <c r="E2476" s="123" ph="1">
        <v>2</v>
      </c>
      <c r="G2476" s="13" t="s" ph="1">
        <v>4758</v>
      </c>
      <c r="H2476" s="13" t="s" ph="1">
        <v>709</v>
      </c>
      <c r="I2476" s="13" t="s" ph="1">
        <v>8665</v>
      </c>
      <c r="K2476" s="13" t="s" ph="1">
        <v>8112</v>
      </c>
      <c r="L2476" s="13" t="s" ph="1">
        <v>3628</v>
      </c>
      <c r="M2476" s="14" t="str" ph="1">
        <f>IFERROR(INDEX([1]!_born[生没年],
MATCH(I2476,[1]!_born[作],0)),"")</f>
        <v/>
      </c>
      <c r="N2476" s="14" t="str" ph="1">
        <f>IFERROR(INDEX([1]!_born[生没年],
MATCH(K2476,[1]!_born[作],0)),"")</f>
        <v/>
      </c>
      <c r="O2476" s="13" t="s" ph="1">
        <v>8666</v>
      </c>
      <c r="R2476" s="16" t="s" ph="1">
        <v>1889</v>
      </c>
      <c r="S2476" s="125" t="s" ph="1">
        <v>10247</v>
      </c>
      <c r="T2476" s="13" t="s" ph="1">
        <v>7870</v>
      </c>
      <c r="U2476" s="16" ph="1">
        <v>37193</v>
      </c>
      <c r="V2476" s="17" ph="1">
        <f t="shared" si="16"/>
        <v>651</v>
      </c>
      <c r="W2476" s="17" ph="1">
        <f t="shared" si="15"/>
        <v>651</v>
      </c>
      <c r="X2476" s="13" t="s" ph="1">
        <v>592</v>
      </c>
    </row>
    <row r="2477" spans="3:24" ht="22.5" customHeight="1" ph="1" x14ac:dyDescent="0.35">
      <c r="C2477" s="13" t="s" ph="1">
        <v>7591</v>
      </c>
      <c r="D2477" s="123" ph="1">
        <v>2</v>
      </c>
      <c r="E2477" s="123" ph="1">
        <v>2</v>
      </c>
      <c r="G2477" s="13" t="s" ph="1">
        <v>4758</v>
      </c>
      <c r="H2477" s="13" t="s" ph="1">
        <v>709</v>
      </c>
      <c r="I2477" s="13" t="s" ph="1">
        <v>598</v>
      </c>
      <c r="K2477" s="13" t="s" ph="1">
        <v>8112</v>
      </c>
      <c r="L2477" s="13" t="s" ph="1">
        <v>3628</v>
      </c>
      <c r="M2477" s="14" t="str" ph="1">
        <f>IFERROR(INDEX([1]!_born[生没年],
MATCH(I2477,[1]!_born[作],0)),"")</f>
        <v/>
      </c>
      <c r="N2477" s="14" t="str" ph="1">
        <f>IFERROR(INDEX([1]!_born[生没年],
MATCH(K2477,[1]!_born[作],0)),"")</f>
        <v/>
      </c>
      <c r="O2477" s="13" t="s" ph="1">
        <v>8667</v>
      </c>
      <c r="R2477" s="16" t="s" ph="1">
        <v>1889</v>
      </c>
      <c r="S2477" s="125" t="s" ph="1">
        <v>10247</v>
      </c>
      <c r="T2477" s="13" t="s" ph="1">
        <v>7870</v>
      </c>
      <c r="U2477" s="16" ph="1">
        <v>37193</v>
      </c>
      <c r="V2477" s="17" ph="1">
        <f t="shared" si="16"/>
        <v>651</v>
      </c>
      <c r="W2477" s="17" ph="1">
        <f t="shared" si="15"/>
        <v>651</v>
      </c>
      <c r="X2477" s="13" t="s" ph="1">
        <v>592</v>
      </c>
    </row>
    <row r="2478" spans="3:24" ht="22.5" customHeight="1" ph="1" x14ac:dyDescent="0.35">
      <c r="C2478" s="13" t="s" ph="1">
        <v>7591</v>
      </c>
      <c r="D2478" s="123" ph="1">
        <v>2</v>
      </c>
      <c r="E2478" s="123" ph="1">
        <v>2</v>
      </c>
      <c r="G2478" s="13" t="s" ph="1">
        <v>4758</v>
      </c>
      <c r="H2478" s="13" t="s" ph="1">
        <v>709</v>
      </c>
      <c r="I2478" s="13" t="s" ph="1">
        <v>489</v>
      </c>
      <c r="K2478" s="13" t="s" ph="1">
        <v>8112</v>
      </c>
      <c r="L2478" s="13" t="s" ph="1">
        <v>3628</v>
      </c>
      <c r="M2478" s="14" t="str" ph="1">
        <f>IFERROR(INDEX([1]!_born[生没年],
MATCH(I2478,[1]!_born[作],0)),"")</f>
        <v/>
      </c>
      <c r="N2478" s="14" t="str" ph="1">
        <f>IFERROR(INDEX([1]!_born[生没年],
MATCH(K2478,[1]!_born[作],0)),"")</f>
        <v/>
      </c>
      <c r="O2478" s="13" t="s" ph="1">
        <v>8668</v>
      </c>
      <c r="R2478" s="16" t="s" ph="1">
        <v>1889</v>
      </c>
      <c r="S2478" s="125" t="s" ph="1">
        <v>10247</v>
      </c>
      <c r="T2478" s="13" t="s" ph="1">
        <v>7870</v>
      </c>
      <c r="U2478" s="16" ph="1">
        <v>37193</v>
      </c>
      <c r="V2478" s="17" ph="1">
        <f t="shared" si="16"/>
        <v>651</v>
      </c>
      <c r="W2478" s="17" ph="1">
        <f t="shared" si="15"/>
        <v>651</v>
      </c>
      <c r="X2478" s="13" t="s" ph="1">
        <v>592</v>
      </c>
    </row>
    <row r="2479" spans="3:24" ht="22.5" customHeight="1" ph="1" x14ac:dyDescent="0.35">
      <c r="C2479" s="13" t="s" ph="1">
        <v>7591</v>
      </c>
      <c r="D2479" s="123" ph="1">
        <v>2</v>
      </c>
      <c r="E2479" s="123" ph="1">
        <v>2</v>
      </c>
      <c r="G2479" s="13" t="s" ph="1">
        <v>4758</v>
      </c>
      <c r="H2479" s="13" t="s" ph="1">
        <v>709</v>
      </c>
      <c r="I2479" s="13" t="s" ph="1">
        <v>490</v>
      </c>
      <c r="K2479" s="13" t="s" ph="1">
        <v>8112</v>
      </c>
      <c r="L2479" s="13" t="s" ph="1">
        <v>3628</v>
      </c>
      <c r="M2479" s="14" t="str" ph="1">
        <f>IFERROR(INDEX([1]!_born[生没年],
MATCH(I2479,[1]!_born[作],0)),"")</f>
        <v/>
      </c>
      <c r="N2479" s="14" t="str" ph="1">
        <f>IFERROR(INDEX([1]!_born[生没年],
MATCH(K2479,[1]!_born[作],0)),"")</f>
        <v/>
      </c>
      <c r="O2479" s="13" t="s" ph="1">
        <v>8669</v>
      </c>
      <c r="R2479" s="16" t="s" ph="1">
        <v>1889</v>
      </c>
      <c r="S2479" s="125" t="s" ph="1">
        <v>10247</v>
      </c>
      <c r="T2479" s="13" t="s" ph="1">
        <v>7870</v>
      </c>
      <c r="U2479" s="16" ph="1">
        <v>37193</v>
      </c>
      <c r="V2479" s="17" ph="1">
        <f t="shared" si="16"/>
        <v>651</v>
      </c>
      <c r="W2479" s="17" ph="1">
        <f t="shared" si="15"/>
        <v>651</v>
      </c>
      <c r="X2479" s="13" t="s" ph="1">
        <v>592</v>
      </c>
    </row>
    <row r="2480" spans="3:24" ht="22.5" customHeight="1" ph="1" x14ac:dyDescent="0.35">
      <c r="C2480" s="13" t="s" ph="1">
        <v>7591</v>
      </c>
      <c r="D2480" s="123" ph="1">
        <v>2</v>
      </c>
      <c r="E2480" s="123" ph="1">
        <v>2</v>
      </c>
      <c r="G2480" s="13" t="s" ph="1">
        <v>4758</v>
      </c>
      <c r="H2480" s="13" t="s" ph="1">
        <v>709</v>
      </c>
      <c r="I2480" s="13" t="s" ph="1">
        <v>491</v>
      </c>
      <c r="K2480" s="13" t="s" ph="1">
        <v>8112</v>
      </c>
      <c r="L2480" s="13" t="s" ph="1">
        <v>3628</v>
      </c>
      <c r="M2480" s="14" t="str" ph="1">
        <f>IFERROR(INDEX([1]!_born[生没年],
MATCH(I2480,[1]!_born[作],0)),"")</f>
        <v/>
      </c>
      <c r="N2480" s="14" t="str" ph="1">
        <f>IFERROR(INDEX([1]!_born[生没年],
MATCH(K2480,[1]!_born[作],0)),"")</f>
        <v/>
      </c>
      <c r="O2480" s="13" t="s" ph="1">
        <v>8670</v>
      </c>
      <c r="R2480" s="16" t="s" ph="1">
        <v>1889</v>
      </c>
      <c r="S2480" s="125" t="s" ph="1">
        <v>10247</v>
      </c>
      <c r="T2480" s="13" t="s" ph="1">
        <v>7870</v>
      </c>
      <c r="U2480" s="16" ph="1">
        <v>37193</v>
      </c>
      <c r="V2480" s="17" ph="1">
        <f t="shared" si="16"/>
        <v>651</v>
      </c>
      <c r="W2480" s="17" ph="1">
        <f t="shared" si="15"/>
        <v>651</v>
      </c>
      <c r="X2480" s="13" t="s" ph="1">
        <v>592</v>
      </c>
    </row>
    <row r="2481" spans="1:25" ht="22.5" customHeight="1" ph="1" x14ac:dyDescent="0.35">
      <c r="C2481" s="13" t="s" ph="1">
        <v>7591</v>
      </c>
      <c r="D2481" s="123" ph="1">
        <v>2</v>
      </c>
      <c r="E2481" s="123" ph="1">
        <v>2</v>
      </c>
      <c r="G2481" s="13" t="s" ph="1">
        <v>4758</v>
      </c>
      <c r="H2481" s="13" t="s" ph="1">
        <v>709</v>
      </c>
      <c r="I2481" s="13" t="s" ph="1">
        <v>492</v>
      </c>
      <c r="K2481" s="13" t="s" ph="1">
        <v>8112</v>
      </c>
      <c r="L2481" s="13" t="s" ph="1">
        <v>3628</v>
      </c>
      <c r="M2481" s="14" t="str" ph="1">
        <f>IFERROR(INDEX([1]!_born[生没年],
MATCH(I2481,[1]!_born[作],0)),"")</f>
        <v/>
      </c>
      <c r="N2481" s="14" t="str" ph="1">
        <f>IFERROR(INDEX([1]!_born[生没年],
MATCH(K2481,[1]!_born[作],0)),"")</f>
        <v/>
      </c>
      <c r="O2481" s="15" t="s" ph="1">
        <v>8671</v>
      </c>
      <c r="R2481" s="16" t="s" ph="1">
        <v>1889</v>
      </c>
      <c r="S2481" s="125" t="s" ph="1">
        <v>10247</v>
      </c>
      <c r="T2481" s="13" t="s" ph="1">
        <v>7870</v>
      </c>
      <c r="U2481" s="16" ph="1">
        <v>37193</v>
      </c>
      <c r="V2481" s="17" ph="1">
        <f t="shared" si="16"/>
        <v>651</v>
      </c>
      <c r="W2481" s="17" ph="1">
        <f t="shared" si="15"/>
        <v>651</v>
      </c>
      <c r="X2481" s="13" t="s" ph="1">
        <v>592</v>
      </c>
    </row>
    <row r="2482" spans="1:25" ht="22.5" customHeight="1" ph="1" x14ac:dyDescent="0.35">
      <c r="C2482" s="13" t="s" ph="1">
        <v>7591</v>
      </c>
      <c r="D2482" s="123" ph="1">
        <v>2</v>
      </c>
      <c r="E2482" s="123" ph="1">
        <v>2</v>
      </c>
      <c r="G2482" s="13" t="s" ph="1">
        <v>4758</v>
      </c>
      <c r="H2482" s="13" t="s" ph="1">
        <v>709</v>
      </c>
      <c r="I2482" s="13" t="s" ph="1">
        <v>493</v>
      </c>
      <c r="K2482" s="13" t="s" ph="1">
        <v>8112</v>
      </c>
      <c r="L2482" s="13" t="s" ph="1">
        <v>3628</v>
      </c>
      <c r="M2482" s="14" t="str" ph="1">
        <f>IFERROR(INDEX([1]!_born[生没年],
MATCH(I2482,[1]!_born[作],0)),"")</f>
        <v/>
      </c>
      <c r="N2482" s="14" t="str" ph="1">
        <f>IFERROR(INDEX([1]!_born[生没年],
MATCH(K2482,[1]!_born[作],0)),"")</f>
        <v/>
      </c>
      <c r="O2482" s="13" t="s" ph="1">
        <v>8672</v>
      </c>
      <c r="R2482" s="16" t="s" ph="1">
        <v>1889</v>
      </c>
      <c r="S2482" s="125" t="s" ph="1">
        <v>10247</v>
      </c>
      <c r="T2482" s="13" t="s" ph="1">
        <v>7870</v>
      </c>
      <c r="U2482" s="16" ph="1">
        <v>37193</v>
      </c>
      <c r="V2482" s="17" ph="1">
        <f t="shared" si="16"/>
        <v>651</v>
      </c>
      <c r="W2482" s="17" ph="1">
        <f t="shared" si="15"/>
        <v>651</v>
      </c>
      <c r="X2482" s="13" t="s" ph="1">
        <v>592</v>
      </c>
    </row>
    <row r="2483" spans="1:25" ht="22.5" customHeight="1" ph="1" x14ac:dyDescent="0.35">
      <c r="C2483" s="13" t="s" ph="1">
        <v>7591</v>
      </c>
      <c r="D2483" s="123" ph="1">
        <v>2</v>
      </c>
      <c r="E2483" s="123" ph="1">
        <v>2</v>
      </c>
      <c r="G2483" s="13" t="s" ph="1">
        <v>4758</v>
      </c>
      <c r="H2483" s="13" t="s" ph="1">
        <v>709</v>
      </c>
      <c r="I2483" s="13" t="s" ph="1">
        <v>317</v>
      </c>
      <c r="K2483" s="13" t="s" ph="1">
        <v>8112</v>
      </c>
      <c r="L2483" s="13" t="s" ph="1">
        <v>3628</v>
      </c>
      <c r="M2483" s="14" t="str" ph="1">
        <f>IFERROR(INDEX([1]!_born[生没年],
MATCH(I2483,[1]!_born[作],0)),"")</f>
        <v/>
      </c>
      <c r="N2483" s="14" t="str" ph="1">
        <f>IFERROR(INDEX([1]!_born[生没年],
MATCH(K2483,[1]!_born[作],0)),"")</f>
        <v/>
      </c>
      <c r="O2483" s="13" t="s" ph="1">
        <v>8673</v>
      </c>
      <c r="R2483" s="16" t="s" ph="1">
        <v>1889</v>
      </c>
      <c r="S2483" s="125" t="s" ph="1">
        <v>10247</v>
      </c>
      <c r="T2483" s="13" t="s" ph="1">
        <v>7870</v>
      </c>
      <c r="U2483" s="16" ph="1">
        <v>37193</v>
      </c>
      <c r="V2483" s="17" ph="1">
        <f t="shared" si="16"/>
        <v>651</v>
      </c>
      <c r="W2483" s="17" ph="1">
        <f t="shared" si="15"/>
        <v>651</v>
      </c>
      <c r="X2483" s="13" t="s" ph="1">
        <v>592</v>
      </c>
    </row>
    <row r="2484" spans="1:25" ht="22.5" customHeight="1" ph="1" x14ac:dyDescent="0.35">
      <c r="C2484" s="13" t="s" ph="1">
        <v>7591</v>
      </c>
      <c r="D2484" s="123" ph="1">
        <v>2</v>
      </c>
      <c r="E2484" s="123" ph="1">
        <v>2</v>
      </c>
      <c r="G2484" s="13" t="s" ph="1">
        <v>4758</v>
      </c>
      <c r="H2484" s="13" t="s" ph="1">
        <v>709</v>
      </c>
      <c r="I2484" s="13" t="s" ph="1">
        <v>318</v>
      </c>
      <c r="K2484" s="13" t="s" ph="1">
        <v>8112</v>
      </c>
      <c r="L2484" s="13" t="s" ph="1">
        <v>3628</v>
      </c>
      <c r="M2484" s="14" t="str" ph="1">
        <f>IFERROR(INDEX([1]!_born[生没年],
MATCH(I2484,[1]!_born[作],0)),"")</f>
        <v/>
      </c>
      <c r="N2484" s="14" t="str" ph="1">
        <f>IFERROR(INDEX([1]!_born[生没年],
MATCH(K2484,[1]!_born[作],0)),"")</f>
        <v/>
      </c>
      <c r="O2484" s="13" t="s" ph="1">
        <v>8674</v>
      </c>
      <c r="R2484" s="16" t="s" ph="1">
        <v>1889</v>
      </c>
      <c r="S2484" s="125" t="s" ph="1">
        <v>10247</v>
      </c>
      <c r="T2484" s="13" t="s" ph="1">
        <v>7870</v>
      </c>
      <c r="U2484" s="16" ph="1">
        <v>37193</v>
      </c>
      <c r="V2484" s="17" ph="1">
        <f t="shared" si="16"/>
        <v>651</v>
      </c>
      <c r="W2484" s="17" ph="1">
        <f t="shared" si="15"/>
        <v>651</v>
      </c>
      <c r="X2484" s="13" t="s" ph="1">
        <v>592</v>
      </c>
    </row>
    <row r="2485" spans="1:25" ht="22.5" customHeight="1" ph="1" x14ac:dyDescent="0.35">
      <c r="C2485" s="13" t="s" ph="1">
        <v>7591</v>
      </c>
      <c r="D2485" s="123" ph="1">
        <v>2</v>
      </c>
      <c r="E2485" s="123" ph="1">
        <v>2</v>
      </c>
      <c r="G2485" s="13" t="s" ph="1">
        <v>4758</v>
      </c>
      <c r="H2485" s="13" t="s" ph="1">
        <v>709</v>
      </c>
      <c r="I2485" s="13" t="s" ph="1">
        <v>8675</v>
      </c>
      <c r="M2485" s="14" t="str" ph="1">
        <f>IFERROR(INDEX([1]!_born[生没年],
MATCH(I2485,[1]!_born[作],0)),"")</f>
        <v/>
      </c>
      <c r="N2485" s="14" t="str" ph="1">
        <f>IFERROR(INDEX([1]!_born[生没年],
MATCH(K2485,[1]!_born[作],0)),"")</f>
        <v/>
      </c>
      <c r="O2485" s="13" t="s" ph="1">
        <v>8676</v>
      </c>
      <c r="R2485" s="16" t="s" ph="1">
        <v>1889</v>
      </c>
      <c r="S2485" s="125" t="s" ph="1">
        <v>10247</v>
      </c>
      <c r="T2485" s="13" t="s" ph="1">
        <v>7870</v>
      </c>
      <c r="U2485" s="16" ph="1">
        <v>37193</v>
      </c>
      <c r="V2485" s="17" ph="1">
        <f t="shared" si="16"/>
        <v>651</v>
      </c>
      <c r="W2485" s="17" ph="1">
        <f t="shared" si="15"/>
        <v>651</v>
      </c>
      <c r="X2485" s="13" t="s" ph="1">
        <v>592</v>
      </c>
    </row>
    <row r="2486" spans="1:25" s="7" customFormat="1" ht="22.5" customHeight="1" ph="1" x14ac:dyDescent="0.35">
      <c r="A2486" s="106" ph="1"/>
      <c r="B2486" s="5" ph="1"/>
      <c r="C2486" s="9" t="s" ph="1">
        <v>7591</v>
      </c>
      <c r="D2486" s="122" ph="1"/>
      <c r="E2486" s="122" ph="1"/>
      <c r="G2486" s="8" t="s" ph="1">
        <v>3599</v>
      </c>
      <c r="H2486" s="9" t="s" ph="1">
        <v>709</v>
      </c>
      <c r="M2486" s="7" t="str" ph="1">
        <f>IFERROR(INDEX([1]!_born[生没年],
MATCH(I2486,[1]!_born[作],0)),"")</f>
        <v/>
      </c>
      <c r="N2486" s="7" t="str" ph="1">
        <f>IFERROR(INDEX([1]!_born[生没年],
MATCH(K2486,[1]!_born[作],0)),"")</f>
        <v/>
      </c>
      <c r="R2486" s="10" ph="1"/>
      <c r="U2486" s="10" ph="1"/>
      <c r="V2486" s="11" ph="1"/>
      <c r="W2486" s="11" ph="1"/>
    </row>
    <row r="2487" spans="1:25" ht="22.5" customHeight="1" ph="1" x14ac:dyDescent="0.35">
      <c r="C2487" s="13" t="s" ph="1">
        <v>7591</v>
      </c>
      <c r="G2487" s="13" t="s" ph="1">
        <v>4911</v>
      </c>
      <c r="H2487" s="13" t="s" ph="1">
        <v>709</v>
      </c>
      <c r="I2487" s="13" t="s" ph="1">
        <v>320</v>
      </c>
      <c r="K2487" s="13" t="s" ph="1">
        <v>8376</v>
      </c>
      <c r="L2487" s="13" t="s" ph="1">
        <v>3628</v>
      </c>
      <c r="M2487" s="14" t="str" ph="1">
        <f>IFERROR(INDEX([1]!_born[生没年],
MATCH(I2487,[1]!_born[作],0)),"")</f>
        <v/>
      </c>
      <c r="N2487" s="14" t="str" ph="1">
        <f>IFERROR(INDEX([1]!_born[生没年],
MATCH(K2487,[1]!_born[作],0)),"")</f>
        <v/>
      </c>
      <c r="O2487" s="13" t="s" ph="1">
        <v>8677</v>
      </c>
      <c r="T2487" s="13" t="s" ph="1">
        <v>7649</v>
      </c>
      <c r="U2487" s="16" ph="1">
        <v>36779</v>
      </c>
      <c r="V2487" s="17" ph="1">
        <v>980</v>
      </c>
      <c r="W2487" s="17" ph="1">
        <v>620</v>
      </c>
    </row>
    <row r="2488" spans="1:25" ht="22.5" customHeight="1" ph="1" x14ac:dyDescent="0.35">
      <c r="C2488" s="13" t="s" ph="1">
        <v>7591</v>
      </c>
      <c r="G2488" s="13" t="s" ph="1">
        <v>4911</v>
      </c>
      <c r="H2488" s="13" t="s" ph="1">
        <v>709</v>
      </c>
      <c r="I2488" s="13" t="s" ph="1">
        <v>320</v>
      </c>
      <c r="K2488" s="13" t="s" ph="1">
        <v>8678</v>
      </c>
      <c r="L2488" s="13" t="s" ph="1">
        <v>3628</v>
      </c>
      <c r="M2488" s="14" t="str" ph="1">
        <f>IFERROR(INDEX([1]!_born[生没年],
MATCH(I2488,[1]!_born[作],0)),"")</f>
        <v/>
      </c>
      <c r="N2488" s="14" t="str" ph="1">
        <f>IFERROR(INDEX([1]!_born[生没年],
MATCH(K2488,[1]!_born[作],0)),"")</f>
        <v/>
      </c>
      <c r="O2488" s="13" t="s" ph="1">
        <v>8679</v>
      </c>
      <c r="T2488" s="13" t="s" ph="1">
        <v>7649</v>
      </c>
      <c r="U2488" s="16" ph="1">
        <v>36779</v>
      </c>
      <c r="V2488" s="17" ph="1">
        <v>920</v>
      </c>
      <c r="W2488" s="17" ph="1">
        <v>600</v>
      </c>
    </row>
    <row r="2489" spans="1:25" ht="22.5" customHeight="1" ph="1" x14ac:dyDescent="0.35">
      <c r="A2489" s="106" t="s" ph="1">
        <v>1890</v>
      </c>
      <c r="B2489" s="5" t="s" ph="1">
        <v>1891</v>
      </c>
      <c r="C2489" s="13" t="s" ph="1">
        <v>7591</v>
      </c>
      <c r="D2489" s="123" ph="1">
        <v>1</v>
      </c>
      <c r="E2489" s="123" ph="1">
        <v>2</v>
      </c>
      <c r="G2489" s="13" t="s" ph="1">
        <v>4911</v>
      </c>
      <c r="H2489" s="13" t="s" ph="1">
        <v>709</v>
      </c>
      <c r="I2489" s="13" t="s" ph="1">
        <v>518</v>
      </c>
      <c r="K2489" s="13" t="s" ph="1">
        <v>8680</v>
      </c>
      <c r="L2489" s="13" t="s" ph="1">
        <v>3628</v>
      </c>
      <c r="M2489" s="14" t="str" ph="1">
        <f>IFERROR(INDEX([1]!_born[生没年],
MATCH(I2489,[1]!_born[作],0)),"")</f>
        <v/>
      </c>
      <c r="N2489" s="14" t="str" ph="1">
        <f>IFERROR(INDEX([1]!_born[生没年],
MATCH(K2489,[1]!_born[作],0)),"")</f>
        <v/>
      </c>
      <c r="O2489" s="13" t="s" ph="1">
        <v>8681</v>
      </c>
      <c r="R2489" s="16" t="s" ph="1">
        <v>8682</v>
      </c>
      <c r="T2489" s="13" t="s" ph="1">
        <v>7758</v>
      </c>
      <c r="U2489" s="16" t="s" ph="1">
        <v>1501</v>
      </c>
      <c r="V2489" s="17" ph="1">
        <f>1500*1.05</f>
        <v>1575</v>
      </c>
      <c r="W2489" s="17" ph="1">
        <f>1500*1.05</f>
        <v>1575</v>
      </c>
    </row>
    <row r="2490" spans="1:25" ht="22.5" customHeight="1" ph="1" x14ac:dyDescent="0.35">
      <c r="A2490" s="106" t="s" ph="1">
        <v>1892</v>
      </c>
      <c r="B2490" s="5" t="s" ph="1">
        <v>1891</v>
      </c>
      <c r="C2490" s="13" t="s" ph="1">
        <v>7591</v>
      </c>
      <c r="D2490" s="123" ph="1">
        <v>2</v>
      </c>
      <c r="E2490" s="123" ph="1">
        <v>2</v>
      </c>
      <c r="G2490" s="13" t="s" ph="1">
        <v>4911</v>
      </c>
      <c r="H2490" s="13" t="s" ph="1">
        <v>709</v>
      </c>
      <c r="I2490" s="13" t="s" ph="1">
        <v>518</v>
      </c>
      <c r="K2490" s="13" t="s" ph="1">
        <v>8680</v>
      </c>
      <c r="L2490" s="13" t="s" ph="1">
        <v>3628</v>
      </c>
      <c r="M2490" s="14" t="str" ph="1">
        <f>IFERROR(INDEX([1]!_born[生没年],
MATCH(I2490,[1]!_born[作],0)),"")</f>
        <v/>
      </c>
      <c r="N2490" s="14" t="str" ph="1">
        <f>IFERROR(INDEX([1]!_born[生没年],
MATCH(K2490,[1]!_born[作],0)),"")</f>
        <v/>
      </c>
      <c r="O2490" s="13" t="s" ph="1">
        <v>8681</v>
      </c>
      <c r="R2490" s="16" t="s" ph="1">
        <v>8682</v>
      </c>
      <c r="T2490" s="13" t="s" ph="1">
        <v>7758</v>
      </c>
      <c r="U2490" s="16" t="s" ph="1">
        <v>1501</v>
      </c>
      <c r="V2490" s="17" ph="1">
        <f>1500*1.05</f>
        <v>1575</v>
      </c>
      <c r="W2490" s="17" ph="1">
        <f>1500*1.05</f>
        <v>1575</v>
      </c>
    </row>
    <row r="2491" spans="1:25" ht="22.5" customHeight="1" ph="1" x14ac:dyDescent="0.35">
      <c r="C2491" s="13" t="s" ph="1">
        <v>7591</v>
      </c>
      <c r="G2491" s="13" t="s" ph="1">
        <v>3599</v>
      </c>
      <c r="H2491" s="13" t="s" ph="1">
        <v>709</v>
      </c>
      <c r="I2491" s="13" t="s" ph="1">
        <v>230</v>
      </c>
      <c r="K2491" s="13" t="s" ph="1">
        <v>8683</v>
      </c>
      <c r="L2491" s="13" t="s" ph="1">
        <v>3628</v>
      </c>
      <c r="M2491" s="14" t="str" ph="1">
        <f>IFERROR(INDEX([1]!_born[生没年],
MATCH(I2491,[1]!_born[作],0)),"")</f>
        <v/>
      </c>
      <c r="N2491" s="14" t="str" ph="1">
        <f>IFERROR(INDEX([1]!_born[生没年],
MATCH(K2491,[1]!_born[作],0)),"")</f>
        <v/>
      </c>
      <c r="O2491" s="13" t="s" ph="1">
        <v>8684</v>
      </c>
      <c r="T2491" s="13" t="s" ph="1">
        <v>7599</v>
      </c>
      <c r="V2491" s="17" ph="1">
        <v>320</v>
      </c>
    </row>
    <row r="2492" spans="1:25" ht="22.5" customHeight="1" ph="1" x14ac:dyDescent="0.35">
      <c r="C2492" s="13" t="s" ph="1">
        <v>7591</v>
      </c>
      <c r="G2492" s="13" t="s" ph="1">
        <v>3599</v>
      </c>
      <c r="H2492" s="13" t="s" ph="1">
        <v>709</v>
      </c>
      <c r="I2492" s="13" t="s" ph="1">
        <v>63</v>
      </c>
      <c r="K2492" s="13" t="s" ph="1">
        <v>8685</v>
      </c>
      <c r="L2492" s="13" t="s" ph="1">
        <v>3628</v>
      </c>
      <c r="M2492" s="14" t="str" ph="1">
        <f>IFERROR(INDEX([1]!_born[生没年],
MATCH(I2492,[1]!_born[作],0)),"")</f>
        <v/>
      </c>
      <c r="N2492" s="14" t="str" ph="1">
        <f>IFERROR(INDEX([1]!_born[生没年],
MATCH(K2492,[1]!_born[作],0)),"")</f>
        <v/>
      </c>
      <c r="O2492" s="13" t="s" ph="1">
        <v>8686</v>
      </c>
      <c r="R2492" s="16" t="s" ph="1">
        <v>1893</v>
      </c>
      <c r="T2492" s="13" t="s" ph="1">
        <v>5147</v>
      </c>
      <c r="V2492" s="17" ph="1">
        <v>200</v>
      </c>
    </row>
    <row r="2493" spans="1:25" ht="22.5" customHeight="1" ph="1" x14ac:dyDescent="0.35">
      <c r="A2493" s="106" t="s" ph="1">
        <v>3228</v>
      </c>
      <c r="B2493" s="5" t="s" ph="1">
        <v>1437</v>
      </c>
      <c r="C2493" s="13" t="s" ph="1">
        <v>7591</v>
      </c>
      <c r="G2493" s="13" t="s" ph="1">
        <v>3599</v>
      </c>
      <c r="H2493" s="13" t="s" ph="1">
        <v>43</v>
      </c>
      <c r="I2493" s="13" t="s" ph="1">
        <v>3227</v>
      </c>
      <c r="K2493" s="13" t="s" ph="1">
        <v>8687</v>
      </c>
      <c r="L2493" s="13" t="s" ph="1">
        <v>3628</v>
      </c>
      <c r="M2493" s="14" t="str" ph="1">
        <f>IFERROR(INDEX([1]!_born[生没年],
MATCH(I2493,[1]!_born[作],0)),"")</f>
        <v/>
      </c>
      <c r="N2493" s="14" t="str" ph="1">
        <f>IFERROR(INDEX([1]!_born[生没年],
MATCH(K2493,[1]!_born[作],0)),"")</f>
        <v/>
      </c>
      <c r="O2493" s="13" t="s" ph="1">
        <v>8688</v>
      </c>
      <c r="R2493" s="16" t="s" ph="1">
        <v>3230</v>
      </c>
      <c r="T2493" s="13" t="s" ph="1">
        <v>7783</v>
      </c>
      <c r="U2493" s="16" t="s" ph="1">
        <v>3229</v>
      </c>
      <c r="V2493" s="17" ph="1">
        <f>686*1.1</f>
        <v>754.6</v>
      </c>
      <c r="W2493" s="17" t="s" ph="1">
        <v>1225</v>
      </c>
      <c r="X2493" s="13" t="s" ph="1">
        <v>1225</v>
      </c>
      <c r="Y2493" s="13" t="s" ph="1">
        <v>4318</v>
      </c>
    </row>
    <row r="2494" spans="1:25" ht="22.5" customHeight="1" ph="1" x14ac:dyDescent="0.35">
      <c r="C2494" s="13" t="s" ph="1">
        <v>7591</v>
      </c>
      <c r="D2494" s="123" ph="1">
        <v>1</v>
      </c>
      <c r="E2494" s="123" ph="1">
        <v>2</v>
      </c>
      <c r="G2494" s="13" t="s" ph="1">
        <v>3599</v>
      </c>
      <c r="H2494" s="13" t="s" ph="1">
        <v>709</v>
      </c>
      <c r="I2494" s="13" t="s" ph="1">
        <v>7272</v>
      </c>
      <c r="K2494" s="13" t="s" ph="1">
        <v>7423</v>
      </c>
      <c r="L2494" s="13" t="s" ph="1">
        <v>3628</v>
      </c>
      <c r="M2494" s="14" t="str" ph="1">
        <f>IFERROR(INDEX([1]!_born[生没年],
MATCH(I2494,[1]!_born[作],0)),"")</f>
        <v/>
      </c>
      <c r="N2494" s="14" t="str" ph="1">
        <f>IFERROR(INDEX([1]!_born[生没年],
MATCH(K2494,[1]!_born[作],0)),"")</f>
        <v/>
      </c>
      <c r="O2494" s="13" t="s" ph="1">
        <v>8689</v>
      </c>
      <c r="S2494" s="13" t="s" ph="1">
        <v>4103</v>
      </c>
      <c r="T2494" s="13" t="s" ph="1">
        <v>7599</v>
      </c>
      <c r="V2494" s="17" ph="1">
        <f>350+500</f>
        <v>850</v>
      </c>
    </row>
    <row r="2495" spans="1:25" ht="22.5" customHeight="1" ph="1" x14ac:dyDescent="0.35">
      <c r="C2495" s="13" t="s" ph="1">
        <v>7591</v>
      </c>
      <c r="D2495" s="123" ph="1">
        <v>2</v>
      </c>
      <c r="E2495" s="123" ph="1">
        <v>2</v>
      </c>
      <c r="G2495" s="13" t="s" ph="1">
        <v>3599</v>
      </c>
      <c r="H2495" s="13" t="s" ph="1">
        <v>709</v>
      </c>
      <c r="I2495" s="13" t="s" ph="1">
        <v>7272</v>
      </c>
      <c r="K2495" s="13" t="s" ph="1">
        <v>7423</v>
      </c>
      <c r="L2495" s="13" t="s" ph="1">
        <v>3628</v>
      </c>
      <c r="M2495" s="14" t="str" ph="1">
        <f>IFERROR(INDEX([1]!_born[生没年],
MATCH(I2495,[1]!_born[作],0)),"")</f>
        <v/>
      </c>
      <c r="N2495" s="14" t="str" ph="1">
        <f>IFERROR(INDEX([1]!_born[生没年],
MATCH(K2495,[1]!_born[作],0)),"")</f>
        <v/>
      </c>
      <c r="O2495" s="13" t="s" ph="1">
        <v>8689</v>
      </c>
      <c r="S2495" s="13" t="s" ph="1">
        <v>4103</v>
      </c>
      <c r="T2495" s="13" t="s" ph="1">
        <v>7599</v>
      </c>
      <c r="V2495" s="17" ph="1">
        <f>350+500</f>
        <v>850</v>
      </c>
    </row>
    <row r="2496" spans="1:25" ht="22.5" customHeight="1" ph="1" x14ac:dyDescent="0.35">
      <c r="C2496" s="13" t="s" ph="1">
        <v>7591</v>
      </c>
      <c r="G2496" s="13" t="s" ph="1">
        <v>3599</v>
      </c>
      <c r="H2496" s="13" t="s" ph="1">
        <v>709</v>
      </c>
      <c r="I2496" s="13" t="s" ph="1">
        <v>7272</v>
      </c>
      <c r="K2496" s="13" t="s" ph="1">
        <v>8690</v>
      </c>
      <c r="L2496" s="13" t="s" ph="1">
        <v>3628</v>
      </c>
      <c r="M2496" s="14" t="str" ph="1">
        <f>IFERROR(INDEX([1]!_born[生没年],
MATCH(I2496,[1]!_born[作],0)),"")</f>
        <v/>
      </c>
      <c r="N2496" s="14" t="str" ph="1">
        <f>IFERROR(INDEX([1]!_born[生没年],
MATCH(K2496,[1]!_born[作],0)),"")</f>
        <v/>
      </c>
      <c r="O2496" s="13" t="s" ph="1">
        <v>8691</v>
      </c>
      <c r="R2496" s="16" t="s" ph="1">
        <v>1894</v>
      </c>
      <c r="T2496" s="13" t="s" ph="1">
        <v>5147</v>
      </c>
      <c r="V2496" s="17" ph="1">
        <v>180</v>
      </c>
    </row>
    <row r="2497" spans="1:25" ht="22.5" customHeight="1" ph="1" x14ac:dyDescent="0.35">
      <c r="C2497" s="13" t="s" ph="1">
        <v>7591</v>
      </c>
      <c r="G2497" s="13" t="s" ph="1">
        <v>3599</v>
      </c>
      <c r="H2497" s="13" t="s" ph="1">
        <v>709</v>
      </c>
      <c r="I2497" s="13" t="s" ph="1">
        <v>7272</v>
      </c>
      <c r="K2497" s="13" t="s" ph="1">
        <v>8692</v>
      </c>
      <c r="L2497" s="13" t="s" ph="1">
        <v>3628</v>
      </c>
      <c r="M2497" s="14" t="str" ph="1">
        <f>IFERROR(INDEX([1]!_born[生没年],
MATCH(I2497,[1]!_born[作],0)),"")</f>
        <v/>
      </c>
      <c r="N2497" s="14" t="str" ph="1">
        <f>IFERROR(INDEX([1]!_born[生没年],
MATCH(K2497,[1]!_born[作],0)),"")</f>
        <v/>
      </c>
      <c r="O2497" s="13" t="s" ph="1">
        <v>8693</v>
      </c>
      <c r="T2497" s="13" t="s" ph="1">
        <v>5147</v>
      </c>
      <c r="V2497" s="17" ph="1">
        <v>320</v>
      </c>
    </row>
    <row r="2498" spans="1:25" ht="22.5" customHeight="1" ph="1" x14ac:dyDescent="0.35">
      <c r="C2498" s="13" t="s" ph="1">
        <v>7591</v>
      </c>
      <c r="D2498" s="123" ph="1">
        <v>1</v>
      </c>
      <c r="E2498" s="123" ph="1">
        <v>9</v>
      </c>
      <c r="G2498" s="13" t="s" ph="1">
        <v>708</v>
      </c>
      <c r="H2498" s="13" t="s" ph="1">
        <v>709</v>
      </c>
      <c r="I2498" s="13" t="s" ph="1">
        <v>629</v>
      </c>
      <c r="K2498" s="13" t="s" ph="1">
        <v>8694</v>
      </c>
      <c r="L2498" s="13" t="s" ph="1">
        <v>3628</v>
      </c>
      <c r="M2498" s="14" t="str" ph="1">
        <f>IFERROR(INDEX([1]!_born[生没年],
MATCH(I2498,[1]!_born[作],0)),"")</f>
        <v/>
      </c>
      <c r="N2498" s="14" t="str" ph="1">
        <f>IFERROR(INDEX([1]!_born[生没年],
MATCH(K2498,[1]!_born[作],0)),"")</f>
        <v/>
      </c>
      <c r="O2498" s="13" t="s" ph="1">
        <v>8695</v>
      </c>
      <c r="R2498" s="16" t="s" ph="1">
        <v>1491</v>
      </c>
      <c r="T2498" s="13" t="s" ph="1">
        <v>7949</v>
      </c>
      <c r="U2498" s="16" ph="1">
        <v>37464</v>
      </c>
      <c r="V2498" s="17" ph="1">
        <v>8010</v>
      </c>
      <c r="W2498" s="17" ph="1">
        <v>4500</v>
      </c>
      <c r="X2498" s="13" t="s" ph="1">
        <v>4034</v>
      </c>
      <c r="Y2498" s="13" t="s" ph="1">
        <v>8696</v>
      </c>
    </row>
    <row r="2499" spans="1:25" ht="22.5" customHeight="1" ph="1" x14ac:dyDescent="0.35">
      <c r="C2499" s="13" t="s" ph="1">
        <v>7591</v>
      </c>
      <c r="D2499" s="123" ph="1">
        <v>2</v>
      </c>
      <c r="E2499" s="123" ph="1">
        <v>9</v>
      </c>
      <c r="G2499" s="13" t="s" ph="1">
        <v>708</v>
      </c>
      <c r="H2499" s="13" t="s" ph="1">
        <v>709</v>
      </c>
      <c r="I2499" s="13" t="s" ph="1">
        <v>629</v>
      </c>
      <c r="K2499" s="13" t="s" ph="1">
        <v>8694</v>
      </c>
      <c r="L2499" s="13" t="s" ph="1">
        <v>3628</v>
      </c>
      <c r="M2499" s="14" t="str" ph="1">
        <f>IFERROR(INDEX([1]!_born[生没年],
MATCH(I2499,[1]!_born[作],0)),"")</f>
        <v/>
      </c>
      <c r="N2499" s="14" t="str" ph="1">
        <f>IFERROR(INDEX([1]!_born[生没年],
MATCH(K2499,[1]!_born[作],0)),"")</f>
        <v/>
      </c>
      <c r="O2499" s="13" t="s" ph="1">
        <v>8695</v>
      </c>
      <c r="R2499" s="16" t="s" ph="1">
        <v>1491</v>
      </c>
      <c r="T2499" s="13" t="s" ph="1">
        <v>7949</v>
      </c>
      <c r="U2499" s="16" ph="1">
        <v>37464</v>
      </c>
      <c r="V2499" s="17" ph="1">
        <v>8010</v>
      </c>
      <c r="W2499" s="17" ph="1">
        <v>4500</v>
      </c>
      <c r="X2499" s="13" t="s" ph="1">
        <v>4034</v>
      </c>
      <c r="Y2499" s="13" t="s" ph="1">
        <v>8696</v>
      </c>
    </row>
    <row r="2500" spans="1:25" ht="22.5" customHeight="1" ph="1" x14ac:dyDescent="0.35">
      <c r="C2500" s="13" t="s" ph="1">
        <v>7591</v>
      </c>
      <c r="D2500" s="123" ph="1">
        <v>3</v>
      </c>
      <c r="E2500" s="123" ph="1">
        <v>9</v>
      </c>
      <c r="G2500" s="13" t="s" ph="1">
        <v>708</v>
      </c>
      <c r="H2500" s="13" t="s" ph="1">
        <v>709</v>
      </c>
      <c r="I2500" s="13" t="s" ph="1">
        <v>629</v>
      </c>
      <c r="K2500" s="13" t="s" ph="1">
        <v>8694</v>
      </c>
      <c r="L2500" s="13" t="s" ph="1">
        <v>3628</v>
      </c>
      <c r="M2500" s="14" t="str" ph="1">
        <f>IFERROR(INDEX([1]!_born[生没年],
MATCH(I2500,[1]!_born[作],0)),"")</f>
        <v/>
      </c>
      <c r="N2500" s="14" t="str" ph="1">
        <f>IFERROR(INDEX([1]!_born[生没年],
MATCH(K2500,[1]!_born[作],0)),"")</f>
        <v/>
      </c>
      <c r="O2500" s="13" t="s" ph="1">
        <v>8695</v>
      </c>
      <c r="R2500" s="16" t="s" ph="1">
        <v>1491</v>
      </c>
      <c r="T2500" s="13" t="s" ph="1">
        <v>7949</v>
      </c>
      <c r="U2500" s="16" ph="1">
        <v>37464</v>
      </c>
      <c r="V2500" s="17" ph="1">
        <v>8010</v>
      </c>
      <c r="W2500" s="17" ph="1">
        <v>4500</v>
      </c>
      <c r="X2500" s="13" t="s" ph="1">
        <v>4034</v>
      </c>
      <c r="Y2500" s="13" t="s" ph="1">
        <v>8696</v>
      </c>
    </row>
    <row r="2501" spans="1:25" ht="22.5" customHeight="1" ph="1" x14ac:dyDescent="0.35">
      <c r="C2501" s="13" t="s" ph="1">
        <v>7591</v>
      </c>
      <c r="D2501" s="123" ph="1">
        <v>4</v>
      </c>
      <c r="E2501" s="123" ph="1">
        <v>9</v>
      </c>
      <c r="G2501" s="13" t="s" ph="1">
        <v>708</v>
      </c>
      <c r="H2501" s="13" t="s" ph="1">
        <v>709</v>
      </c>
      <c r="I2501" s="13" t="s" ph="1">
        <v>629</v>
      </c>
      <c r="K2501" s="13" t="s" ph="1">
        <v>8694</v>
      </c>
      <c r="L2501" s="13" t="s" ph="1">
        <v>3628</v>
      </c>
      <c r="M2501" s="14" t="str" ph="1">
        <f>IFERROR(INDEX([1]!_born[生没年],
MATCH(I2501,[1]!_born[作],0)),"")</f>
        <v/>
      </c>
      <c r="N2501" s="14" t="str" ph="1">
        <f>IFERROR(INDEX([1]!_born[生没年],
MATCH(K2501,[1]!_born[作],0)),"")</f>
        <v/>
      </c>
      <c r="O2501" s="13" t="s" ph="1">
        <v>8695</v>
      </c>
      <c r="R2501" s="16" t="s" ph="1">
        <v>1491</v>
      </c>
      <c r="T2501" s="13" t="s" ph="1">
        <v>7949</v>
      </c>
      <c r="U2501" s="16" ph="1">
        <v>37464</v>
      </c>
      <c r="V2501" s="17" ph="1">
        <v>8010</v>
      </c>
      <c r="W2501" s="17" ph="1">
        <v>4500</v>
      </c>
      <c r="X2501" s="13" t="s" ph="1">
        <v>4034</v>
      </c>
      <c r="Y2501" s="13" t="s" ph="1">
        <v>8696</v>
      </c>
    </row>
    <row r="2502" spans="1:25" ht="22.5" customHeight="1" ph="1" x14ac:dyDescent="0.35">
      <c r="C2502" s="13" t="s" ph="1">
        <v>7591</v>
      </c>
      <c r="D2502" s="123" ph="1">
        <v>5</v>
      </c>
      <c r="E2502" s="123" ph="1">
        <v>9</v>
      </c>
      <c r="G2502" s="13" t="s" ph="1">
        <v>708</v>
      </c>
      <c r="H2502" s="13" t="s" ph="1">
        <v>709</v>
      </c>
      <c r="I2502" s="13" t="s" ph="1">
        <v>629</v>
      </c>
      <c r="K2502" s="13" t="s" ph="1">
        <v>8694</v>
      </c>
      <c r="L2502" s="13" t="s" ph="1">
        <v>3628</v>
      </c>
      <c r="M2502" s="14" t="str" ph="1">
        <f>IFERROR(INDEX([1]!_born[生没年],
MATCH(I2502,[1]!_born[作],0)),"")</f>
        <v/>
      </c>
      <c r="N2502" s="14" t="str" ph="1">
        <f>IFERROR(INDEX([1]!_born[生没年],
MATCH(K2502,[1]!_born[作],0)),"")</f>
        <v/>
      </c>
      <c r="O2502" s="13" t="s" ph="1">
        <v>8695</v>
      </c>
      <c r="R2502" s="16" t="s" ph="1">
        <v>1491</v>
      </c>
      <c r="T2502" s="13" t="s" ph="1">
        <v>7949</v>
      </c>
      <c r="U2502" s="16" ph="1">
        <v>37464</v>
      </c>
      <c r="V2502" s="17" ph="1">
        <v>8010</v>
      </c>
      <c r="W2502" s="17" ph="1">
        <v>4500</v>
      </c>
      <c r="X2502" s="13" t="s" ph="1">
        <v>4034</v>
      </c>
      <c r="Y2502" s="13" t="s" ph="1">
        <v>8696</v>
      </c>
    </row>
    <row r="2503" spans="1:25" ht="22.5" customHeight="1" ph="1" x14ac:dyDescent="0.35">
      <c r="C2503" s="13" t="s" ph="1">
        <v>7591</v>
      </c>
      <c r="D2503" s="123" ph="1">
        <v>6</v>
      </c>
      <c r="E2503" s="123" ph="1">
        <v>9</v>
      </c>
      <c r="G2503" s="13" t="s" ph="1">
        <v>708</v>
      </c>
      <c r="H2503" s="13" t="s" ph="1">
        <v>709</v>
      </c>
      <c r="I2503" s="13" t="s" ph="1">
        <v>629</v>
      </c>
      <c r="K2503" s="13" t="s" ph="1">
        <v>8694</v>
      </c>
      <c r="L2503" s="13" t="s" ph="1">
        <v>3628</v>
      </c>
      <c r="M2503" s="14" t="str" ph="1">
        <f>IFERROR(INDEX([1]!_born[生没年],
MATCH(I2503,[1]!_born[作],0)),"")</f>
        <v/>
      </c>
      <c r="N2503" s="14" t="str" ph="1">
        <f>IFERROR(INDEX([1]!_born[生没年],
MATCH(K2503,[1]!_born[作],0)),"")</f>
        <v/>
      </c>
      <c r="O2503" s="13" t="s" ph="1">
        <v>8695</v>
      </c>
      <c r="R2503" s="16" t="s" ph="1">
        <v>1491</v>
      </c>
      <c r="T2503" s="13" t="s" ph="1">
        <v>7949</v>
      </c>
      <c r="U2503" s="16" ph="1">
        <v>37464</v>
      </c>
      <c r="V2503" s="17" ph="1">
        <v>8010</v>
      </c>
      <c r="W2503" s="17" ph="1">
        <v>4500</v>
      </c>
      <c r="X2503" s="13" t="s" ph="1">
        <v>4034</v>
      </c>
      <c r="Y2503" s="13" t="s" ph="1">
        <v>8696</v>
      </c>
    </row>
    <row r="2504" spans="1:25" ht="22.5" customHeight="1" ph="1" x14ac:dyDescent="0.35">
      <c r="C2504" s="13" t="s" ph="1">
        <v>7591</v>
      </c>
      <c r="D2504" s="123" ph="1">
        <v>7</v>
      </c>
      <c r="E2504" s="123" ph="1">
        <v>9</v>
      </c>
      <c r="G2504" s="13" t="s" ph="1">
        <v>708</v>
      </c>
      <c r="H2504" s="13" t="s" ph="1">
        <v>709</v>
      </c>
      <c r="I2504" s="13" t="s" ph="1">
        <v>629</v>
      </c>
      <c r="K2504" s="13" t="s" ph="1">
        <v>8694</v>
      </c>
      <c r="L2504" s="13" t="s" ph="1">
        <v>3628</v>
      </c>
      <c r="M2504" s="14" t="str" ph="1">
        <f>IFERROR(INDEX([1]!_born[生没年],
MATCH(I2504,[1]!_born[作],0)),"")</f>
        <v/>
      </c>
      <c r="N2504" s="14" t="str" ph="1">
        <f>IFERROR(INDEX([1]!_born[生没年],
MATCH(K2504,[1]!_born[作],0)),"")</f>
        <v/>
      </c>
      <c r="O2504" s="13" t="s" ph="1">
        <v>8695</v>
      </c>
      <c r="R2504" s="16" t="s" ph="1">
        <v>1491</v>
      </c>
      <c r="T2504" s="13" t="s" ph="1">
        <v>7949</v>
      </c>
      <c r="U2504" s="16" ph="1">
        <v>37464</v>
      </c>
      <c r="V2504" s="17" ph="1">
        <v>8010</v>
      </c>
      <c r="W2504" s="17" ph="1">
        <v>4500</v>
      </c>
      <c r="X2504" s="13" t="s" ph="1">
        <v>4034</v>
      </c>
      <c r="Y2504" s="13" t="s" ph="1">
        <v>8696</v>
      </c>
    </row>
    <row r="2505" spans="1:25" ht="22.5" customHeight="1" ph="1" x14ac:dyDescent="0.35">
      <c r="C2505" s="13" t="s" ph="1">
        <v>7591</v>
      </c>
      <c r="D2505" s="123" ph="1">
        <v>8</v>
      </c>
      <c r="E2505" s="123" ph="1">
        <v>9</v>
      </c>
      <c r="G2505" s="13" t="s" ph="1">
        <v>708</v>
      </c>
      <c r="H2505" s="13" t="s" ph="1">
        <v>709</v>
      </c>
      <c r="I2505" s="13" t="s" ph="1">
        <v>629</v>
      </c>
      <c r="K2505" s="13" t="s" ph="1">
        <v>8694</v>
      </c>
      <c r="L2505" s="13" t="s" ph="1">
        <v>3628</v>
      </c>
      <c r="M2505" s="14" t="str" ph="1">
        <f>IFERROR(INDEX([1]!_born[生没年],
MATCH(I2505,[1]!_born[作],0)),"")</f>
        <v/>
      </c>
      <c r="N2505" s="14" t="str" ph="1">
        <f>IFERROR(INDEX([1]!_born[生没年],
MATCH(K2505,[1]!_born[作],0)),"")</f>
        <v/>
      </c>
      <c r="O2505" s="13" t="s" ph="1">
        <v>8695</v>
      </c>
      <c r="R2505" s="16" t="s" ph="1">
        <v>1491</v>
      </c>
      <c r="T2505" s="13" t="s" ph="1">
        <v>7949</v>
      </c>
      <c r="U2505" s="16" ph="1">
        <v>37464</v>
      </c>
      <c r="V2505" s="17" ph="1">
        <v>8010</v>
      </c>
      <c r="W2505" s="17" ph="1">
        <v>4500</v>
      </c>
      <c r="X2505" s="13" t="s" ph="1">
        <v>4034</v>
      </c>
      <c r="Y2505" s="13" t="s" ph="1">
        <v>8696</v>
      </c>
    </row>
    <row r="2506" spans="1:25" ht="22.5" customHeight="1" ph="1" x14ac:dyDescent="0.35">
      <c r="C2506" s="13" t="s" ph="1">
        <v>7591</v>
      </c>
      <c r="D2506" s="123" ph="1">
        <v>9</v>
      </c>
      <c r="E2506" s="123" ph="1">
        <v>9</v>
      </c>
      <c r="G2506" s="13" t="s" ph="1">
        <v>708</v>
      </c>
      <c r="H2506" s="13" t="s" ph="1">
        <v>709</v>
      </c>
      <c r="I2506" s="13" t="s" ph="1">
        <v>629</v>
      </c>
      <c r="K2506" s="13" t="s" ph="1">
        <v>8694</v>
      </c>
      <c r="L2506" s="13" t="s" ph="1">
        <v>3628</v>
      </c>
      <c r="M2506" s="14" t="str" ph="1">
        <f>IFERROR(INDEX([1]!_born[生没年],
MATCH(I2506,[1]!_born[作],0)),"")</f>
        <v/>
      </c>
      <c r="N2506" s="14" t="str" ph="1">
        <f>IFERROR(INDEX([1]!_born[生没年],
MATCH(K2506,[1]!_born[作],0)),"")</f>
        <v/>
      </c>
      <c r="O2506" s="13" t="s" ph="1">
        <v>8695</v>
      </c>
      <c r="R2506" s="16" t="s" ph="1">
        <v>1491</v>
      </c>
      <c r="T2506" s="13" t="s" ph="1">
        <v>7949</v>
      </c>
      <c r="U2506" s="16" ph="1">
        <v>37464</v>
      </c>
      <c r="V2506" s="17" ph="1">
        <v>8010</v>
      </c>
      <c r="W2506" s="17" ph="1">
        <v>4500</v>
      </c>
      <c r="X2506" s="13" t="s" ph="1">
        <v>4034</v>
      </c>
      <c r="Y2506" s="13" t="s" ph="1">
        <v>8696</v>
      </c>
    </row>
    <row r="2507" spans="1:25" ht="22.5" customHeight="1" ph="1" x14ac:dyDescent="0.35">
      <c r="C2507" s="13" t="s" ph="1">
        <v>7591</v>
      </c>
      <c r="G2507" s="13" t="s" ph="1">
        <v>3599</v>
      </c>
      <c r="H2507" s="13" t="s" ph="1">
        <v>43</v>
      </c>
      <c r="I2507" s="13" t="s" ph="1">
        <v>8697</v>
      </c>
      <c r="M2507" s="14" t="str" ph="1">
        <f>IFERROR(INDEX([1]!_born[生没年],
MATCH(I2507,[1]!_born[作],0)),"")</f>
        <v/>
      </c>
      <c r="N2507" s="14" t="str" ph="1">
        <f>IFERROR(INDEX([1]!_born[生没年],
MATCH(K2507,[1]!_born[作],0)),"")</f>
        <v/>
      </c>
      <c r="O2507" s="13" t="s" ph="1">
        <v>8698</v>
      </c>
      <c r="T2507" s="13" t="s" ph="1">
        <v>8699</v>
      </c>
      <c r="U2507" s="16" t="s" ph="1">
        <v>2627</v>
      </c>
      <c r="W2507" s="17" ph="1">
        <v>0</v>
      </c>
      <c r="X2507" s="13" t="s" ph="1">
        <v>8700</v>
      </c>
    </row>
    <row r="2508" spans="1:25" ht="22.5" customHeight="1" ph="1" x14ac:dyDescent="0.35">
      <c r="C2508" s="13" t="s" ph="1">
        <v>7591</v>
      </c>
      <c r="G2508" s="13" t="s" ph="1">
        <v>3599</v>
      </c>
      <c r="H2508" s="13" t="s" ph="1">
        <v>709</v>
      </c>
      <c r="I2508" s="13" t="s" ph="1">
        <v>319</v>
      </c>
      <c r="K2508" s="13" t="s" ph="1">
        <v>8701</v>
      </c>
      <c r="L2508" s="13" t="s" ph="1">
        <v>3628</v>
      </c>
      <c r="M2508" s="14" t="str" ph="1">
        <f>IFERROR(INDEX([1]!_born[生没年],
MATCH(I2508,[1]!_born[作],0)),"")</f>
        <v/>
      </c>
      <c r="N2508" s="14" t="str" ph="1">
        <f>IFERROR(INDEX([1]!_born[生没年],
MATCH(K2508,[1]!_born[作],0)),"")</f>
        <v/>
      </c>
      <c r="O2508" s="13" t="s" ph="1">
        <v>8702</v>
      </c>
      <c r="R2508" s="16" t="s" ph="1">
        <v>1895</v>
      </c>
      <c r="T2508" s="13" t="s" ph="1">
        <v>7599</v>
      </c>
      <c r="V2508" s="17" ph="1">
        <v>320</v>
      </c>
    </row>
    <row r="2509" spans="1:25" ht="22.5" customHeight="1" ph="1" x14ac:dyDescent="0.35">
      <c r="C2509" s="13" t="s" ph="1">
        <v>7591</v>
      </c>
      <c r="G2509" s="13" t="s" ph="1">
        <v>1074</v>
      </c>
      <c r="H2509" s="13" t="s" ph="1">
        <v>709</v>
      </c>
      <c r="I2509" s="13" t="s" ph="1">
        <v>62</v>
      </c>
      <c r="K2509" s="13" t="s" ph="1">
        <v>8703</v>
      </c>
      <c r="L2509" s="13" t="s" ph="1">
        <v>3628</v>
      </c>
      <c r="M2509" s="14" t="str" ph="1">
        <f>IFERROR(INDEX([1]!_born[生没年],
MATCH(I2509,[1]!_born[作],0)),"")</f>
        <v/>
      </c>
      <c r="N2509" s="14" t="str" ph="1">
        <f>IFERROR(INDEX([1]!_born[生没年],
MATCH(K2509,[1]!_born[作],0)),"")</f>
        <v/>
      </c>
      <c r="O2509" s="13" t="s" ph="1">
        <v>8704</v>
      </c>
      <c r="R2509" s="16" t="s" ph="1">
        <v>8705</v>
      </c>
      <c r="T2509" s="13" t="s" ph="1">
        <v>7730</v>
      </c>
      <c r="U2509" s="16" ph="1">
        <v>36795</v>
      </c>
      <c r="V2509" s="17" ph="1">
        <f>1100*1.05</f>
        <v>1155</v>
      </c>
      <c r="W2509" s="17" ph="1">
        <f>1100*1.05</f>
        <v>1155</v>
      </c>
    </row>
    <row r="2510" spans="1:25" ht="22.5" customHeight="1" ph="1" x14ac:dyDescent="0.35">
      <c r="A2510" s="106" t="s" ph="1">
        <v>1896</v>
      </c>
      <c r="B2510" s="5" t="s" ph="1">
        <v>1480</v>
      </c>
      <c r="C2510" s="13" t="s" ph="1">
        <v>7591</v>
      </c>
      <c r="D2510" s="123" ph="1">
        <v>1</v>
      </c>
      <c r="E2510" s="123" ph="1">
        <v>2</v>
      </c>
      <c r="G2510" s="13" t="s" ph="1">
        <v>3599</v>
      </c>
      <c r="H2510" s="13" t="s" ph="1">
        <v>709</v>
      </c>
      <c r="I2510" s="13" t="s" ph="1">
        <v>352</v>
      </c>
      <c r="K2510" s="13" t="s" ph="1">
        <v>8706</v>
      </c>
      <c r="L2510" s="13" t="s" ph="1">
        <v>3628</v>
      </c>
      <c r="M2510" s="14" t="str" ph="1">
        <f>IFERROR(INDEX([1]!_born[生没年],
MATCH(I2510,[1]!_born[作],0)),"")</f>
        <v/>
      </c>
      <c r="N2510" s="14" t="str" ph="1">
        <f>IFERROR(INDEX([1]!_born[生没年],
MATCH(K2510,[1]!_born[作],0)),"")</f>
        <v/>
      </c>
      <c r="O2510" s="13" t="s" ph="1">
        <v>8707</v>
      </c>
      <c r="R2510" s="16" t="s" ph="1">
        <v>1005</v>
      </c>
      <c r="S2510" s="13" t="s" ph="1">
        <v>4103</v>
      </c>
      <c r="T2510" s="13" t="s" ph="1">
        <v>7649</v>
      </c>
      <c r="U2510" s="16" ph="1">
        <v>38588</v>
      </c>
      <c r="V2510" s="17" ph="1">
        <f>660*1.05</f>
        <v>693</v>
      </c>
      <c r="W2510" s="17" ph="1">
        <f>700/2</f>
        <v>350</v>
      </c>
      <c r="X2510" s="13" t="s" ph="1">
        <v>3792</v>
      </c>
    </row>
    <row r="2511" spans="1:25" ht="22.5" customHeight="1" ph="1" x14ac:dyDescent="0.35">
      <c r="A2511" s="106" t="s" ph="1">
        <v>1897</v>
      </c>
      <c r="B2511" s="5" t="s" ph="1">
        <v>1480</v>
      </c>
      <c r="C2511" s="13" t="s" ph="1">
        <v>7591</v>
      </c>
      <c r="D2511" s="123" ph="1">
        <v>2</v>
      </c>
      <c r="E2511" s="123" ph="1">
        <v>2</v>
      </c>
      <c r="G2511" s="13" t="s" ph="1">
        <v>3599</v>
      </c>
      <c r="H2511" s="13" t="s" ph="1">
        <v>709</v>
      </c>
      <c r="I2511" s="13" t="s" ph="1">
        <v>352</v>
      </c>
      <c r="K2511" s="13" t="s" ph="1">
        <v>8706</v>
      </c>
      <c r="L2511" s="13" t="s" ph="1">
        <v>3628</v>
      </c>
      <c r="M2511" s="14" t="str" ph="1">
        <f>IFERROR(INDEX([1]!_born[生没年],
MATCH(I2511,[1]!_born[作],0)),"")</f>
        <v/>
      </c>
      <c r="N2511" s="14" t="str" ph="1">
        <f>IFERROR(INDEX([1]!_born[生没年],
MATCH(K2511,[1]!_born[作],0)),"")</f>
        <v/>
      </c>
      <c r="O2511" s="13" t="s" ph="1">
        <v>8707</v>
      </c>
      <c r="R2511" s="16" t="s" ph="1">
        <v>1005</v>
      </c>
      <c r="S2511" s="13" t="s" ph="1">
        <v>4103</v>
      </c>
      <c r="T2511" s="13" t="s" ph="1">
        <v>7649</v>
      </c>
      <c r="U2511" s="16" ph="1">
        <v>38588</v>
      </c>
      <c r="V2511" s="17" ph="1">
        <f>660*1.05</f>
        <v>693</v>
      </c>
      <c r="W2511" s="17" ph="1">
        <f>700/2</f>
        <v>350</v>
      </c>
      <c r="X2511" s="13" t="s" ph="1">
        <v>3792</v>
      </c>
    </row>
    <row r="2512" spans="1:25" ht="22.5" customHeight="1" ph="1" x14ac:dyDescent="0.35">
      <c r="A2512" s="106" t="s" ph="1">
        <v>1898</v>
      </c>
      <c r="B2512" s="5" t="s" ph="1">
        <v>1899</v>
      </c>
      <c r="C2512" s="13" t="s" ph="1">
        <v>7591</v>
      </c>
      <c r="G2512" s="13" t="s" ph="1">
        <v>3599</v>
      </c>
      <c r="H2512" s="13" t="s" ph="1">
        <v>709</v>
      </c>
      <c r="M2512" s="14" t="str" ph="1">
        <f>IFERROR(INDEX([1]!_born[生没年],
MATCH(I2512,[1]!_born[作],0)),"")</f>
        <v/>
      </c>
      <c r="N2512" s="14" t="str" ph="1">
        <f>IFERROR(INDEX([1]!_born[生没年],
MATCH(K2512,[1]!_born[作],0)),"")</f>
        <v/>
      </c>
      <c r="O2512" s="22" t="s" ph="1">
        <v>8708</v>
      </c>
      <c r="R2512" s="16" t="s" ph="1">
        <v>1005</v>
      </c>
      <c r="S2512" s="13" t="s" ph="1">
        <v>1900</v>
      </c>
      <c r="T2512" s="13" t="s" ph="1">
        <v>1901</v>
      </c>
      <c r="U2512" s="16" ph="1">
        <v>38634</v>
      </c>
      <c r="V2512" s="17" ph="1">
        <f>ROUNDUP(883*1.03,0)</f>
        <v>910</v>
      </c>
      <c r="W2512" s="17" ph="1">
        <v>50</v>
      </c>
      <c r="X2512" s="13" t="s" ph="1">
        <v>6050</v>
      </c>
      <c r="Y2512" s="13" t="s" ph="1">
        <v>4064</v>
      </c>
    </row>
    <row r="2513" spans="1:25" s="7" customFormat="1" ht="22.5" customHeight="1" ph="1" x14ac:dyDescent="0.35">
      <c r="A2513" s="106" ph="1"/>
      <c r="B2513" s="5" ph="1"/>
      <c r="C2513" s="9" t="s" ph="1">
        <v>7591</v>
      </c>
      <c r="D2513" s="122" ph="1"/>
      <c r="E2513" s="122" ph="1"/>
      <c r="G2513" s="8" t="s" ph="1">
        <v>3599</v>
      </c>
      <c r="H2513" s="9" t="s" ph="1">
        <v>716</v>
      </c>
      <c r="M2513" s="7" t="str" ph="1">
        <f>IFERROR(INDEX([1]!_born[生没年],
MATCH(I2513,[1]!_born[作],0)),"")</f>
        <v/>
      </c>
      <c r="N2513" s="7" t="str" ph="1">
        <f>IFERROR(INDEX([1]!_born[生没年],
MATCH(K2513,[1]!_born[作],0)),"")</f>
        <v/>
      </c>
      <c r="R2513" s="10" ph="1"/>
      <c r="U2513" s="10" ph="1"/>
      <c r="V2513" s="11" ph="1"/>
      <c r="W2513" s="11" ph="1"/>
    </row>
    <row r="2514" spans="1:25" ht="22.5" customHeight="1" ph="1" x14ac:dyDescent="0.35">
      <c r="A2514" s="106" t="s" ph="1">
        <v>1902</v>
      </c>
      <c r="B2514" s="5" t="s" ph="1">
        <v>1480</v>
      </c>
      <c r="C2514" s="13" t="s" ph="1">
        <v>7591</v>
      </c>
      <c r="G2514" s="13" t="s" ph="1">
        <v>708</v>
      </c>
      <c r="H2514" s="13" t="s" ph="1">
        <v>716</v>
      </c>
      <c r="I2514" s="13" t="s" ph="1">
        <v>8709</v>
      </c>
      <c r="M2514" s="14" t="str" ph="1">
        <f>IFERROR(INDEX([1]!_born[生没年],
MATCH(I2514,[1]!_born[作],0)),"")</f>
        <v/>
      </c>
      <c r="N2514" s="14" t="str" ph="1">
        <f>IFERROR(INDEX([1]!_born[生没年],
MATCH(K2514,[1]!_born[作],0)),"")</f>
        <v/>
      </c>
      <c r="O2514" s="13" t="s" ph="1">
        <v>8710</v>
      </c>
      <c r="R2514" s="16" t="s" ph="1">
        <v>1903</v>
      </c>
      <c r="S2514" s="13" t="s" ph="1">
        <v>8711</v>
      </c>
      <c r="T2514" s="13" t="s" ph="1">
        <v>6868</v>
      </c>
      <c r="U2514" s="16" t="s" ph="1">
        <v>1531</v>
      </c>
      <c r="V2514" s="17" ph="1">
        <f>960*1.05</f>
        <v>1008</v>
      </c>
      <c r="W2514" s="17" ph="1">
        <f>960*1.05</f>
        <v>1008</v>
      </c>
    </row>
    <row r="2515" spans="1:25" ht="22.5" customHeight="1" ph="1" x14ac:dyDescent="0.35">
      <c r="C2515" s="13" t="s" ph="1">
        <v>7591</v>
      </c>
      <c r="G2515" s="13" t="s" ph="1">
        <v>3793</v>
      </c>
      <c r="H2515" s="13" t="s" ph="1">
        <v>716</v>
      </c>
      <c r="I2515" s="13" t="s" ph="1">
        <v>8712</v>
      </c>
      <c r="M2515" s="14" t="str" ph="1">
        <f>IFERROR(INDEX([1]!_born[生没年],
MATCH(I2515,[1]!_born[作],0)),"")</f>
        <v/>
      </c>
      <c r="N2515" s="14" t="str" ph="1">
        <f>IFERROR(INDEX([1]!_born[生没年],
MATCH(K2515,[1]!_born[作],0)),"")</f>
        <v/>
      </c>
      <c r="O2515" s="13" t="s" ph="1">
        <v>8713</v>
      </c>
      <c r="T2515" s="13" t="s" ph="1">
        <v>5147</v>
      </c>
      <c r="V2515" s="17" ph="1">
        <v>362</v>
      </c>
      <c r="W2515" s="17"/>
      <c r="X2515" s="13" t="s" ph="1">
        <v>592</v>
      </c>
      <c r="Y2515" s="5" ph="1"/>
    </row>
    <row r="2516" spans="1:25" ht="22.5" customHeight="1" ph="1" x14ac:dyDescent="0.35">
      <c r="C2516" s="13" t="s" ph="1">
        <v>7591</v>
      </c>
      <c r="G2516" s="13" t="s" ph="1">
        <v>3599</v>
      </c>
      <c r="H2516" s="13" t="s" ph="1">
        <v>716</v>
      </c>
      <c r="I2516" s="13" t="s" ph="1">
        <v>8714</v>
      </c>
      <c r="M2516" s="14" t="str" ph="1">
        <f>IFERROR(INDEX([1]!_born[生没年],
MATCH(I2516,[1]!_born[作],0)),"")</f>
        <v/>
      </c>
      <c r="N2516" s="14" t="str" ph="1">
        <f>IFERROR(INDEX([1]!_born[生没年],
MATCH(K2516,[1]!_born[作],0)),"")</f>
        <v/>
      </c>
      <c r="O2516" s="13" t="s" ph="1">
        <v>8715</v>
      </c>
      <c r="R2516" s="16" t="s" ph="1">
        <v>1003</v>
      </c>
      <c r="T2516" s="13" t="s" ph="1">
        <v>7614</v>
      </c>
      <c r="V2516" s="17" ph="1">
        <v>380</v>
      </c>
    </row>
    <row r="2517" spans="1:25" ht="22.5" customHeight="1" ph="1" x14ac:dyDescent="0.35">
      <c r="C2517" s="13" t="s" ph="1">
        <v>7591</v>
      </c>
      <c r="G2517" s="13" t="s" ph="1">
        <v>708</v>
      </c>
      <c r="H2517" s="13" t="s" ph="1">
        <v>716</v>
      </c>
      <c r="I2517" s="13" t="s" ph="1">
        <v>8716</v>
      </c>
      <c r="J2517" s="13" t="s" ph="1">
        <v>8717</v>
      </c>
      <c r="M2517" s="14" t="str" ph="1">
        <f>IFERROR(INDEX([1]!_born[生没年],
MATCH(I2517,[1]!_born[作],0)),"")</f>
        <v/>
      </c>
      <c r="N2517" s="14" t="str" ph="1">
        <f>IFERROR(INDEX([1]!_born[生没年],
MATCH(K2517,[1]!_born[作],0)),"")</f>
        <v/>
      </c>
      <c r="O2517" s="13" t="s" ph="1">
        <v>8718</v>
      </c>
      <c r="R2517" s="16" t="s" ph="1">
        <v>924</v>
      </c>
      <c r="S2517" s="13" t="s" ph="1">
        <v>385</v>
      </c>
      <c r="T2517" s="13" t="s" ph="1">
        <v>8719</v>
      </c>
      <c r="V2517" s="17" ph="1">
        <v>440</v>
      </c>
    </row>
    <row r="2518" spans="1:25" ht="22.5" customHeight="1" ph="1" x14ac:dyDescent="0.35">
      <c r="A2518" s="106" t="s" ph="1">
        <v>1904</v>
      </c>
      <c r="B2518" s="5" t="s" ph="1">
        <v>1905</v>
      </c>
      <c r="C2518" s="13" t="s" ph="1">
        <v>7591</v>
      </c>
      <c r="G2518" s="13" t="s" ph="1">
        <v>708</v>
      </c>
      <c r="H2518" s="13" t="s" ph="1">
        <v>716</v>
      </c>
      <c r="I2518" s="13" t="s" ph="1">
        <v>8720</v>
      </c>
      <c r="M2518" s="14" t="str" ph="1">
        <f>IFERROR(INDEX([1]!_born[生没年],
MATCH(I2518,[1]!_born[作],0)),"")</f>
        <v/>
      </c>
      <c r="N2518" s="14" t="str" ph="1">
        <f>IFERROR(INDEX([1]!_born[生没年],
MATCH(K2518,[1]!_born[作],0)),"")</f>
        <v/>
      </c>
      <c r="O2518" s="13" t="s" ph="1">
        <v>8721</v>
      </c>
      <c r="R2518" s="16" t="s" ph="1">
        <v>1906</v>
      </c>
      <c r="T2518" s="13" t="s" ph="1">
        <v>8722</v>
      </c>
      <c r="U2518" s="16" ph="1">
        <v>38655</v>
      </c>
      <c r="V2518" s="17" ph="1">
        <f>369*1.03</f>
        <v>380.07</v>
      </c>
      <c r="W2518" s="17" ph="1">
        <v>60</v>
      </c>
      <c r="X2518" s="13" t="s" ph="1">
        <v>2629</v>
      </c>
      <c r="Y2518" s="13" t="s" ph="1">
        <v>8723</v>
      </c>
    </row>
    <row r="2519" spans="1:25" ht="22.5" customHeight="1" ph="1" x14ac:dyDescent="0.35">
      <c r="C2519" s="13" t="s" ph="1">
        <v>7591</v>
      </c>
      <c r="G2519" s="13" t="s" ph="1">
        <v>708</v>
      </c>
      <c r="H2519" s="13" t="s" ph="1">
        <v>716</v>
      </c>
      <c r="I2519" s="13" t="s" ph="1">
        <v>8724</v>
      </c>
      <c r="M2519" s="14" t="str" ph="1">
        <f>IFERROR(INDEX([1]!_born[生没年],
MATCH(I2519,[1]!_born[作],0)),"")</f>
        <v/>
      </c>
      <c r="N2519" s="14" t="str" ph="1">
        <f>IFERROR(INDEX([1]!_born[生没年],
MATCH(K2519,[1]!_born[作],0)),"")</f>
        <v/>
      </c>
      <c r="O2519" s="13" t="s" ph="1">
        <v>8725</v>
      </c>
      <c r="R2519" s="16" t="s" ph="1">
        <v>766</v>
      </c>
      <c r="T2519" s="13" t="s" ph="1">
        <v>7730</v>
      </c>
      <c r="V2519" s="17" ph="1">
        <v>690</v>
      </c>
    </row>
    <row r="2520" spans="1:25" ht="22.5" customHeight="1" ph="1" x14ac:dyDescent="0.35">
      <c r="C2520" s="13" t="s" ph="1">
        <v>7591</v>
      </c>
      <c r="G2520" s="13" t="s" ph="1">
        <v>708</v>
      </c>
      <c r="H2520" s="13" t="s" ph="1">
        <v>716</v>
      </c>
      <c r="I2520" s="13" t="s" ph="1">
        <v>8724</v>
      </c>
      <c r="M2520" s="14" t="str" ph="1">
        <f>IFERROR(INDEX([1]!_born[生没年],
MATCH(I2520,[1]!_born[作],0)),"")</f>
        <v/>
      </c>
      <c r="N2520" s="14" t="str" ph="1">
        <f>IFERROR(INDEX([1]!_born[生没年],
MATCH(K2520,[1]!_born[作],0)),"")</f>
        <v/>
      </c>
      <c r="O2520" s="13" t="s" ph="1">
        <v>8726</v>
      </c>
      <c r="R2520" s="16" t="s" ph="1">
        <v>988</v>
      </c>
      <c r="T2520" s="13" t="s" ph="1">
        <v>7730</v>
      </c>
      <c r="V2520" s="17" ph="1">
        <v>780</v>
      </c>
    </row>
    <row r="2521" spans="1:25" ht="22.5" customHeight="1" ph="1" x14ac:dyDescent="0.35">
      <c r="C2521" s="13" t="s" ph="1">
        <v>7591</v>
      </c>
      <c r="G2521" s="13" t="s" ph="1">
        <v>3599</v>
      </c>
      <c r="H2521" s="13" t="s" ph="1">
        <v>716</v>
      </c>
      <c r="I2521" s="13" t="s" ph="1">
        <v>8727</v>
      </c>
      <c r="M2521" s="14" t="str" ph="1">
        <f>IFERROR(INDEX([1]!_born[生没年],
MATCH(I2521,[1]!_born[作],0)),"")</f>
        <v/>
      </c>
      <c r="N2521" s="14" t="str" ph="1">
        <f>IFERROR(INDEX([1]!_born[生没年],
MATCH(K2521,[1]!_born[作],0)),"")</f>
        <v/>
      </c>
      <c r="O2521" s="13" t="s" ph="1">
        <v>8728</v>
      </c>
      <c r="R2521" s="16" t="s" ph="1">
        <v>1003</v>
      </c>
      <c r="T2521" s="13" t="s" ph="1">
        <v>5147</v>
      </c>
      <c r="V2521" s="17" ph="1">
        <v>360</v>
      </c>
    </row>
    <row r="2522" spans="1:25" ht="22.5" customHeight="1" ph="1" x14ac:dyDescent="0.35">
      <c r="C2522" s="13" t="s" ph="1">
        <v>7591</v>
      </c>
      <c r="G2522" s="13" t="s" ph="1">
        <v>46</v>
      </c>
      <c r="H2522" s="13" t="s" ph="1">
        <v>61</v>
      </c>
      <c r="I2522" s="13" t="s" ph="1">
        <v>8729</v>
      </c>
      <c r="M2522" s="14" t="str" ph="1">
        <f>IFERROR(INDEX([1]!_born[生没年],
MATCH(I2522,[1]!_born[作],0)),"")</f>
        <v/>
      </c>
      <c r="N2522" s="14" t="str" ph="1">
        <f>IFERROR(INDEX([1]!_born[生没年],
MATCH(K2522,[1]!_born[作],0)),"")</f>
        <v/>
      </c>
      <c r="O2522" s="13" t="s" ph="1">
        <v>8730</v>
      </c>
      <c r="R2522" s="16" t="s" ph="1">
        <v>2834</v>
      </c>
      <c r="T2522" s="13" t="s" ph="1">
        <v>8731</v>
      </c>
      <c r="U2522" s="16" t="s" ph="1">
        <v>2835</v>
      </c>
      <c r="V2522" s="17" ph="1">
        <v>250</v>
      </c>
      <c r="W2522" s="17" ph="1">
        <v>0</v>
      </c>
      <c r="X2522" s="13" t="s" ph="1">
        <v>4970</v>
      </c>
    </row>
    <row r="2523" spans="1:25" ht="22.5" customHeight="1" ph="1" x14ac:dyDescent="0.35">
      <c r="C2523" s="13" t="s" ph="1">
        <v>7591</v>
      </c>
      <c r="G2523" s="13" t="s" ph="1">
        <v>708</v>
      </c>
      <c r="H2523" s="13" t="s" ph="1">
        <v>716</v>
      </c>
      <c r="I2523" s="13" t="s" ph="1">
        <v>8732</v>
      </c>
      <c r="M2523" s="14" t="str" ph="1">
        <f>IFERROR(INDEX([1]!_born[生没年],
MATCH(I2523,[1]!_born[作],0)),"")</f>
        <v/>
      </c>
      <c r="N2523" s="14" t="str" ph="1">
        <f>IFERROR(INDEX([1]!_born[生没年],
MATCH(K2523,[1]!_born[作],0)),"")</f>
        <v/>
      </c>
      <c r="O2523" s="13" t="s" ph="1">
        <v>8733</v>
      </c>
      <c r="T2523" s="13" t="s" ph="1">
        <v>8734</v>
      </c>
      <c r="V2523" s="17" ph="1">
        <v>480</v>
      </c>
      <c r="W2523" s="17" ph="1">
        <v>240</v>
      </c>
    </row>
    <row r="2524" spans="1:25" ht="22.5" customHeight="1" ph="1" x14ac:dyDescent="0.35">
      <c r="C2524" s="13" t="s" ph="1">
        <v>7591</v>
      </c>
      <c r="G2524" s="13" t="s" ph="1">
        <v>3599</v>
      </c>
      <c r="H2524" s="13" t="s" ph="1">
        <v>716</v>
      </c>
      <c r="I2524" s="13" t="s" ph="1">
        <v>7373</v>
      </c>
      <c r="M2524" s="14" t="str" ph="1">
        <f>IFERROR(INDEX([1]!_born[生没年],
MATCH(I2524,[1]!_born[作],0)),"")</f>
        <v/>
      </c>
      <c r="N2524" s="14" t="str" ph="1">
        <f>IFERROR(INDEX([1]!_born[生没年],
MATCH(K2524,[1]!_born[作],0)),"")</f>
        <v/>
      </c>
      <c r="O2524" s="13" t="s" ph="1">
        <v>8735</v>
      </c>
      <c r="R2524" s="16" t="s" ph="1">
        <v>783</v>
      </c>
      <c r="T2524" s="13" t="s" ph="1">
        <v>5147</v>
      </c>
      <c r="V2524" s="17" ph="1">
        <v>480</v>
      </c>
    </row>
    <row r="2525" spans="1:25" ht="22.5" customHeight="1" ph="1" x14ac:dyDescent="0.35">
      <c r="A2525" s="106" t="s" ph="1">
        <v>1907</v>
      </c>
      <c r="B2525" s="5" t="s" ph="1">
        <v>1905</v>
      </c>
      <c r="C2525" s="13" t="s" ph="1">
        <v>7591</v>
      </c>
      <c r="G2525" s="13" t="s" ph="1">
        <v>3599</v>
      </c>
      <c r="H2525" s="13" t="s" ph="1">
        <v>716</v>
      </c>
      <c r="I2525" s="13" t="s" ph="1">
        <v>7373</v>
      </c>
      <c r="M2525" s="14" t="str" ph="1">
        <f>IFERROR(INDEX([1]!_born[生没年],
MATCH(I2525,[1]!_born[作],0)),"")</f>
        <v/>
      </c>
      <c r="N2525" s="14" t="str" ph="1">
        <f>IFERROR(INDEX([1]!_born[生没年],
MATCH(K2525,[1]!_born[作],0)),"")</f>
        <v/>
      </c>
      <c r="O2525" s="13" t="s" ph="1">
        <v>8736</v>
      </c>
      <c r="R2525" s="16" t="s" ph="1">
        <v>800</v>
      </c>
      <c r="T2525" s="13" t="s" ph="1">
        <v>7664</v>
      </c>
      <c r="U2525" s="16" ph="1">
        <v>38962</v>
      </c>
      <c r="V2525" s="17" ph="1">
        <f>583*1.03</f>
        <v>600.49</v>
      </c>
      <c r="W2525" s="17" ph="1">
        <v>350</v>
      </c>
      <c r="X2525" s="13" t="s" ph="1">
        <v>1908</v>
      </c>
    </row>
    <row r="2526" spans="1:25" ht="22.5" customHeight="1" ph="1" x14ac:dyDescent="0.35">
      <c r="C2526" s="13" t="s" ph="1">
        <v>7591</v>
      </c>
      <c r="G2526" s="13" t="s" ph="1">
        <v>3599</v>
      </c>
      <c r="H2526" s="13" t="s" ph="1">
        <v>716</v>
      </c>
      <c r="I2526" s="13" t="s" ph="1">
        <v>7373</v>
      </c>
      <c r="M2526" s="14" t="str" ph="1">
        <f>IFERROR(INDEX([1]!_born[生没年],
MATCH(I2526,[1]!_born[作],0)),"")</f>
        <v/>
      </c>
      <c r="N2526" s="14" t="str" ph="1">
        <f>IFERROR(INDEX([1]!_born[生没年],
MATCH(K2526,[1]!_born[作],0)),"")</f>
        <v/>
      </c>
      <c r="O2526" s="13" t="s" ph="1">
        <v>8737</v>
      </c>
      <c r="R2526" s="16" t="s" ph="1">
        <v>1005</v>
      </c>
      <c r="T2526" s="13" t="s" ph="1">
        <v>5147</v>
      </c>
      <c r="V2526" s="17" ph="1">
        <v>440</v>
      </c>
    </row>
    <row r="2527" spans="1:25" ht="22.5" customHeight="1" ph="1" x14ac:dyDescent="0.35">
      <c r="C2527" s="13" t="s" ph="1">
        <v>7591</v>
      </c>
      <c r="G2527" s="13" t="s" ph="1">
        <v>4597</v>
      </c>
      <c r="H2527" s="13" t="s" ph="1">
        <v>4423</v>
      </c>
      <c r="I2527" s="24" t="s" ph="1">
        <v>4598</v>
      </c>
      <c r="M2527" s="14" t="str" ph="1">
        <f>IFERROR(INDEX([1]!_born[生没年],
MATCH(I2527,[1]!_born[作],0)),"")</f>
        <v/>
      </c>
      <c r="N2527" s="14" t="str" ph="1">
        <f>IFERROR(INDEX([1]!_born[生没年],
MATCH(K2527,[1]!_born[作],0)),"")</f>
        <v/>
      </c>
      <c r="O2527" s="24" t="s" ph="1">
        <v>4599</v>
      </c>
      <c r="T2527" s="13" t="s" ph="1">
        <v>8140</v>
      </c>
      <c r="U2527" s="16" t="s" ph="1">
        <v>706</v>
      </c>
      <c r="V2527" s="17" ph="1">
        <v>540</v>
      </c>
      <c r="W2527" s="17" ph="1">
        <v>0</v>
      </c>
      <c r="Y2527" s="13" t="s" ph="1">
        <v>8741</v>
      </c>
    </row>
    <row r="2528" spans="1:25" s="19" customFormat="1" ht="22.5" customHeight="1" ph="1" x14ac:dyDescent="0.35">
      <c r="A2528" s="106" t="s" ph="1">
        <v>3176</v>
      </c>
      <c r="B2528" s="5" t="s" ph="1">
        <v>3177</v>
      </c>
      <c r="C2528" s="13" t="s" ph="1">
        <v>7591</v>
      </c>
      <c r="D2528" s="123" ph="1"/>
      <c r="E2528" s="123" ph="1"/>
      <c r="F2528" s="13" ph="1"/>
      <c r="G2528" s="13" t="s" ph="1">
        <v>3599</v>
      </c>
      <c r="H2528" s="13" t="s" ph="1">
        <v>2987</v>
      </c>
      <c r="I2528" s="13" t="s" ph="1">
        <v>8742</v>
      </c>
      <c r="J2528" s="13" ph="1"/>
      <c r="K2528" s="13" ph="1"/>
      <c r="L2528" s="13" ph="1"/>
      <c r="M2528" s="14" t="str" ph="1">
        <f>IFERROR(INDEX([1]!_born[生没年],
MATCH(I2528,[1]!_born[作],0)),"")</f>
        <v/>
      </c>
      <c r="N2528" s="14" t="str" ph="1">
        <f>IFERROR(INDEX([1]!_born[生没年],
MATCH(K2528,[1]!_born[作],0)),"")</f>
        <v/>
      </c>
      <c r="O2528" s="13" t="s" ph="1">
        <v>8743</v>
      </c>
      <c r="P2528" s="13" ph="1"/>
      <c r="Q2528" s="13" ph="1"/>
      <c r="R2528" s="16" ph="1">
        <v>40887</v>
      </c>
      <c r="S2528" s="13" t="s" ph="1">
        <v>8744</v>
      </c>
      <c r="T2528" s="13" t="s" ph="1">
        <v>7730</v>
      </c>
      <c r="U2528" s="16" ph="1">
        <v>44921</v>
      </c>
      <c r="V2528" s="17" ph="1">
        <f>1200*1.1</f>
        <v>1320</v>
      </c>
      <c r="W2528" s="17" ph="1">
        <v>485</v>
      </c>
      <c r="X2528" s="13" t="s" ph="1">
        <v>8745</v>
      </c>
      <c r="Y2528" s="13" ph="1"/>
    </row>
    <row r="2529" spans="1:25" ht="22.5" customHeight="1" ph="1" x14ac:dyDescent="0.35">
      <c r="C2529" s="13" t="s" ph="1">
        <v>7591</v>
      </c>
      <c r="G2529" s="13" t="s" ph="1">
        <v>1909</v>
      </c>
      <c r="H2529" s="13" t="s" ph="1">
        <v>716</v>
      </c>
      <c r="I2529" s="13" t="s" ph="1">
        <v>8746</v>
      </c>
      <c r="J2529" s="13" t="s" ph="1">
        <v>6129</v>
      </c>
      <c r="M2529" s="14" t="str" ph="1">
        <f>IFERROR(INDEX([1]!_born[生没年],
MATCH(I2529,[1]!_born[作],0)),"")</f>
        <v/>
      </c>
      <c r="N2529" s="14" t="str" ph="1">
        <f>IFERROR(INDEX([1]!_born[生没年],
MATCH(K2529,[1]!_born[作],0)),"")</f>
        <v/>
      </c>
      <c r="O2529" s="13" t="s" ph="1">
        <v>8747</v>
      </c>
      <c r="R2529" s="16" t="s" ph="1">
        <v>988</v>
      </c>
      <c r="S2529" s="13" t="s" ph="1">
        <v>191</v>
      </c>
      <c r="T2529" s="13" t="s" ph="1">
        <v>8748</v>
      </c>
      <c r="V2529" s="17" ph="1">
        <f>854*1.05</f>
        <v>896.7</v>
      </c>
    </row>
    <row r="2530" spans="1:25" ht="22.5" customHeight="1" ph="1" x14ac:dyDescent="0.35">
      <c r="C2530" s="13" t="s" ph="1">
        <v>7591</v>
      </c>
      <c r="G2530" s="13" t="s" ph="1">
        <v>3599</v>
      </c>
      <c r="H2530" s="13" t="s" ph="1">
        <v>716</v>
      </c>
      <c r="I2530" s="13" t="s" ph="1">
        <v>8749</v>
      </c>
      <c r="M2530" s="14" t="str" ph="1">
        <f>IFERROR(INDEX([1]!_born[生没年],
MATCH(I2530,[1]!_born[作],0)),"")</f>
        <v/>
      </c>
      <c r="N2530" s="14" t="str" ph="1">
        <f>IFERROR(INDEX([1]!_born[生没年],
MATCH(K2530,[1]!_born[作],0)),"")</f>
        <v/>
      </c>
      <c r="O2530" s="13" t="s" ph="1">
        <v>8750</v>
      </c>
      <c r="R2530" s="16" t="s" ph="1">
        <v>1005</v>
      </c>
      <c r="T2530" s="13" t="s" ph="1">
        <v>7614</v>
      </c>
      <c r="V2530" s="17" ph="1">
        <v>460</v>
      </c>
    </row>
    <row r="2531" spans="1:25" ht="22.5" customHeight="1" ph="1" x14ac:dyDescent="0.35">
      <c r="C2531" s="13" t="s" ph="1">
        <v>7591</v>
      </c>
      <c r="G2531" s="13" t="s" ph="1">
        <v>3599</v>
      </c>
      <c r="H2531" s="13" t="s" ph="1">
        <v>716</v>
      </c>
      <c r="I2531" s="13" t="s" ph="1">
        <v>195</v>
      </c>
      <c r="K2531" s="13" t="s" ph="1">
        <v>8751</v>
      </c>
      <c r="L2531" s="13" t="s" ph="1">
        <v>3616</v>
      </c>
      <c r="M2531" s="14" t="str" ph="1">
        <f>IFERROR(INDEX([1]!_born[生没年],
MATCH(I2531,[1]!_born[作],0)),"")</f>
        <v/>
      </c>
      <c r="N2531" s="14" t="str" ph="1">
        <f>IFERROR(INDEX([1]!_born[生没年],
MATCH(K2531,[1]!_born[作],0)),"")</f>
        <v/>
      </c>
      <c r="O2531" s="13" t="s" ph="1">
        <v>8752</v>
      </c>
      <c r="T2531" s="13" t="s" ph="1">
        <v>7614</v>
      </c>
      <c r="V2531" s="17" ph="1">
        <v>400</v>
      </c>
      <c r="W2531" s="17" ph="1">
        <v>150</v>
      </c>
    </row>
    <row r="2532" spans="1:25" ht="22.5" customHeight="1" ph="1" x14ac:dyDescent="0.35">
      <c r="C2532" s="13" t="s" ph="1">
        <v>7591</v>
      </c>
      <c r="G2532" s="13" t="s" ph="1">
        <v>708</v>
      </c>
      <c r="H2532" s="13" t="s" ph="1">
        <v>716</v>
      </c>
      <c r="I2532" s="13" t="s" ph="1">
        <v>8753</v>
      </c>
      <c r="J2532" s="13" t="s" ph="1">
        <v>8754</v>
      </c>
      <c r="M2532" s="14" t="str" ph="1">
        <f>IFERROR(INDEX([1]!_born[生没年],
MATCH(I2532,[1]!_born[作],0)),"")</f>
        <v/>
      </c>
      <c r="N2532" s="14" t="str" ph="1">
        <f>IFERROR(INDEX([1]!_born[生没年],
MATCH(K2532,[1]!_born[作],0)),"")</f>
        <v/>
      </c>
      <c r="O2532" s="13" t="s" ph="1">
        <v>8755</v>
      </c>
      <c r="T2532" s="13" t="s" ph="1">
        <v>8756</v>
      </c>
      <c r="U2532" s="16" ph="1">
        <v>36904</v>
      </c>
      <c r="V2532" s="17" ph="1">
        <f>619*1.05</f>
        <v>649.95000000000005</v>
      </c>
      <c r="W2532" s="17" ph="1">
        <f>619*1.05</f>
        <v>649.95000000000005</v>
      </c>
      <c r="X2532" s="5" ph="1"/>
      <c r="Y2532" s="5" t="s" ph="1">
        <v>8757</v>
      </c>
    </row>
    <row r="2533" spans="1:25" ht="22.5" customHeight="1" ph="1" x14ac:dyDescent="0.35">
      <c r="C2533" s="13" t="s" ph="1">
        <v>7591</v>
      </c>
      <c r="G2533" s="13" t="s" ph="1">
        <v>3803</v>
      </c>
      <c r="H2533" s="13" t="s" ph="1">
        <v>716</v>
      </c>
      <c r="I2533" s="13" t="s" ph="1">
        <v>8758</v>
      </c>
      <c r="M2533" s="14" t="str" ph="1">
        <f>IFERROR(INDEX([1]!_born[生没年],
MATCH(I2533,[1]!_born[作],0)),"")</f>
        <v/>
      </c>
      <c r="N2533" s="14" t="str" ph="1">
        <f>IFERROR(INDEX([1]!_born[生没年],
MATCH(K2533,[1]!_born[作],0)),"")</f>
        <v/>
      </c>
      <c r="O2533" s="13" t="s" ph="1">
        <v>8759</v>
      </c>
      <c r="T2533" s="13" t="s" ph="1">
        <v>8760</v>
      </c>
      <c r="U2533" s="16" t="s" ph="1">
        <v>706</v>
      </c>
      <c r="V2533" s="17" ph="1">
        <v>940</v>
      </c>
    </row>
    <row r="2534" spans="1:25" ht="22.5" customHeight="1" ph="1" x14ac:dyDescent="0.35">
      <c r="A2534" s="106" t="s" ph="1">
        <v>2935</v>
      </c>
      <c r="C2534" s="13" t="s" ph="1">
        <v>25</v>
      </c>
      <c r="G2534" s="13" t="s" ph="1">
        <v>1910</v>
      </c>
      <c r="H2534" s="13" t="s" ph="1">
        <v>61</v>
      </c>
      <c r="I2534" s="13" t="s" ph="1">
        <v>8761</v>
      </c>
      <c r="M2534" s="14" t="str" ph="1">
        <f>IFERROR(INDEX([1]!_born[生没年],
MATCH(I2534,[1]!_born[作],0)),"")</f>
        <v/>
      </c>
      <c r="N2534" s="14" t="str" ph="1">
        <f>IFERROR(INDEX([1]!_born[生没年],
MATCH(K2534,[1]!_born[作],0)),"")</f>
        <v/>
      </c>
      <c r="O2534" s="13" t="s" ph="1">
        <v>8762</v>
      </c>
      <c r="R2534" s="16" ph="1">
        <v>36093</v>
      </c>
      <c r="S2534" s="13" t="s" ph="1">
        <v>8097</v>
      </c>
      <c r="T2534" s="13" t="s" ph="1">
        <v>4890</v>
      </c>
      <c r="U2534" s="16" ph="1">
        <v>42630</v>
      </c>
      <c r="V2534" s="17" ph="1">
        <f>457*1.05</f>
        <v>479.85</v>
      </c>
      <c r="W2534" s="17" ph="1">
        <f>1+257</f>
        <v>258</v>
      </c>
      <c r="X2534" s="13" t="s" ph="1">
        <v>4082</v>
      </c>
    </row>
    <row r="2535" spans="1:25" ht="22.5" customHeight="1" ph="1" x14ac:dyDescent="0.35">
      <c r="C2535" s="13" t="s" ph="1">
        <v>7591</v>
      </c>
      <c r="G2535" s="13" t="s" ph="1">
        <v>1910</v>
      </c>
      <c r="H2535" s="13" t="s" ph="1">
        <v>716</v>
      </c>
      <c r="I2535" s="13" t="s" ph="1">
        <v>8761</v>
      </c>
      <c r="M2535" s="14" t="str" ph="1">
        <f>IFERROR(INDEX([1]!_born[生没年],
MATCH(I2535,[1]!_born[作],0)),"")</f>
        <v/>
      </c>
      <c r="N2535" s="14" t="str" ph="1">
        <f>IFERROR(INDEX([1]!_born[生没年],
MATCH(K2535,[1]!_born[作],0)),"")</f>
        <v/>
      </c>
      <c r="O2535" s="13" t="s" ph="1">
        <v>8763</v>
      </c>
      <c r="S2535" s="13" t="s" ph="1">
        <v>8097</v>
      </c>
      <c r="T2535" s="13" t="s" ph="1">
        <v>4890</v>
      </c>
      <c r="U2535" s="16" ph="1">
        <v>36471</v>
      </c>
      <c r="V2535" s="17" ph="1">
        <f>457*1.05</f>
        <v>479.85</v>
      </c>
    </row>
    <row r="2536" spans="1:25" ht="22.5" customHeight="1" ph="1" x14ac:dyDescent="0.35">
      <c r="C2536" s="13" t="s" ph="1">
        <v>7591</v>
      </c>
      <c r="G2536" s="13" t="s" ph="1">
        <v>1910</v>
      </c>
      <c r="H2536" s="13" t="s" ph="1">
        <v>716</v>
      </c>
      <c r="I2536" s="13" t="s" ph="1">
        <v>8761</v>
      </c>
      <c r="M2536" s="14" t="str" ph="1">
        <f>IFERROR(INDEX([1]!_born[生没年],
MATCH(I2536,[1]!_born[作],0)),"")</f>
        <v/>
      </c>
      <c r="N2536" s="14" t="str" ph="1">
        <f>IFERROR(INDEX([1]!_born[生没年],
MATCH(K2536,[1]!_born[作],0)),"")</f>
        <v/>
      </c>
      <c r="O2536" s="13" t="s" ph="1">
        <v>8764</v>
      </c>
      <c r="S2536" s="13" t="s" ph="1">
        <v>8097</v>
      </c>
      <c r="T2536" s="13" t="s" ph="1">
        <v>4890</v>
      </c>
      <c r="U2536" s="16" ph="1">
        <v>39028</v>
      </c>
      <c r="V2536" s="17" ph="1">
        <f>495*1.05</f>
        <v>519.75</v>
      </c>
      <c r="W2536" s="17" ph="1">
        <v>240</v>
      </c>
      <c r="X2536" s="13" t="s" ph="1">
        <v>3792</v>
      </c>
    </row>
    <row r="2537" spans="1:25" ht="22.5" customHeight="1" ph="1" x14ac:dyDescent="0.35">
      <c r="A2537" s="106" t="s" ph="1">
        <v>1911</v>
      </c>
      <c r="B2537" s="5" t="s" ph="1">
        <v>1905</v>
      </c>
      <c r="C2537" s="13" t="s" ph="1">
        <v>7591</v>
      </c>
      <c r="G2537" s="13" t="s" ph="1">
        <v>708</v>
      </c>
      <c r="H2537" s="13" t="s" ph="1">
        <v>716</v>
      </c>
      <c r="I2537" s="13" t="s" ph="1">
        <v>8765</v>
      </c>
      <c r="M2537" s="14" t="str" ph="1">
        <f>IFERROR(INDEX([1]!_born[生没年],
MATCH(I2537,[1]!_born[作],0)),"")</f>
        <v/>
      </c>
      <c r="N2537" s="14" t="str" ph="1">
        <f>IFERROR(INDEX([1]!_born[生没年],
MATCH(K2537,[1]!_born[作],0)),"")</f>
        <v/>
      </c>
      <c r="O2537" s="13" t="s" ph="1">
        <v>8766</v>
      </c>
      <c r="R2537" s="16" t="s" ph="1">
        <v>8767</v>
      </c>
      <c r="T2537" s="13" t="s" ph="1">
        <v>5147</v>
      </c>
      <c r="U2537" s="16" t="s" ph="1">
        <v>887</v>
      </c>
      <c r="V2537" s="17" ph="1">
        <f>438*1.05</f>
        <v>459.90000000000003</v>
      </c>
      <c r="W2537" s="17" ph="1">
        <f>438*1.05</f>
        <v>459.90000000000003</v>
      </c>
    </row>
    <row r="2538" spans="1:25" ht="22.5" customHeight="1" ph="1" x14ac:dyDescent="0.35">
      <c r="A2538" s="106" t="s" ph="1">
        <v>3121</v>
      </c>
      <c r="B2538" s="5" t="s" ph="1">
        <v>1142</v>
      </c>
      <c r="C2538" s="13" t="s" ph="1">
        <v>7591</v>
      </c>
      <c r="G2538" s="13" t="s" ph="1">
        <v>46</v>
      </c>
      <c r="H2538" s="13" t="s" ph="1">
        <v>61</v>
      </c>
      <c r="I2538" s="13" t="s" ph="1">
        <v>8768</v>
      </c>
      <c r="M2538" s="14" t="str" ph="1">
        <f>IFERROR(INDEX([1]!_born[生没年],
MATCH(I2538,[1]!_born[作],0)),"")</f>
        <v/>
      </c>
      <c r="N2538" s="14" t="str" ph="1">
        <f>IFERROR(INDEX([1]!_born[生没年],
MATCH(K2538,[1]!_born[作],0)),"")</f>
        <v/>
      </c>
      <c r="O2538" s="13" t="s" ph="1">
        <v>8769</v>
      </c>
      <c r="R2538" s="16" ph="1">
        <v>42022</v>
      </c>
      <c r="S2538" s="16" t="s" ph="1">
        <v>8770</v>
      </c>
      <c r="T2538" s="13" t="s" ph="1">
        <v>4702</v>
      </c>
      <c r="U2538" s="16" ph="1">
        <v>44554</v>
      </c>
      <c r="V2538" s="17" ph="1">
        <f>556*1.08</f>
        <v>600.48</v>
      </c>
      <c r="W2538" s="17" ph="1">
        <v>500</v>
      </c>
      <c r="X2538" s="13" t="s" ph="1">
        <v>2793</v>
      </c>
    </row>
    <row r="2539" spans="1:25" ht="22.5" customHeight="1" ph="1" x14ac:dyDescent="0.35">
      <c r="A2539" s="106" t="s" ph="1">
        <v>1912</v>
      </c>
      <c r="B2539" s="5" t="s" ph="1">
        <v>1913</v>
      </c>
      <c r="C2539" s="13" t="s" ph="1">
        <v>7591</v>
      </c>
      <c r="G2539" s="13" t="s" ph="1">
        <v>1074</v>
      </c>
      <c r="H2539" s="13" t="s" ph="1">
        <v>716</v>
      </c>
      <c r="I2539" s="13" t="s" ph="1">
        <v>8771</v>
      </c>
      <c r="M2539" s="14" t="str" ph="1">
        <f>IFERROR(INDEX([1]!_born[生没年],
MATCH(I2539,[1]!_born[作],0)),"")</f>
        <v/>
      </c>
      <c r="N2539" s="14" t="str" ph="1">
        <f>IFERROR(INDEX([1]!_born[生没年],
MATCH(K2539,[1]!_born[作],0)),"")</f>
        <v/>
      </c>
      <c r="O2539" s="13" t="s" ph="1">
        <v>8772</v>
      </c>
      <c r="R2539" s="16" t="s" ph="1">
        <v>8773</v>
      </c>
      <c r="T2539" s="13" t="s" ph="1">
        <v>7758</v>
      </c>
      <c r="U2539" s="16" ph="1">
        <v>38900</v>
      </c>
      <c r="V2539" s="17" ph="1">
        <f>1300*1.05</f>
        <v>1365</v>
      </c>
      <c r="W2539" s="17" ph="1">
        <f>1300*1.05</f>
        <v>1365</v>
      </c>
      <c r="X2539" s="13" t="s" ph="1">
        <v>3802</v>
      </c>
    </row>
    <row r="2540" spans="1:25" ht="22.5" customHeight="1" ph="1" x14ac:dyDescent="0.35">
      <c r="A2540" s="106" t="s" ph="1">
        <v>1915</v>
      </c>
      <c r="B2540" s="5" t="s" ph="1">
        <v>1916</v>
      </c>
      <c r="C2540" s="13" t="s" ph="1">
        <v>7591</v>
      </c>
      <c r="G2540" s="13" t="s" ph="1">
        <v>708</v>
      </c>
      <c r="H2540" s="13" t="s" ph="1">
        <v>716</v>
      </c>
      <c r="I2540" s="13" t="s" ph="1">
        <v>3744</v>
      </c>
      <c r="M2540" s="14" t="str" ph="1">
        <f>IFERROR(INDEX([1]!_born[生没年],
MATCH(I2540,[1]!_born[作],0)),"")</f>
        <v/>
      </c>
      <c r="N2540" s="14" t="str" ph="1">
        <f>IFERROR(INDEX([1]!_born[生没年],
MATCH(K2540,[1]!_born[作],0)),"")</f>
        <v/>
      </c>
      <c r="O2540" s="13" t="s" ph="1">
        <v>8774</v>
      </c>
      <c r="R2540" s="16" t="s" ph="1">
        <v>987</v>
      </c>
      <c r="T2540" s="13" t="s" ph="1">
        <v>7758</v>
      </c>
      <c r="U2540" s="16" ph="1">
        <v>38588</v>
      </c>
      <c r="V2540" s="17" ph="1">
        <f>1100*1.05</f>
        <v>1155</v>
      </c>
      <c r="W2540" s="17" ph="1">
        <v>650</v>
      </c>
      <c r="X2540" s="13" t="s" ph="1">
        <v>3792</v>
      </c>
    </row>
    <row r="2541" spans="1:25" ht="22.5" customHeight="1" ph="1" x14ac:dyDescent="0.35">
      <c r="A2541" s="106" t="s" ph="1">
        <v>1917</v>
      </c>
      <c r="B2541" s="5" t="s" ph="1">
        <v>1916</v>
      </c>
      <c r="C2541" s="13" t="s" ph="1">
        <v>7591</v>
      </c>
      <c r="G2541" s="13" t="s" ph="1">
        <v>708</v>
      </c>
      <c r="H2541" s="13" t="s" ph="1">
        <v>716</v>
      </c>
      <c r="I2541" s="13" t="s" ph="1">
        <v>8775</v>
      </c>
      <c r="M2541" s="14" t="str" ph="1">
        <f>IFERROR(INDEX([1]!_born[生没年],
MATCH(I2541,[1]!_born[作],0)),"")</f>
        <v/>
      </c>
      <c r="N2541" s="14" t="str" ph="1">
        <f>IFERROR(INDEX([1]!_born[生没年],
MATCH(K2541,[1]!_born[作],0)),"")</f>
        <v/>
      </c>
      <c r="O2541" s="13" t="s" ph="1">
        <v>8776</v>
      </c>
      <c r="R2541" s="16" t="s" ph="1">
        <v>966</v>
      </c>
      <c r="T2541" s="13" t="s" ph="1">
        <v>7758</v>
      </c>
      <c r="U2541" s="16" ph="1">
        <v>38588</v>
      </c>
      <c r="V2541" s="17" ph="1">
        <f>950*1.05</f>
        <v>997.5</v>
      </c>
      <c r="W2541" s="17" ph="1">
        <v>550</v>
      </c>
      <c r="X2541" s="13" t="s" ph="1">
        <v>3792</v>
      </c>
    </row>
    <row r="2542" spans="1:25" ht="22.5" customHeight="1" ph="1" x14ac:dyDescent="0.35">
      <c r="C2542" s="13" t="s" ph="1">
        <v>7591</v>
      </c>
      <c r="D2542" s="123" ph="1">
        <v>1</v>
      </c>
      <c r="E2542" s="123" t="s" ph="1">
        <v>1225</v>
      </c>
      <c r="G2542" s="13" t="s" ph="1">
        <v>3793</v>
      </c>
      <c r="H2542" s="13" t="s" ph="1">
        <v>709</v>
      </c>
      <c r="I2542" s="13" t="s" ph="1">
        <v>8777</v>
      </c>
      <c r="M2542" s="14" t="str" ph="1">
        <f>IFERROR(INDEX([1]!_born[生没年],
MATCH(I2542,[1]!_born[作],0)),"")</f>
        <v/>
      </c>
      <c r="N2542" s="14" t="str" ph="1">
        <f>IFERROR(INDEX([1]!_born[生没年],
MATCH(K2542,[1]!_born[作],0)),"")</f>
        <v/>
      </c>
      <c r="O2542" s="13" t="s" ph="1">
        <v>8778</v>
      </c>
      <c r="S2542" s="13" t="s" ph="1">
        <v>8779</v>
      </c>
      <c r="T2542" s="13" t="s" ph="1">
        <v>8780</v>
      </c>
      <c r="U2542" s="16" t="s" ph="1">
        <v>706</v>
      </c>
      <c r="W2542" s="17" ph="1">
        <v>0</v>
      </c>
      <c r="Y2542" s="13" t="s" ph="1">
        <v>8035</v>
      </c>
    </row>
    <row r="2543" spans="1:25" ht="22.5" customHeight="1" ph="1" x14ac:dyDescent="0.35">
      <c r="C2543" s="13" t="s" ph="1">
        <v>7591</v>
      </c>
      <c r="G2543" s="13" t="s" ph="1">
        <v>3793</v>
      </c>
      <c r="H2543" s="13" t="s" ph="1">
        <v>716</v>
      </c>
      <c r="I2543" s="13" t="s" ph="1">
        <v>8777</v>
      </c>
      <c r="M2543" s="14" t="str" ph="1">
        <f>IFERROR(INDEX([1]!_born[生没年],
MATCH(I2543,[1]!_born[作],0)),"")</f>
        <v/>
      </c>
      <c r="N2543" s="14" t="str" ph="1">
        <f>IFERROR(INDEX([1]!_born[生没年],
MATCH(K2543,[1]!_born[作],0)),"")</f>
        <v/>
      </c>
      <c r="O2543" s="13" t="s" ph="1">
        <v>8781</v>
      </c>
      <c r="T2543" s="13" t="s" ph="1">
        <v>8734</v>
      </c>
      <c r="V2543" s="17" ph="1">
        <v>480</v>
      </c>
      <c r="W2543" s="17" ph="1">
        <v>240</v>
      </c>
    </row>
    <row r="2544" spans="1:25" ht="22.5" customHeight="1" ph="1" x14ac:dyDescent="0.35">
      <c r="C2544" s="13" t="s" ph="1">
        <v>7591</v>
      </c>
      <c r="G2544" s="13" t="s" ph="1">
        <v>3793</v>
      </c>
      <c r="H2544" s="13" t="s" ph="1">
        <v>716</v>
      </c>
      <c r="I2544" s="13" t="s" ph="1">
        <v>8777</v>
      </c>
      <c r="M2544" s="14" t="str" ph="1">
        <f>IFERROR(INDEX([1]!_born[生没年],
MATCH(I2544,[1]!_born[作],0)),"")</f>
        <v/>
      </c>
      <c r="N2544" s="14" t="str" ph="1">
        <f>IFERROR(INDEX([1]!_born[生没年],
MATCH(K2544,[1]!_born[作],0)),"")</f>
        <v/>
      </c>
      <c r="O2544" s="13" t="s" ph="1">
        <v>8782</v>
      </c>
      <c r="T2544" s="13" t="s" ph="1">
        <v>8734</v>
      </c>
      <c r="V2544" s="17" ph="1">
        <v>480</v>
      </c>
      <c r="W2544" s="17" ph="1">
        <v>240</v>
      </c>
    </row>
    <row r="2545" spans="1:25" ht="22.5" customHeight="1" ph="1" x14ac:dyDescent="0.35">
      <c r="C2545" s="13" t="s" ph="1">
        <v>7591</v>
      </c>
      <c r="G2545" s="13" t="s" ph="1">
        <v>3599</v>
      </c>
      <c r="H2545" s="13" t="s" ph="1">
        <v>716</v>
      </c>
      <c r="I2545" s="13" t="s" ph="1">
        <v>8783</v>
      </c>
      <c r="M2545" s="14" t="str" ph="1">
        <f>IFERROR(INDEX([1]!_born[生没年],
MATCH(I2545,[1]!_born[作],0)),"")</f>
        <v/>
      </c>
      <c r="N2545" s="14" t="str" ph="1">
        <f>IFERROR(INDEX([1]!_born[生没年],
MATCH(K2545,[1]!_born[作],0)),"")</f>
        <v/>
      </c>
      <c r="O2545" s="13" t="s" ph="1">
        <v>8784</v>
      </c>
      <c r="R2545" s="16" t="s" ph="1">
        <v>1514</v>
      </c>
      <c r="T2545" s="13" t="s" ph="1">
        <v>7599</v>
      </c>
      <c r="V2545" s="17" ph="1">
        <v>300</v>
      </c>
    </row>
    <row r="2546" spans="1:25" ht="22.5" customHeight="1" ph="1" x14ac:dyDescent="0.35">
      <c r="C2546" s="13" t="s" ph="1">
        <v>7591</v>
      </c>
      <c r="G2546" s="13" t="s" ph="1">
        <v>708</v>
      </c>
      <c r="H2546" s="13" t="s" ph="1">
        <v>1918</v>
      </c>
      <c r="I2546" s="13" t="s" ph="1">
        <v>93</v>
      </c>
      <c r="K2546" s="13" t="s" ph="1">
        <v>8785</v>
      </c>
      <c r="L2546" s="13" t="s" ph="1">
        <v>8468</v>
      </c>
      <c r="M2546" s="14" t="str" ph="1">
        <f>IFERROR(INDEX([1]!_born[生没年],
MATCH(I2546,[1]!_born[作],0)),"")</f>
        <v/>
      </c>
      <c r="N2546" s="14" t="str" ph="1">
        <f>IFERROR(INDEX([1]!_born[生没年],
MATCH(K2546,[1]!_born[作],0)),"")</f>
        <v/>
      </c>
      <c r="O2546" s="13" t="s" ph="1">
        <v>8786</v>
      </c>
      <c r="R2546" s="16" t="s" ph="1">
        <v>190</v>
      </c>
      <c r="S2546" s="13" t="s" ph="1">
        <v>8787</v>
      </c>
      <c r="T2546" s="13" t="s" ph="1">
        <v>8788</v>
      </c>
      <c r="V2546" s="17" ph="1">
        <v>680</v>
      </c>
      <c r="Y2546" s="13" t="s" ph="1">
        <v>8789</v>
      </c>
    </row>
    <row r="2547" spans="1:25" ht="22.5" customHeight="1" ph="1" x14ac:dyDescent="0.35">
      <c r="A2547" s="106" t="s" ph="1">
        <v>2801</v>
      </c>
      <c r="B2547" s="5" t="s" ph="1">
        <v>2802</v>
      </c>
      <c r="C2547" s="13" t="s" ph="1">
        <v>7591</v>
      </c>
      <c r="G2547" s="13" t="s" ph="1">
        <v>3599</v>
      </c>
      <c r="H2547" s="13" t="s" ph="1">
        <v>61</v>
      </c>
      <c r="I2547" s="13" t="s" ph="1">
        <v>8790</v>
      </c>
      <c r="M2547" s="14" t="str" ph="1">
        <f>IFERROR(INDEX([1]!_born[生没年],
MATCH(I2547,[1]!_born[作],0)),"")</f>
        <v/>
      </c>
      <c r="N2547" s="14" t="str" ph="1">
        <f>IFERROR(INDEX([1]!_born[生没年],
MATCH(K2547,[1]!_born[作],0)),"")</f>
        <v/>
      </c>
      <c r="O2547" s="13" t="s" ph="1">
        <v>8791</v>
      </c>
      <c r="R2547" s="16" ph="1">
        <v>38777</v>
      </c>
      <c r="T2547" s="13" t="s" ph="1">
        <v>5147</v>
      </c>
      <c r="U2547" s="16" t="s" ph="1">
        <v>2797</v>
      </c>
      <c r="V2547" s="17" ph="1">
        <f>362*1.05</f>
        <v>380.1</v>
      </c>
      <c r="W2547" s="17" t="s" ph="1">
        <v>1225</v>
      </c>
      <c r="X2547" s="13" t="s" ph="1">
        <v>1225</v>
      </c>
    </row>
    <row r="2548" spans="1:25" ht="22.5" customHeight="1" ph="1" x14ac:dyDescent="0.35">
      <c r="C2548" s="13" t="s" ph="1">
        <v>7591</v>
      </c>
      <c r="G2548" s="13" t="s" ph="1">
        <v>3599</v>
      </c>
      <c r="H2548" s="13" t="s" ph="1">
        <v>716</v>
      </c>
      <c r="I2548" s="13" t="s" ph="1">
        <v>8792</v>
      </c>
      <c r="M2548" s="14" t="str" ph="1">
        <f>IFERROR(INDEX([1]!_born[生没年],
MATCH(I2548,[1]!_born[作],0)),"")</f>
        <v/>
      </c>
      <c r="N2548" s="14" t="str" ph="1">
        <f>IFERROR(INDEX([1]!_born[生没年],
MATCH(K2548,[1]!_born[作],0)),"")</f>
        <v/>
      </c>
      <c r="O2548" s="13" t="s" ph="1">
        <v>8793</v>
      </c>
      <c r="T2548" s="13" t="s" ph="1">
        <v>8794</v>
      </c>
      <c r="U2548" s="16" t="s" ph="1">
        <v>706</v>
      </c>
      <c r="V2548" s="17" t="s" ph="1">
        <v>1919</v>
      </c>
      <c r="W2548" s="17" ph="1">
        <v>0</v>
      </c>
    </row>
    <row r="2549" spans="1:25" ht="22.5" customHeight="1" ph="1" x14ac:dyDescent="0.35">
      <c r="C2549" s="13" t="s" ph="1">
        <v>7591</v>
      </c>
      <c r="G2549" s="13" t="s" ph="1">
        <v>3599</v>
      </c>
      <c r="H2549" s="13" t="s" ph="1">
        <v>716</v>
      </c>
      <c r="I2549" s="13" t="s" ph="1">
        <v>8795</v>
      </c>
      <c r="M2549" s="14" t="str" ph="1">
        <f>IFERROR(INDEX([1]!_born[生没年],
MATCH(I2549,[1]!_born[作],0)),"")</f>
        <v/>
      </c>
      <c r="N2549" s="14" t="str" ph="1">
        <f>IFERROR(INDEX([1]!_born[生没年],
MATCH(K2549,[1]!_born[作],0)),"")</f>
        <v/>
      </c>
      <c r="O2549" s="13" t="s" ph="1">
        <v>8796</v>
      </c>
      <c r="R2549" s="16" t="s" ph="1">
        <v>804</v>
      </c>
      <c r="T2549" s="13" t="s" ph="1">
        <v>5147</v>
      </c>
      <c r="V2549" s="17" ph="1">
        <v>240</v>
      </c>
    </row>
    <row r="2550" spans="1:25" ht="22.5" customHeight="1" ph="1" x14ac:dyDescent="0.35">
      <c r="C2550" s="13" t="s" ph="1">
        <v>7591</v>
      </c>
      <c r="G2550" s="13" t="s" ph="1">
        <v>3599</v>
      </c>
      <c r="H2550" s="13" t="s" ph="1">
        <v>716</v>
      </c>
      <c r="I2550" s="13" t="s" ph="1">
        <v>8797</v>
      </c>
      <c r="M2550" s="14" t="str" ph="1">
        <f>IFERROR(INDEX([1]!_born[生没年],
MATCH(I2550,[1]!_born[作],0)),"")</f>
        <v/>
      </c>
      <c r="N2550" s="14" t="str" ph="1">
        <f>IFERROR(INDEX([1]!_born[生没年],
MATCH(K2550,[1]!_born[作],0)),"")</f>
        <v/>
      </c>
      <c r="O2550" s="13" t="s" ph="1">
        <v>8798</v>
      </c>
      <c r="R2550" s="16" t="s" ph="1">
        <v>924</v>
      </c>
      <c r="T2550" s="13" t="s" ph="1">
        <v>5147</v>
      </c>
      <c r="V2550" s="17" ph="1">
        <v>520</v>
      </c>
    </row>
    <row r="2551" spans="1:25" ht="22.5" customHeight="1" ph="1" x14ac:dyDescent="0.35">
      <c r="C2551" s="13" t="s" ph="1">
        <v>7591</v>
      </c>
      <c r="G2551" s="13" t="s" ph="1">
        <v>3599</v>
      </c>
      <c r="H2551" s="13" t="s" ph="1">
        <v>716</v>
      </c>
      <c r="I2551" s="13" t="s" ph="1">
        <v>8799</v>
      </c>
      <c r="M2551" s="14" t="str" ph="1">
        <f>IFERROR(INDEX([1]!_born[生没年],
MATCH(I2551,[1]!_born[作],0)),"")</f>
        <v/>
      </c>
      <c r="N2551" s="14" t="str" ph="1">
        <f>IFERROR(INDEX([1]!_born[生没年],
MATCH(K2551,[1]!_born[作],0)),"")</f>
        <v/>
      </c>
      <c r="O2551" s="13" t="s" ph="1">
        <v>8800</v>
      </c>
      <c r="R2551" s="16" t="s" ph="1">
        <v>988</v>
      </c>
      <c r="T2551" s="13" t="s" ph="1">
        <v>6868</v>
      </c>
      <c r="U2551" s="16" ph="1">
        <v>36795</v>
      </c>
      <c r="V2551" s="17" ph="1">
        <f>1050*1.05</f>
        <v>1102.5</v>
      </c>
      <c r="W2551" s="17" ph="1">
        <f>1050*1.05</f>
        <v>1102.5</v>
      </c>
    </row>
    <row r="2552" spans="1:25" ht="22.5" customHeight="1" ph="1" x14ac:dyDescent="0.35">
      <c r="C2552" s="13" t="s" ph="1">
        <v>7591</v>
      </c>
      <c r="G2552" s="13" t="s" ph="1">
        <v>3599</v>
      </c>
      <c r="H2552" s="13" t="s" ph="1">
        <v>716</v>
      </c>
      <c r="I2552" s="13" t="s" ph="1">
        <v>8799</v>
      </c>
      <c r="J2552" s="13" t="s" ph="1">
        <v>8801</v>
      </c>
      <c r="K2552" s="13" t="s" ph="1">
        <v>8802</v>
      </c>
      <c r="L2552" s="13" t="s" ph="1">
        <v>8803</v>
      </c>
      <c r="M2552" s="14" t="str" ph="1">
        <f>IFERROR(INDEX([1]!_born[生没年],
MATCH(I2552,[1]!_born[作],0)),"")</f>
        <v/>
      </c>
      <c r="N2552" s="14" t="str" ph="1">
        <f>IFERROR(INDEX([1]!_born[生没年],
MATCH(K2552,[1]!_born[作],0)),"")</f>
        <v/>
      </c>
      <c r="O2552" s="13" t="s" ph="1">
        <v>8804</v>
      </c>
      <c r="R2552" s="16" t="s" ph="1">
        <v>930</v>
      </c>
      <c r="T2552" s="13" t="s" ph="1">
        <v>7853</v>
      </c>
      <c r="V2552" s="17" ph="1">
        <v>440</v>
      </c>
      <c r="W2552" s="17" ph="1">
        <v>200</v>
      </c>
    </row>
    <row r="2553" spans="1:25" ht="22.5" customHeight="1" ph="1" x14ac:dyDescent="0.35">
      <c r="C2553" s="13" t="s" ph="1">
        <v>7591</v>
      </c>
      <c r="G2553" s="13" t="s" ph="1">
        <v>3803</v>
      </c>
      <c r="H2553" s="13" t="s" ph="1">
        <v>716</v>
      </c>
      <c r="I2553" s="13" t="s" ph="1">
        <v>274</v>
      </c>
      <c r="J2553" s="13" t="s" ph="1">
        <v>8805</v>
      </c>
      <c r="M2553" s="14" t="str" ph="1">
        <f>IFERROR(INDEX([1]!_born[生没年],
MATCH(I2553,[1]!_born[作],0)),"")</f>
        <v/>
      </c>
      <c r="N2553" s="14" t="str" ph="1">
        <f>IFERROR(INDEX([1]!_born[生没年],
MATCH(K2553,[1]!_born[作],0)),"")</f>
        <v/>
      </c>
      <c r="O2553" s="13" t="s" ph="1">
        <v>8806</v>
      </c>
      <c r="T2553" s="13" t="s" ph="1">
        <v>3995</v>
      </c>
      <c r="V2553" s="17" ph="1">
        <v>580</v>
      </c>
    </row>
    <row r="2554" spans="1:25" ht="22.5" customHeight="1" ph="1" x14ac:dyDescent="0.35">
      <c r="C2554" s="13" t="s" ph="1">
        <v>7591</v>
      </c>
      <c r="G2554" s="13" t="s" ph="1">
        <v>3884</v>
      </c>
      <c r="H2554" s="13" t="s" ph="1">
        <v>716</v>
      </c>
      <c r="I2554" s="13" t="s" ph="1">
        <v>8807</v>
      </c>
      <c r="M2554" s="14" t="str" ph="1">
        <f>IFERROR(INDEX([1]!_born[生没年],
MATCH(I2554,[1]!_born[作],0)),"")</f>
        <v/>
      </c>
      <c r="N2554" s="14" t="str" ph="1">
        <f>IFERROR(INDEX([1]!_born[生没年],
MATCH(K2554,[1]!_born[作],0)),"")</f>
        <v/>
      </c>
      <c r="O2554" s="15" t="s" ph="1">
        <v>8808</v>
      </c>
      <c r="T2554" s="13" t="s" ph="1">
        <v>8809</v>
      </c>
      <c r="U2554" s="16" t="s" ph="1">
        <v>706</v>
      </c>
      <c r="V2554" s="17" ph="1">
        <v>600</v>
      </c>
    </row>
    <row r="2555" spans="1:25" ht="22.5" customHeight="1" ph="1" x14ac:dyDescent="0.35">
      <c r="A2555" s="106" t="s" ph="1">
        <v>1920</v>
      </c>
      <c r="C2555" s="13" t="s" ph="1">
        <v>7591</v>
      </c>
      <c r="G2555" s="13" t="s" ph="1">
        <v>3599</v>
      </c>
      <c r="H2555" s="13" t="s" ph="1">
        <v>716</v>
      </c>
      <c r="I2555" s="13" t="s" ph="1">
        <v>8810</v>
      </c>
      <c r="M2555" s="14" t="str" ph="1">
        <f>IFERROR(INDEX([1]!_born[生没年],
MATCH(I2555,[1]!_born[作],0)),"")</f>
        <v/>
      </c>
      <c r="N2555" s="14" t="str" ph="1">
        <f>IFERROR(INDEX([1]!_born[生没年],
MATCH(K2555,[1]!_born[作],0)),"")</f>
        <v/>
      </c>
      <c r="O2555" s="13" t="s" ph="1">
        <v>8811</v>
      </c>
      <c r="R2555" s="16" t="s" ph="1">
        <v>8812</v>
      </c>
      <c r="T2555" s="13" t="s" ph="1">
        <v>5147</v>
      </c>
      <c r="U2555" s="16" t="s" ph="1">
        <v>1501</v>
      </c>
      <c r="V2555" s="17" ph="1">
        <f>705*1.05</f>
        <v>740.25</v>
      </c>
      <c r="W2555" s="17" ph="1">
        <f>705*1.05</f>
        <v>740.25</v>
      </c>
    </row>
    <row r="2556" spans="1:25" ht="22.5" customHeight="1" ph="1" x14ac:dyDescent="0.35">
      <c r="C2556" s="13" t="s" ph="1">
        <v>7591</v>
      </c>
      <c r="G2556" s="13" t="s" ph="1">
        <v>3793</v>
      </c>
      <c r="H2556" s="13" t="s" ph="1">
        <v>716</v>
      </c>
      <c r="I2556" s="13" t="s" ph="1">
        <v>8813</v>
      </c>
      <c r="M2556" s="14" t="str" ph="1">
        <f>IFERROR(INDEX([1]!_born[生没年],
MATCH(I2556,[1]!_born[作],0)),"")</f>
        <v/>
      </c>
      <c r="N2556" s="14" t="str" ph="1">
        <f>IFERROR(INDEX([1]!_born[生没年],
MATCH(K2556,[1]!_born[作],0)),"")</f>
        <v/>
      </c>
      <c r="O2556" s="13" t="s" ph="1">
        <v>8814</v>
      </c>
      <c r="T2556" s="13" t="s" ph="1">
        <v>8734</v>
      </c>
      <c r="V2556" s="17" ph="1">
        <v>480</v>
      </c>
      <c r="W2556" s="17" ph="1">
        <v>240</v>
      </c>
    </row>
    <row r="2557" spans="1:25" ht="22.5" customHeight="1" ph="1" x14ac:dyDescent="0.35">
      <c r="A2557" s="106" t="s" ph="1">
        <v>1925</v>
      </c>
      <c r="C2557" s="13" t="s" ph="1">
        <v>7591</v>
      </c>
      <c r="G2557" s="13" t="s" ph="1">
        <v>3624</v>
      </c>
      <c r="H2557" s="13" t="s" ph="1">
        <v>709</v>
      </c>
      <c r="I2557" s="13" t="s" ph="1">
        <v>8815</v>
      </c>
      <c r="M2557" s="14" t="str" ph="1">
        <f>IFERROR(INDEX([1]!_born[生没年],
MATCH(I2557,[1]!_born[作],0)),"")</f>
        <v/>
      </c>
      <c r="N2557" s="14" t="str" ph="1">
        <f>IFERROR(INDEX([1]!_born[生没年],
MATCH(K2557,[1]!_born[作],0)),"")</f>
        <v/>
      </c>
      <c r="O2557" s="13" t="s" ph="1">
        <v>8816</v>
      </c>
      <c r="R2557" s="16" t="s" ph="1">
        <v>966</v>
      </c>
      <c r="S2557" s="13" t="s" ph="1">
        <v>8817</v>
      </c>
      <c r="T2557" s="13" t="s" ph="1">
        <v>8818</v>
      </c>
      <c r="U2557" s="16" ph="1">
        <v>38268</v>
      </c>
      <c r="V2557" s="17" ph="1">
        <f>1000*1.05</f>
        <v>1050</v>
      </c>
      <c r="W2557" s="17" ph="1">
        <v>315</v>
      </c>
      <c r="X2557" s="13" t="s" ph="1">
        <v>3632</v>
      </c>
      <c r="Y2557" s="13" t="s" ph="1">
        <v>8819</v>
      </c>
    </row>
    <row r="2558" spans="1:25" ht="22.5" customHeight="1" ph="1" x14ac:dyDescent="0.35">
      <c r="C2558" s="13" t="s" ph="1">
        <v>7591</v>
      </c>
      <c r="G2558" s="13" t="s" ph="1">
        <v>708</v>
      </c>
      <c r="H2558" s="13" t="s" ph="1">
        <v>716</v>
      </c>
      <c r="I2558" s="13" t="s" ph="1">
        <v>6595</v>
      </c>
      <c r="M2558" s="14" t="str" ph="1">
        <f>IFERROR(INDEX([1]!_born[生没年],
MATCH(I2558,[1]!_born[作],0)),"")</f>
        <v/>
      </c>
      <c r="N2558" s="14" t="str" ph="1">
        <f>IFERROR(INDEX([1]!_born[生没年],
MATCH(K2558,[1]!_born[作],0)),"")</f>
        <v/>
      </c>
      <c r="O2558" s="13" t="s" ph="1">
        <v>8820</v>
      </c>
      <c r="S2558" s="13" t="s" ph="1">
        <v>8821</v>
      </c>
      <c r="T2558" s="13" t="s" ph="1">
        <v>8822</v>
      </c>
      <c r="V2558" s="17" ph="1">
        <v>470</v>
      </c>
    </row>
    <row r="2559" spans="1:25" ht="22.5" customHeight="1" ph="1" x14ac:dyDescent="0.35">
      <c r="C2559" s="13" t="s" ph="1">
        <v>7591</v>
      </c>
      <c r="G2559" s="13" t="s" ph="1">
        <v>708</v>
      </c>
      <c r="H2559" s="13" t="s" ph="1">
        <v>716</v>
      </c>
      <c r="I2559" s="13" t="s" ph="1">
        <v>6595</v>
      </c>
      <c r="M2559" s="14" t="str" ph="1">
        <f>IFERROR(INDEX([1]!_born[生没年],
MATCH(I2559,[1]!_born[作],0)),"")</f>
        <v/>
      </c>
      <c r="N2559" s="14" t="str" ph="1">
        <f>IFERROR(INDEX([1]!_born[生没年],
MATCH(K2559,[1]!_born[作],0)),"")</f>
        <v/>
      </c>
      <c r="O2559" s="13" t="s" ph="1">
        <v>8823</v>
      </c>
      <c r="S2559" s="13" t="s" ph="1">
        <v>8824</v>
      </c>
      <c r="T2559" s="13" t="s" ph="1">
        <v>8822</v>
      </c>
      <c r="V2559" s="17" ph="1">
        <f>563*1.05</f>
        <v>591.15</v>
      </c>
    </row>
    <row r="2560" spans="1:25" ht="22.5" customHeight="1" ph="1" x14ac:dyDescent="0.35">
      <c r="C2560" s="13" t="s" ph="1">
        <v>7591</v>
      </c>
      <c r="G2560" s="13" t="s" ph="1">
        <v>708</v>
      </c>
      <c r="H2560" s="13" t="s" ph="1">
        <v>716</v>
      </c>
      <c r="I2560" s="13" t="s" ph="1">
        <v>6595</v>
      </c>
      <c r="M2560" s="14" t="str" ph="1">
        <f>IFERROR(INDEX([1]!_born[生没年],
MATCH(I2560,[1]!_born[作],0)),"")</f>
        <v/>
      </c>
      <c r="N2560" s="14" t="str" ph="1">
        <f>IFERROR(INDEX([1]!_born[生没年],
MATCH(K2560,[1]!_born[作],0)),"")</f>
        <v/>
      </c>
      <c r="O2560" s="13" t="s" ph="1">
        <v>8825</v>
      </c>
      <c r="S2560" s="13" t="s" ph="1">
        <v>8826</v>
      </c>
      <c r="T2560" s="13" t="s" ph="1">
        <v>8822</v>
      </c>
      <c r="U2560" s="16" ph="1">
        <v>36541</v>
      </c>
      <c r="V2560" s="17" ph="1">
        <v>440</v>
      </c>
    </row>
    <row r="2561" spans="1:25" ht="22.5" customHeight="1" ph="1" x14ac:dyDescent="0.35">
      <c r="C2561" s="13" t="s" ph="1">
        <v>7591</v>
      </c>
      <c r="G2561" s="13" t="s" ph="1">
        <v>708</v>
      </c>
      <c r="H2561" s="13" t="s" ph="1">
        <v>716</v>
      </c>
      <c r="I2561" s="13" t="s" ph="1">
        <v>6595</v>
      </c>
      <c r="M2561" s="14" t="str" ph="1">
        <f>IFERROR(INDEX([1]!_born[生没年],
MATCH(I2561,[1]!_born[作],0)),"")</f>
        <v/>
      </c>
      <c r="N2561" s="14" t="str" ph="1">
        <f>IFERROR(INDEX([1]!_born[生没年],
MATCH(K2561,[1]!_born[作],0)),"")</f>
        <v/>
      </c>
      <c r="O2561" s="13" t="s" ph="1">
        <v>8827</v>
      </c>
      <c r="S2561" s="13" t="s" ph="1">
        <v>8828</v>
      </c>
      <c r="T2561" s="13" t="s" ph="1">
        <v>8822</v>
      </c>
      <c r="U2561" s="16" ph="1">
        <v>37556</v>
      </c>
      <c r="V2561" s="17" ph="1">
        <v>680</v>
      </c>
      <c r="W2561" s="17" ph="1">
        <v>1000</v>
      </c>
      <c r="X2561" s="13" t="s" ph="1">
        <v>5082</v>
      </c>
      <c r="Y2561" s="13" t="s" ph="1">
        <v>7680</v>
      </c>
    </row>
    <row r="2562" spans="1:25" ht="22.5" customHeight="1" ph="1" x14ac:dyDescent="0.35">
      <c r="C2562" s="13" t="s" ph="1">
        <v>7591</v>
      </c>
      <c r="G2562" s="13" t="s" ph="1">
        <v>708</v>
      </c>
      <c r="H2562" s="13" t="s" ph="1">
        <v>716</v>
      </c>
      <c r="I2562" s="13" t="s" ph="1">
        <v>6595</v>
      </c>
      <c r="M2562" s="14" t="str" ph="1">
        <f>IFERROR(INDEX([1]!_born[生没年],
MATCH(I2562,[1]!_born[作],0)),"")</f>
        <v/>
      </c>
      <c r="N2562" s="14" t="str" ph="1">
        <f>IFERROR(INDEX([1]!_born[生没年],
MATCH(K2562,[1]!_born[作],0)),"")</f>
        <v/>
      </c>
      <c r="O2562" s="13" t="s" ph="1">
        <v>8829</v>
      </c>
      <c r="S2562" s="13" t="s" ph="1">
        <v>8830</v>
      </c>
      <c r="T2562" s="13" t="s" ph="1">
        <v>8822</v>
      </c>
      <c r="V2562" s="17" ph="1">
        <v>680</v>
      </c>
      <c r="W2562" s="17" ph="1">
        <v>300</v>
      </c>
    </row>
    <row r="2563" spans="1:25" ht="22.5" customHeight="1" ph="1" x14ac:dyDescent="0.35">
      <c r="C2563" s="13" t="s" ph="1">
        <v>7591</v>
      </c>
      <c r="G2563" s="13" t="s" ph="1">
        <v>708</v>
      </c>
      <c r="H2563" s="13" t="s" ph="1">
        <v>716</v>
      </c>
      <c r="I2563" s="13" t="s" ph="1">
        <v>6595</v>
      </c>
      <c r="M2563" s="14" t="str" ph="1">
        <f>IFERROR(INDEX([1]!_born[生没年],
MATCH(I2563,[1]!_born[作],0)),"")</f>
        <v/>
      </c>
      <c r="N2563" s="14" t="str" ph="1">
        <f>IFERROR(INDEX([1]!_born[生没年],
MATCH(K2563,[1]!_born[作],0)),"")</f>
        <v/>
      </c>
      <c r="O2563" s="13" t="s" ph="1">
        <v>8831</v>
      </c>
      <c r="S2563" s="13" t="s" ph="1">
        <v>8832</v>
      </c>
      <c r="T2563" s="13" t="s" ph="1">
        <v>8822</v>
      </c>
      <c r="U2563" s="16" ph="1">
        <v>37556</v>
      </c>
      <c r="V2563" s="17" ph="1">
        <v>640</v>
      </c>
      <c r="W2563" s="17" ph="1">
        <v>450</v>
      </c>
      <c r="X2563" s="13" t="s" ph="1">
        <v>5812</v>
      </c>
      <c r="Y2563" s="13" t="s" ph="1">
        <v>5812</v>
      </c>
    </row>
    <row r="2564" spans="1:25" ht="22.5" customHeight="1" ph="1" x14ac:dyDescent="0.35">
      <c r="C2564" s="13" t="s" ph="1">
        <v>7591</v>
      </c>
      <c r="G2564" s="13" t="s" ph="1">
        <v>708</v>
      </c>
      <c r="H2564" s="13" t="s" ph="1">
        <v>716</v>
      </c>
      <c r="I2564" s="13" t="s" ph="1">
        <v>6595</v>
      </c>
      <c r="M2564" s="14" t="str" ph="1">
        <f>IFERROR(INDEX([1]!_born[生没年],
MATCH(I2564,[1]!_born[作],0)),"")</f>
        <v/>
      </c>
      <c r="N2564" s="14" t="str" ph="1">
        <f>IFERROR(INDEX([1]!_born[生没年],
MATCH(K2564,[1]!_born[作],0)),"")</f>
        <v/>
      </c>
      <c r="O2564" s="13" t="s" ph="1">
        <v>8833</v>
      </c>
      <c r="S2564" s="13" t="s" ph="1">
        <v>8834</v>
      </c>
      <c r="T2564" s="13" t="s" ph="1">
        <v>8822</v>
      </c>
      <c r="V2564" s="17" ph="1">
        <f>550*1.05</f>
        <v>577.5</v>
      </c>
      <c r="W2564" s="17" ph="1">
        <v>1000</v>
      </c>
      <c r="X2564" s="13" t="s" ph="1">
        <v>4034</v>
      </c>
      <c r="Y2564" s="13" t="s" ph="1">
        <v>7680</v>
      </c>
    </row>
    <row r="2565" spans="1:25" ht="22.5" customHeight="1" ph="1" x14ac:dyDescent="0.35">
      <c r="C2565" s="13" t="s" ph="1">
        <v>7591</v>
      </c>
      <c r="G2565" s="13" t="s" ph="1">
        <v>708</v>
      </c>
      <c r="H2565" s="13" t="s" ph="1">
        <v>716</v>
      </c>
      <c r="I2565" s="13" t="s" ph="1">
        <v>6595</v>
      </c>
      <c r="M2565" s="14" t="str" ph="1">
        <f>IFERROR(INDEX([1]!_born[生没年],
MATCH(I2565,[1]!_born[作],0)),"")</f>
        <v/>
      </c>
      <c r="N2565" s="14" t="str" ph="1">
        <f>IFERROR(INDEX([1]!_born[生没年],
MATCH(K2565,[1]!_born[作],0)),"")</f>
        <v/>
      </c>
      <c r="O2565" s="13" t="s" ph="1">
        <v>8835</v>
      </c>
      <c r="S2565" s="13" t="s" ph="1">
        <v>8836</v>
      </c>
      <c r="T2565" s="13" t="s" ph="1">
        <v>8822</v>
      </c>
      <c r="V2565" s="17" ph="1">
        <v>680</v>
      </c>
    </row>
    <row r="2566" spans="1:25" ht="22.5" customHeight="1" ph="1" x14ac:dyDescent="0.35">
      <c r="C2566" s="13" t="s" ph="1">
        <v>7591</v>
      </c>
      <c r="G2566" s="13" t="s" ph="1">
        <v>708</v>
      </c>
      <c r="H2566" s="13" t="s" ph="1">
        <v>716</v>
      </c>
      <c r="I2566" s="13" t="s" ph="1">
        <v>6595</v>
      </c>
      <c r="M2566" s="14" t="str" ph="1">
        <f>IFERROR(INDEX([1]!_born[生没年],
MATCH(I2566,[1]!_born[作],0)),"")</f>
        <v/>
      </c>
      <c r="N2566" s="14" t="str" ph="1">
        <f>IFERROR(INDEX([1]!_born[生没年],
MATCH(K2566,[1]!_born[作],0)),"")</f>
        <v/>
      </c>
      <c r="O2566" s="13" t="s" ph="1">
        <v>8837</v>
      </c>
      <c r="S2566" s="13" t="s" ph="1">
        <v>8838</v>
      </c>
      <c r="T2566" s="13" t="s" ph="1">
        <v>8822</v>
      </c>
      <c r="V2566" s="17" ph="1">
        <v>740</v>
      </c>
    </row>
    <row r="2567" spans="1:25" ht="22.5" customHeight="1" ph="1" x14ac:dyDescent="0.35">
      <c r="C2567" s="13" t="s" ph="1">
        <v>7591</v>
      </c>
      <c r="G2567" s="13" t="s" ph="1">
        <v>3624</v>
      </c>
      <c r="H2567" s="13" t="s" ph="1">
        <v>716</v>
      </c>
      <c r="I2567" s="13" t="s" ph="1">
        <v>8839</v>
      </c>
      <c r="J2567" s="13" t="s" ph="1">
        <v>8840</v>
      </c>
      <c r="M2567" s="14" t="str" ph="1">
        <f>IFERROR(INDEX([1]!_born[生没年],
MATCH(I2567,[1]!_born[作],0)),"")</f>
        <v/>
      </c>
      <c r="N2567" s="14" t="str" ph="1">
        <f>IFERROR(INDEX([1]!_born[生没年],
MATCH(K2567,[1]!_born[作],0)),"")</f>
        <v/>
      </c>
      <c r="O2567" s="13" t="s" ph="1">
        <v>8841</v>
      </c>
      <c r="R2567" s="16" t="s" ph="1">
        <v>1921</v>
      </c>
      <c r="S2567" s="13" t="s" ph="1">
        <v>8842</v>
      </c>
      <c r="T2567" s="13" t="s" ph="1">
        <v>8818</v>
      </c>
      <c r="U2567" s="16" ph="1">
        <v>37023</v>
      </c>
      <c r="V2567" s="17" ph="1">
        <f>1000*1.05</f>
        <v>1050</v>
      </c>
      <c r="W2567" s="17" ph="1">
        <v>400</v>
      </c>
      <c r="X2567" s="13" t="s" ph="1">
        <v>3632</v>
      </c>
      <c r="Y2567" s="13" t="s" ph="1">
        <v>8819</v>
      </c>
    </row>
    <row r="2568" spans="1:25" ht="22.5" customHeight="1" ph="1" x14ac:dyDescent="0.35">
      <c r="C2568" s="13" t="s" ph="1">
        <v>7591</v>
      </c>
      <c r="D2568" s="123" ph="1">
        <v>1</v>
      </c>
      <c r="E2568" s="123" ph="1">
        <v>3</v>
      </c>
      <c r="G2568" s="13" t="s" ph="1">
        <v>4597</v>
      </c>
      <c r="H2568" s="13" t="s" ph="1">
        <v>716</v>
      </c>
      <c r="I2568" s="13" t="s" ph="1">
        <v>8843</v>
      </c>
      <c r="M2568" s="14" t="str" ph="1">
        <f>IFERROR(INDEX([1]!_born[生没年],
MATCH(I2568,[1]!_born[作],0)),"")</f>
        <v/>
      </c>
      <c r="N2568" s="14" t="str" ph="1">
        <f>IFERROR(INDEX([1]!_born[生没年],
MATCH(K2568,[1]!_born[作],0)),"")</f>
        <v/>
      </c>
      <c r="O2568" s="15" t="s" ph="1">
        <v>8844</v>
      </c>
      <c r="T2568" s="13" t="s" ph="1">
        <v>8140</v>
      </c>
      <c r="U2568" s="16" t="s" ph="1">
        <v>706</v>
      </c>
      <c r="V2568" s="17" ph="1">
        <v>540</v>
      </c>
    </row>
    <row r="2569" spans="1:25" ht="22.5" customHeight="1" ph="1" x14ac:dyDescent="0.35">
      <c r="C2569" s="13" t="s" ph="1">
        <v>7591</v>
      </c>
      <c r="D2569" s="123" ph="1">
        <v>2</v>
      </c>
      <c r="E2569" s="123" ph="1">
        <v>3</v>
      </c>
      <c r="G2569" s="13" t="s" ph="1">
        <v>4597</v>
      </c>
      <c r="H2569" s="13" t="s" ph="1">
        <v>716</v>
      </c>
      <c r="I2569" s="13" t="s" ph="1">
        <v>8843</v>
      </c>
      <c r="M2569" s="14" t="str" ph="1">
        <f>IFERROR(INDEX([1]!_born[生没年],
MATCH(I2569,[1]!_born[作],0)),"")</f>
        <v/>
      </c>
      <c r="N2569" s="14" t="str" ph="1">
        <f>IFERROR(INDEX([1]!_born[生没年],
MATCH(K2569,[1]!_born[作],0)),"")</f>
        <v/>
      </c>
      <c r="O2569" s="15" t="s" ph="1">
        <v>8845</v>
      </c>
      <c r="T2569" s="13" t="s" ph="1">
        <v>8140</v>
      </c>
      <c r="U2569" s="16" t="s" ph="1">
        <v>706</v>
      </c>
      <c r="V2569" s="17" ph="1">
        <v>540</v>
      </c>
    </row>
    <row r="2570" spans="1:25" ht="22.5" customHeight="1" ph="1" x14ac:dyDescent="0.35">
      <c r="C2570" s="13" t="s" ph="1">
        <v>7591</v>
      </c>
      <c r="D2570" s="123" ph="1">
        <v>3</v>
      </c>
      <c r="E2570" s="123" ph="1">
        <v>3</v>
      </c>
      <c r="G2570" s="13" t="s" ph="1">
        <v>4597</v>
      </c>
      <c r="H2570" s="13" t="s" ph="1">
        <v>716</v>
      </c>
      <c r="I2570" s="13" t="s" ph="1">
        <v>8843</v>
      </c>
      <c r="M2570" s="14" t="str" ph="1">
        <f>IFERROR(INDEX([1]!_born[生没年],
MATCH(I2570,[1]!_born[作],0)),"")</f>
        <v/>
      </c>
      <c r="N2570" s="14" t="str" ph="1">
        <f>IFERROR(INDEX([1]!_born[生没年],
MATCH(K2570,[1]!_born[作],0)),"")</f>
        <v/>
      </c>
      <c r="O2570" s="15" t="s" ph="1">
        <v>8846</v>
      </c>
      <c r="T2570" s="13" t="s" ph="1">
        <v>8140</v>
      </c>
      <c r="U2570" s="16" t="s" ph="1">
        <v>706</v>
      </c>
      <c r="V2570" s="17" ph="1">
        <v>540</v>
      </c>
    </row>
    <row r="2571" spans="1:25" ht="22.5" customHeight="1" ph="1" x14ac:dyDescent="0.35">
      <c r="A2571" s="106" t="s" ph="1">
        <v>1922</v>
      </c>
      <c r="C2571" s="13" t="s" ph="1">
        <v>7591</v>
      </c>
      <c r="G2571" s="13" t="s" ph="1">
        <v>708</v>
      </c>
      <c r="H2571" s="13" t="s" ph="1">
        <v>716</v>
      </c>
      <c r="I2571" s="13" t="s" ph="1">
        <v>8847</v>
      </c>
      <c r="M2571" s="14" t="str" ph="1">
        <f>IFERROR(INDEX([1]!_born[生没年],
MATCH(I2571,[1]!_born[作],0)),"")</f>
        <v/>
      </c>
      <c r="N2571" s="14" t="str" ph="1">
        <f>IFERROR(INDEX([1]!_born[生没年],
MATCH(K2571,[1]!_born[作],0)),"")</f>
        <v/>
      </c>
      <c r="O2571" s="13" t="s" ph="1">
        <v>8848</v>
      </c>
      <c r="R2571" s="16" ph="1">
        <v>35772</v>
      </c>
      <c r="S2571" s="13" t="s" ph="1">
        <v>8849</v>
      </c>
      <c r="T2571" s="13" t="s" ph="1">
        <v>7758</v>
      </c>
      <c r="U2571" s="16" t="s" ph="1">
        <v>1501</v>
      </c>
      <c r="V2571" s="17" ph="1">
        <f>1000*1.05</f>
        <v>1050</v>
      </c>
      <c r="W2571" s="17" ph="1">
        <f>1000*1.05</f>
        <v>1050</v>
      </c>
    </row>
    <row r="2572" spans="1:25" ht="22.5" customHeight="1" ph="1" x14ac:dyDescent="0.35">
      <c r="C2572" s="13" t="s" ph="1">
        <v>7591</v>
      </c>
      <c r="G2572" s="13" t="s" ph="1">
        <v>3793</v>
      </c>
      <c r="H2572" s="13" t="s" ph="1">
        <v>716</v>
      </c>
      <c r="I2572" s="13" t="s" ph="1">
        <v>8850</v>
      </c>
      <c r="M2572" s="14" t="str" ph="1">
        <f>IFERROR(INDEX([1]!_born[生没年],
MATCH(I2572,[1]!_born[作],0)),"")</f>
        <v/>
      </c>
      <c r="N2572" s="14" t="str" ph="1">
        <f>IFERROR(INDEX([1]!_born[生没年],
MATCH(K2572,[1]!_born[作],0)),"")</f>
        <v/>
      </c>
      <c r="O2572" s="13" t="s" ph="1">
        <v>8851</v>
      </c>
      <c r="R2572" s="16" t="s" ph="1">
        <v>915</v>
      </c>
      <c r="T2572" s="13" t="s" ph="1">
        <v>7949</v>
      </c>
      <c r="V2572" s="17" ph="1">
        <v>300</v>
      </c>
    </row>
    <row r="2573" spans="1:25" ht="22.5" customHeight="1" ph="1" x14ac:dyDescent="0.35">
      <c r="C2573" s="13" t="s" ph="1">
        <v>7591</v>
      </c>
      <c r="G2573" s="13" t="s" ph="1">
        <v>708</v>
      </c>
      <c r="H2573" s="13" t="s" ph="1">
        <v>716</v>
      </c>
      <c r="I2573" s="13" t="s" ph="1">
        <v>8852</v>
      </c>
      <c r="M2573" s="14" t="str" ph="1">
        <f>IFERROR(INDEX([1]!_born[生没年],
MATCH(I2573,[1]!_born[作],0)),"")</f>
        <v/>
      </c>
      <c r="N2573" s="14" t="str" ph="1">
        <f>IFERROR(INDEX([1]!_born[生没年],
MATCH(K2573,[1]!_born[作],0)),"")</f>
        <v/>
      </c>
      <c r="O2573" s="13" t="s" ph="1">
        <v>8853</v>
      </c>
      <c r="R2573" s="16" t="s" ph="1">
        <v>988</v>
      </c>
      <c r="T2573" s="13" t="s" ph="1">
        <v>8854</v>
      </c>
      <c r="U2573" s="16" ph="1">
        <v>36540</v>
      </c>
      <c r="V2573" s="17" ph="1">
        <v>520</v>
      </c>
      <c r="W2573" s="17" ph="1">
        <v>250</v>
      </c>
      <c r="X2573" s="13" t="s" ph="1">
        <v>8855</v>
      </c>
    </row>
    <row r="2574" spans="1:25" ht="22.5" customHeight="1" ph="1" x14ac:dyDescent="0.35">
      <c r="C2574" s="13" t="s" ph="1">
        <v>7591</v>
      </c>
      <c r="G2574" s="13" t="s" ph="1">
        <v>708</v>
      </c>
      <c r="H2574" s="13" t="s" ph="1">
        <v>716</v>
      </c>
      <c r="I2574" s="13" t="s" ph="1">
        <v>8856</v>
      </c>
      <c r="K2574" s="13" t="s" ph="1">
        <v>8857</v>
      </c>
      <c r="L2574" s="13" t="s" ph="1">
        <v>6075</v>
      </c>
      <c r="M2574" s="14" t="str" ph="1">
        <f>IFERROR(INDEX([1]!_born[生没年],
MATCH(I2574,[1]!_born[作],0)),"")</f>
        <v/>
      </c>
      <c r="N2574" s="14" t="str" ph="1">
        <f>IFERROR(INDEX([1]!_born[生没年],
MATCH(K2574,[1]!_born[作],0)),"")</f>
        <v/>
      </c>
      <c r="O2574" s="13" t="s" ph="1">
        <v>8858</v>
      </c>
      <c r="R2574" s="16" t="s" ph="1">
        <v>8859</v>
      </c>
      <c r="T2574" s="13" t="s" ph="1">
        <v>7730</v>
      </c>
      <c r="U2574" s="16" ph="1">
        <v>37700</v>
      </c>
      <c r="V2574" s="17" ph="1">
        <f>780*1.05</f>
        <v>819</v>
      </c>
    </row>
    <row r="2575" spans="1:25" ht="22.5" customHeight="1" ph="1" x14ac:dyDescent="0.35">
      <c r="C2575" s="13" t="s" ph="1">
        <v>7591</v>
      </c>
      <c r="G2575" s="13" t="s" ph="1">
        <v>3599</v>
      </c>
      <c r="H2575" s="13" t="s" ph="1">
        <v>716</v>
      </c>
      <c r="I2575" s="13" t="s" ph="1">
        <v>8860</v>
      </c>
      <c r="M2575" s="14" t="str" ph="1">
        <f>IFERROR(INDEX([1]!_born[生没年],
MATCH(I2575,[1]!_born[作],0)),"")</f>
        <v/>
      </c>
      <c r="N2575" s="14" t="str" ph="1">
        <f>IFERROR(INDEX([1]!_born[生没年],
MATCH(K2575,[1]!_born[作],0)),"")</f>
        <v/>
      </c>
      <c r="O2575" s="13" t="s" ph="1">
        <v>8861</v>
      </c>
      <c r="R2575" s="16" t="s" ph="1">
        <v>745</v>
      </c>
      <c r="T2575" s="13" t="s" ph="1">
        <v>8140</v>
      </c>
      <c r="V2575" s="17" ph="1">
        <v>520</v>
      </c>
    </row>
    <row r="2576" spans="1:25" ht="22.5" customHeight="1" ph="1" x14ac:dyDescent="0.35">
      <c r="A2576" s="106" t="s" ph="1">
        <v>2621</v>
      </c>
      <c r="B2576" s="5" t="s" ph="1">
        <v>2622</v>
      </c>
      <c r="C2576" s="13" t="s" ph="1">
        <v>7591</v>
      </c>
      <c r="G2576" s="13" t="s" ph="1">
        <v>46</v>
      </c>
      <c r="H2576" s="13" t="s" ph="1">
        <v>61</v>
      </c>
      <c r="I2576" s="13" t="s" ph="1">
        <v>8862</v>
      </c>
      <c r="M2576" s="14" t="str" ph="1">
        <f>IFERROR(INDEX([1]!_born[生没年],
MATCH(I2576,[1]!_born[作],0)),"")</f>
        <v/>
      </c>
      <c r="N2576" s="14" t="str" ph="1">
        <f>IFERROR(INDEX([1]!_born[生没年],
MATCH(K2576,[1]!_born[作],0)),"")</f>
        <v/>
      </c>
      <c r="O2576" s="13" t="s" ph="1">
        <v>8863</v>
      </c>
      <c r="R2576" s="16" ph="1">
        <v>39000</v>
      </c>
      <c r="T2576" s="13" t="s" ph="1">
        <v>7730</v>
      </c>
      <c r="U2576" s="16" ph="1">
        <v>41184</v>
      </c>
      <c r="V2576" s="17" ph="1">
        <f>780*1.05</f>
        <v>819</v>
      </c>
      <c r="W2576" s="17" ph="1">
        <f>780*1.05</f>
        <v>819</v>
      </c>
      <c r="X2576" s="13" t="s" ph="1">
        <v>5062</v>
      </c>
    </row>
    <row r="2577" spans="1:25" ht="22.5" customHeight="1" ph="1" x14ac:dyDescent="0.35">
      <c r="A2577" s="106" t="s" ph="1">
        <v>3142</v>
      </c>
      <c r="B2577" s="5" t="s" ph="1">
        <v>1439</v>
      </c>
      <c r="C2577" s="13" t="s" ph="1">
        <v>7591</v>
      </c>
      <c r="G2577" s="13" t="s" ph="1">
        <v>46</v>
      </c>
      <c r="H2577" s="13" t="s" ph="1">
        <v>61</v>
      </c>
      <c r="I2577" s="13" t="s" ph="1">
        <v>8862</v>
      </c>
      <c r="M2577" s="14" t="str" ph="1">
        <f>IFERROR(INDEX([1]!_born[生没年],
MATCH(I2577,[1]!_born[作],0)),"")</f>
        <v/>
      </c>
      <c r="N2577" s="14" t="str" ph="1">
        <f>IFERROR(INDEX([1]!_born[生没年],
MATCH(K2577,[1]!_born[作],0)),"")</f>
        <v/>
      </c>
      <c r="O2577" s="13" t="s" ph="1">
        <v>8864</v>
      </c>
      <c r="R2577" s="16" ph="1">
        <v>44474</v>
      </c>
      <c r="T2577" s="13" t="s" ph="1">
        <v>8822</v>
      </c>
      <c r="U2577" s="16" ph="1">
        <v>44793</v>
      </c>
      <c r="V2577" s="17" ph="1">
        <f>900*1.1</f>
        <v>990.00000000000011</v>
      </c>
      <c r="W2577" s="17" ph="1">
        <f>900*1.1</f>
        <v>990.00000000000011</v>
      </c>
      <c r="X2577" s="13" t="s" ph="1">
        <v>2874</v>
      </c>
    </row>
    <row r="2578" spans="1:25" ht="22.5" customHeight="1" ph="1" x14ac:dyDescent="0.35">
      <c r="C2578" s="13" t="s" ph="1">
        <v>7591</v>
      </c>
      <c r="G2578" s="13" t="s" ph="1">
        <v>3599</v>
      </c>
      <c r="H2578" s="13" t="s" ph="1">
        <v>716</v>
      </c>
      <c r="I2578" s="13" t="s" ph="1">
        <v>8865</v>
      </c>
      <c r="M2578" s="14" t="str" ph="1">
        <f>IFERROR(INDEX([1]!_born[生没年],
MATCH(I2578,[1]!_born[作],0)),"")</f>
        <v/>
      </c>
      <c r="N2578" s="14" t="str" ph="1">
        <f>IFERROR(INDEX([1]!_born[生没年],
MATCH(K2578,[1]!_born[作],0)),"")</f>
        <v/>
      </c>
      <c r="O2578" s="13" t="s" ph="1">
        <v>8866</v>
      </c>
      <c r="R2578" s="16" t="s" ph="1">
        <v>924</v>
      </c>
      <c r="T2578" s="13" t="s" ph="1">
        <v>7652</v>
      </c>
      <c r="V2578" s="17" ph="1">
        <v>420</v>
      </c>
    </row>
    <row r="2579" spans="1:25" ht="22.5" customHeight="1" ph="1" x14ac:dyDescent="0.35">
      <c r="C2579" s="13" t="s" ph="1">
        <v>7591</v>
      </c>
      <c r="G2579" s="13" t="s" ph="1">
        <v>3599</v>
      </c>
      <c r="H2579" s="13" t="s" ph="1">
        <v>716</v>
      </c>
      <c r="I2579" s="13" t="s" ph="1">
        <v>8867</v>
      </c>
      <c r="M2579" s="14" t="str" ph="1">
        <f>IFERROR(INDEX([1]!_born[生没年],
MATCH(I2579,[1]!_born[作],0)),"")</f>
        <v/>
      </c>
      <c r="N2579" s="14" t="str" ph="1">
        <f>IFERROR(INDEX([1]!_born[生没年],
MATCH(K2579,[1]!_born[作],0)),"")</f>
        <v/>
      </c>
      <c r="O2579" s="13" t="s" ph="1">
        <v>8868</v>
      </c>
      <c r="R2579" s="16" t="s" ph="1">
        <v>1005</v>
      </c>
      <c r="T2579" s="13" t="s" ph="1">
        <v>8822</v>
      </c>
      <c r="V2579" s="17" ph="1">
        <v>420</v>
      </c>
    </row>
    <row r="2580" spans="1:25" ht="22.5" customHeight="1" ph="1" x14ac:dyDescent="0.35">
      <c r="C2580" s="13" t="s" ph="1">
        <v>7591</v>
      </c>
      <c r="G2580" s="13" t="s" ph="1">
        <v>3803</v>
      </c>
      <c r="H2580" s="13" t="s" ph="1">
        <v>716</v>
      </c>
      <c r="I2580" s="13" t="s" ph="1">
        <v>8869</v>
      </c>
      <c r="M2580" s="14" t="str" ph="1">
        <f>IFERROR(INDEX([1]!_born[生没年],
MATCH(I2580,[1]!_born[作],0)),"")</f>
        <v/>
      </c>
      <c r="N2580" s="14" t="str" ph="1">
        <f>IFERROR(INDEX([1]!_born[生没年],
MATCH(K2580,[1]!_born[作],0)),"")</f>
        <v/>
      </c>
      <c r="O2580" s="25" t="s" ph="1">
        <v>8870</v>
      </c>
      <c r="T2580" s="13" t="s" ph="1">
        <v>8760</v>
      </c>
      <c r="V2580" s="17" ph="1">
        <f>854*1.05</f>
        <v>896.7</v>
      </c>
    </row>
    <row r="2581" spans="1:25" ht="22.5" customHeight="1" ph="1" x14ac:dyDescent="0.35">
      <c r="C2581" s="13" t="s" ph="1">
        <v>7591</v>
      </c>
      <c r="G2581" s="13" t="s" ph="1">
        <v>3884</v>
      </c>
      <c r="H2581" s="13" t="s" ph="1">
        <v>43</v>
      </c>
      <c r="I2581" s="13" t="s" ph="1">
        <v>8871</v>
      </c>
      <c r="M2581" s="14" t="str" ph="1">
        <f>IFERROR(INDEX([1]!_born[生没年],
MATCH(I2581,[1]!_born[作],0)),"")</f>
        <v/>
      </c>
      <c r="N2581" s="14" t="str" ph="1">
        <f>IFERROR(INDEX([1]!_born[生没年],
MATCH(K2581,[1]!_born[作],0)),"")</f>
        <v/>
      </c>
      <c r="O2581" s="13" t="s" ph="1">
        <v>8872</v>
      </c>
      <c r="S2581" s="13" t="s" ph="1">
        <v>2959</v>
      </c>
      <c r="T2581" s="13" t="s" ph="1">
        <v>8871</v>
      </c>
      <c r="V2581" s="17" ph="1">
        <v>0</v>
      </c>
      <c r="W2581" s="17" ph="1">
        <v>0</v>
      </c>
      <c r="X2581" s="13" t="s" ph="1">
        <v>8873</v>
      </c>
      <c r="Y2581" s="13" t="s">
        <v>8874</v>
      </c>
    </row>
    <row r="2582" spans="1:25" ht="22.5" customHeight="1" ph="1" x14ac:dyDescent="0.35">
      <c r="C2582" s="13" t="s" ph="1">
        <v>7591</v>
      </c>
      <c r="G2582" s="13" t="s" ph="1">
        <v>3884</v>
      </c>
      <c r="H2582" s="13" t="s" ph="1">
        <v>709</v>
      </c>
      <c r="I2582" s="13" t="s" ph="1">
        <v>8875</v>
      </c>
      <c r="M2582" s="14" t="str" ph="1">
        <f>IFERROR(INDEX([1]!_born[生没年],
MATCH(I2582,[1]!_born[作],0)),"")</f>
        <v/>
      </c>
      <c r="N2582" s="14" t="str" ph="1">
        <f>IFERROR(INDEX([1]!_born[生没年],
MATCH(K2582,[1]!_born[作],0)),"")</f>
        <v/>
      </c>
      <c r="O2582" s="13" t="s" ph="1">
        <v>1923</v>
      </c>
      <c r="S2582" s="13" t="s" ph="1">
        <v>8876</v>
      </c>
      <c r="T2582" s="13" t="s" ph="1">
        <v>8875</v>
      </c>
      <c r="V2582" s="17" ph="1">
        <v>0</v>
      </c>
      <c r="W2582" s="17" ph="1">
        <v>0</v>
      </c>
      <c r="X2582" s="13" t="s" ph="1">
        <v>8873</v>
      </c>
      <c r="Y2582" s="13" t="s">
        <v>4762</v>
      </c>
    </row>
    <row r="2583" spans="1:25" ht="22.5" customHeight="1" ph="1" x14ac:dyDescent="0.35">
      <c r="C2583" s="13" t="s" ph="1">
        <v>7591</v>
      </c>
      <c r="G2583" s="13" t="s" ph="1">
        <v>3884</v>
      </c>
      <c r="H2583" s="13" t="s" ph="1">
        <v>709</v>
      </c>
      <c r="I2583" s="13" t="s" ph="1">
        <v>8875</v>
      </c>
      <c r="M2583" s="14" t="str" ph="1">
        <f>IFERROR(INDEX([1]!_born[生没年],
MATCH(I2583,[1]!_born[作],0)),"")</f>
        <v/>
      </c>
      <c r="N2583" s="14" t="str" ph="1">
        <f>IFERROR(INDEX([1]!_born[生没年],
MATCH(K2583,[1]!_born[作],0)),"")</f>
        <v/>
      </c>
      <c r="O2583" s="13" t="s" ph="1">
        <v>8877</v>
      </c>
      <c r="T2583" s="13" t="s" ph="1">
        <v>8875</v>
      </c>
      <c r="U2583" s="16" t="s" ph="1">
        <v>706</v>
      </c>
      <c r="V2583" s="17" ph="1">
        <v>1200</v>
      </c>
    </row>
    <row r="2584" spans="1:25" ht="22.5" customHeight="1" ph="1" x14ac:dyDescent="0.35">
      <c r="C2584" s="13" t="s" ph="1">
        <v>7591</v>
      </c>
      <c r="G2584" s="13" t="s" ph="1">
        <v>3884</v>
      </c>
      <c r="H2584" s="13" t="s" ph="1">
        <v>709</v>
      </c>
      <c r="I2584" s="13" t="s" ph="1">
        <v>8875</v>
      </c>
      <c r="M2584" s="14" t="str" ph="1">
        <f>IFERROR(INDEX([1]!_born[生没年],
MATCH(I2584,[1]!_born[作],0)),"")</f>
        <v/>
      </c>
      <c r="N2584" s="14" t="str" ph="1">
        <f>IFERROR(INDEX([1]!_born[生没年],
MATCH(K2584,[1]!_born[作],0)),"")</f>
        <v/>
      </c>
      <c r="O2584" s="13" t="s" ph="1">
        <v>8878</v>
      </c>
      <c r="R2584" s="16" t="s" ph="1">
        <v>8879</v>
      </c>
      <c r="T2584" s="13" t="s" ph="1">
        <v>8875</v>
      </c>
      <c r="U2584" s="16" t="s" ph="1">
        <v>706</v>
      </c>
      <c r="Y2584" s="13" t="s" ph="1">
        <v>4724</v>
      </c>
    </row>
    <row r="2585" spans="1:25" ht="22.5" customHeight="1" ph="1" x14ac:dyDescent="0.35">
      <c r="C2585" s="13" t="s" ph="1">
        <v>7591</v>
      </c>
      <c r="G2585" s="13" t="s" ph="1">
        <v>3624</v>
      </c>
      <c r="H2585" s="13" t="s" ph="1">
        <v>716</v>
      </c>
      <c r="I2585" s="13" t="s" ph="1">
        <v>8880</v>
      </c>
      <c r="J2585" s="13" t="s" ph="1">
        <v>3664</v>
      </c>
      <c r="K2585" s="13" t="s" ph="1">
        <v>8881</v>
      </c>
      <c r="L2585" s="13" t="s" ph="1">
        <v>3616</v>
      </c>
      <c r="M2585" s="14" t="str" ph="1">
        <f>IFERROR(INDEX([1]!_born[生没年],
MATCH(I2585,[1]!_born[作],0)),"")</f>
        <v/>
      </c>
      <c r="N2585" s="14" t="str" ph="1">
        <f>IFERROR(INDEX([1]!_born[生没年],
MATCH(K2585,[1]!_born[作],0)),"")</f>
        <v/>
      </c>
      <c r="O2585" s="13" t="s" ph="1">
        <v>8882</v>
      </c>
      <c r="R2585" s="16" t="s" ph="1">
        <v>743</v>
      </c>
      <c r="S2585" s="13" t="s" ph="1">
        <v>618</v>
      </c>
      <c r="T2585" s="13" t="s" ph="1">
        <v>8818</v>
      </c>
      <c r="U2585" s="16" ph="1">
        <v>37023</v>
      </c>
      <c r="V2585" s="17" ph="1">
        <f>1200*1.05</f>
        <v>1260</v>
      </c>
      <c r="W2585" s="17" ph="1">
        <v>500</v>
      </c>
      <c r="X2585" s="13" t="s" ph="1">
        <v>3632</v>
      </c>
      <c r="Y2585" s="13" t="s" ph="1">
        <v>8819</v>
      </c>
    </row>
    <row r="2586" spans="1:25" ht="22.5" customHeight="1" ph="1" x14ac:dyDescent="0.35">
      <c r="C2586" s="13" t="s" ph="1">
        <v>7591</v>
      </c>
      <c r="D2586" s="123" ph="1">
        <v>1</v>
      </c>
      <c r="E2586" s="123" ph="1">
        <v>4</v>
      </c>
      <c r="G2586" s="13" t="s" ph="1">
        <v>4597</v>
      </c>
      <c r="H2586" s="13" t="s" ph="1">
        <v>716</v>
      </c>
      <c r="I2586" s="13" t="s" ph="1">
        <v>4638</v>
      </c>
      <c r="M2586" s="14" t="str" ph="1">
        <f>IFERROR(INDEX([1]!_born[生没年],
MATCH(I2586,[1]!_born[作],0)),"")</f>
        <v/>
      </c>
      <c r="N2586" s="14" t="str" ph="1">
        <f>IFERROR(INDEX([1]!_born[生没年],
MATCH(K2586,[1]!_born[作],0)),"")</f>
        <v/>
      </c>
      <c r="O2586" s="13" t="s" ph="1">
        <v>8883</v>
      </c>
      <c r="T2586" s="13" t="s" ph="1">
        <v>7614</v>
      </c>
      <c r="U2586" s="16" t="s" ph="1">
        <v>706</v>
      </c>
      <c r="V2586" s="17" ph="1">
        <f>440*2</f>
        <v>880</v>
      </c>
      <c r="W2586" s="17" ph="1">
        <v>500</v>
      </c>
    </row>
    <row r="2587" spans="1:25" ht="22.5" customHeight="1" ph="1" x14ac:dyDescent="0.35">
      <c r="C2587" s="13" t="s" ph="1">
        <v>7591</v>
      </c>
      <c r="D2587" s="123" ph="1">
        <v>2</v>
      </c>
      <c r="E2587" s="123" ph="1">
        <v>4</v>
      </c>
      <c r="G2587" s="13" t="s" ph="1">
        <v>4597</v>
      </c>
      <c r="H2587" s="13" t="s" ph="1">
        <v>716</v>
      </c>
      <c r="I2587" s="13" t="s" ph="1">
        <v>4638</v>
      </c>
      <c r="J2587" s="13" t="s" ph="1">
        <v>4638</v>
      </c>
      <c r="M2587" s="14" t="str" ph="1">
        <f>IFERROR(INDEX([1]!_born[生没年],
MATCH(I2587,[1]!_born[作],0)),"")</f>
        <v/>
      </c>
      <c r="N2587" s="14" t="str" ph="1">
        <f>IFERROR(INDEX([1]!_born[生没年],
MATCH(K2587,[1]!_born[作],0)),"")</f>
        <v/>
      </c>
      <c r="O2587" s="13" t="s" ph="1">
        <v>8884</v>
      </c>
      <c r="T2587" s="13" t="s" ph="1">
        <v>7614</v>
      </c>
      <c r="U2587" s="16" t="s" ph="1">
        <v>706</v>
      </c>
      <c r="V2587" s="17" ph="1">
        <f>440*2</f>
        <v>880</v>
      </c>
      <c r="W2587" s="17" ph="1">
        <v>500</v>
      </c>
    </row>
    <row r="2588" spans="1:25" ht="22.5" customHeight="1" ph="1" x14ac:dyDescent="0.35">
      <c r="C2588" s="13" t="s" ph="1">
        <v>7591</v>
      </c>
      <c r="G2588" s="13" t="s" ph="1">
        <v>708</v>
      </c>
      <c r="H2588" s="13" t="s" ph="1">
        <v>709</v>
      </c>
      <c r="I2588" s="13" t="s" ph="1">
        <v>94</v>
      </c>
      <c r="J2588" s="13" t="s" ph="1">
        <v>94</v>
      </c>
      <c r="K2588" s="13" t="s" ph="1">
        <v>8885</v>
      </c>
      <c r="L2588" s="13" t="s" ph="1">
        <v>3628</v>
      </c>
      <c r="M2588" s="14" t="str" ph="1">
        <f>IFERROR(INDEX([1]!_born[生没年],
MATCH(I2588,[1]!_born[作],0)),"")</f>
        <v/>
      </c>
      <c r="N2588" s="14" t="str" ph="1">
        <f>IFERROR(INDEX([1]!_born[生没年],
MATCH(K2588,[1]!_born[作],0)),"")</f>
        <v/>
      </c>
      <c r="O2588" s="13" t="s" ph="1">
        <v>311</v>
      </c>
      <c r="R2588" s="16" t="s" ph="1">
        <v>1924</v>
      </c>
      <c r="S2588" s="13" t="s" ph="1">
        <v>8886</v>
      </c>
      <c r="T2588" s="13" t="s" ph="1">
        <v>8822</v>
      </c>
      <c r="V2588" s="17" ph="1">
        <v>880</v>
      </c>
      <c r="Y2588" s="13" t="s" ph="1">
        <v>8887</v>
      </c>
    </row>
    <row r="2589" spans="1:25" s="19" customFormat="1" ht="22.5" customHeight="1" ph="1" x14ac:dyDescent="0.35">
      <c r="A2589" s="106" t="s" ph="1">
        <v>3178</v>
      </c>
      <c r="B2589" s="5" t="s" ph="1">
        <v>1439</v>
      </c>
      <c r="C2589" s="13" t="s" ph="1">
        <v>7591</v>
      </c>
      <c r="D2589" s="123" ph="1"/>
      <c r="E2589" s="123" ph="1"/>
      <c r="F2589" s="13" ph="1"/>
      <c r="G2589" s="13" t="s" ph="1">
        <v>3599</v>
      </c>
      <c r="H2589" s="13" t="s" ph="1">
        <v>2987</v>
      </c>
      <c r="I2589" s="13" t="s" ph="1">
        <v>8888</v>
      </c>
      <c r="J2589" s="13" ph="1"/>
      <c r="K2589" s="13" ph="1"/>
      <c r="L2589" s="13" ph="1"/>
      <c r="M2589" s="14" t="str" ph="1">
        <f>IFERROR(INDEX([1]!_born[生没年],
MATCH(I2589,[1]!_born[作],0)),"")</f>
        <v/>
      </c>
      <c r="N2589" s="14" t="str" ph="1">
        <f>IFERROR(INDEX([1]!_born[生没年],
MATCH(K2589,[1]!_born[作],0)),"")</f>
        <v/>
      </c>
      <c r="O2589" s="13" t="s" ph="1">
        <v>8889</v>
      </c>
      <c r="P2589" s="13" ph="1"/>
      <c r="Q2589" s="13" ph="1"/>
      <c r="R2589" s="16" ph="1">
        <v>24492</v>
      </c>
      <c r="S2589" s="13" t="s" ph="1">
        <v>8890</v>
      </c>
      <c r="T2589" s="13" t="s" ph="1">
        <v>7949</v>
      </c>
      <c r="U2589" s="16" ph="1">
        <v>44921</v>
      </c>
      <c r="V2589" s="17" ph="1">
        <f>620*1.1</f>
        <v>682</v>
      </c>
      <c r="W2589" s="17" ph="1">
        <f>51+350</f>
        <v>401</v>
      </c>
      <c r="X2589" s="13" t="s" ph="1">
        <v>8891</v>
      </c>
      <c r="Y2589" s="13" ph="1"/>
    </row>
    <row r="2590" spans="1:25" ht="22.5" customHeight="1" ph="1" x14ac:dyDescent="0.35">
      <c r="A2590" s="106" t="s" ph="1">
        <v>1914</v>
      </c>
      <c r="B2590" s="5" t="s" ph="1">
        <v>1480</v>
      </c>
      <c r="C2590" s="13" t="s" ph="1">
        <v>7591</v>
      </c>
      <c r="G2590" s="13" t="s" ph="1">
        <v>708</v>
      </c>
      <c r="H2590" s="13" t="s" ph="1">
        <v>716</v>
      </c>
      <c r="I2590" s="13" t="s" ph="1">
        <v>3794</v>
      </c>
      <c r="K2590" s="13" t="s" ph="1">
        <v>8892</v>
      </c>
      <c r="M2590" s="14" t="str" ph="1">
        <f>IFERROR(INDEX([1]!_born[生没年],
MATCH(I2590,[1]!_born[作],0)),"")</f>
        <v/>
      </c>
      <c r="N2590" s="14" t="str" ph="1">
        <f>IFERROR(INDEX([1]!_born[生没年],
MATCH(K2590,[1]!_born[作],0)),"")</f>
        <v/>
      </c>
      <c r="O2590" s="13" t="s" ph="1">
        <v>8893</v>
      </c>
      <c r="R2590" s="16" t="s" ph="1">
        <v>8894</v>
      </c>
      <c r="T2590" s="13" t="s" ph="1">
        <v>7758</v>
      </c>
      <c r="U2590" s="16" ph="1">
        <v>38900</v>
      </c>
      <c r="V2590" s="17" ph="1">
        <f>1100*1.05</f>
        <v>1155</v>
      </c>
      <c r="W2590" s="17" ph="1">
        <f>1100*1.05</f>
        <v>1155</v>
      </c>
      <c r="X2590" s="13" t="s" ph="1">
        <v>3802</v>
      </c>
    </row>
    <row r="2591" spans="1:25" ht="22.5" customHeight="1" ph="1" x14ac:dyDescent="0.35">
      <c r="C2591" s="13" t="s" ph="1">
        <v>7591</v>
      </c>
      <c r="G2591" s="13" t="s" ph="1">
        <v>708</v>
      </c>
      <c r="H2591" s="13" t="s" ph="1">
        <v>716</v>
      </c>
      <c r="I2591" s="13" t="s" ph="1">
        <v>8895</v>
      </c>
      <c r="K2591" s="13" t="s" ph="1">
        <v>5054</v>
      </c>
      <c r="L2591" s="13" t="s" ph="1">
        <v>6075</v>
      </c>
      <c r="M2591" s="14" t="str" ph="1">
        <f>IFERROR(INDEX([1]!_born[生没年],
MATCH(I2591,[1]!_born[作],0)),"")</f>
        <v/>
      </c>
      <c r="N2591" s="14" t="str" ph="1">
        <f>IFERROR(INDEX([1]!_born[生没年],
MATCH(K2591,[1]!_born[作],0)),"")</f>
        <v/>
      </c>
      <c r="O2591" s="13" t="s" ph="1">
        <v>8896</v>
      </c>
      <c r="T2591" s="13" t="s" ph="1">
        <v>8822</v>
      </c>
      <c r="V2591" s="17" ph="1">
        <v>649</v>
      </c>
    </row>
    <row r="2592" spans="1:25" ht="22.5" customHeight="1" ph="1" x14ac:dyDescent="0.35">
      <c r="C2592" s="13" t="s" ph="1">
        <v>7591</v>
      </c>
      <c r="G2592" s="13" t="s" ph="1">
        <v>708</v>
      </c>
      <c r="H2592" s="13" t="s" ph="1">
        <v>716</v>
      </c>
      <c r="I2592" s="13" t="s" ph="1">
        <v>8895</v>
      </c>
      <c r="K2592" s="13" t="s" ph="1">
        <v>4803</v>
      </c>
      <c r="L2592" s="13" t="s" ph="1">
        <v>6075</v>
      </c>
      <c r="M2592" s="14" t="str" ph="1">
        <f>IFERROR(INDEX([1]!_born[生没年],
MATCH(I2592,[1]!_born[作],0)),"")</f>
        <v/>
      </c>
      <c r="N2592" s="14" t="str" ph="1">
        <f>IFERROR(INDEX([1]!_born[生没年],
MATCH(K2592,[1]!_born[作],0)),"")</f>
        <v/>
      </c>
      <c r="O2592" s="13" t="s" ph="1">
        <v>8897</v>
      </c>
      <c r="T2592" s="13" t="s" ph="1">
        <v>8822</v>
      </c>
      <c r="V2592" s="17" ph="1">
        <v>649</v>
      </c>
    </row>
    <row r="2593" spans="1:25" ht="22.5" customHeight="1" ph="1" x14ac:dyDescent="0.35">
      <c r="C2593" s="13" t="s" ph="1">
        <v>7591</v>
      </c>
      <c r="G2593" s="13" t="s" ph="1">
        <v>3624</v>
      </c>
      <c r="H2593" s="13" t="s" ph="1">
        <v>716</v>
      </c>
      <c r="I2593" s="13" t="s" ph="1">
        <v>8898</v>
      </c>
      <c r="J2593" s="13" t="s" ph="1">
        <v>3664</v>
      </c>
      <c r="K2593" s="13" t="s" ph="1">
        <v>8899</v>
      </c>
      <c r="L2593" s="13" t="s" ph="1">
        <v>3616</v>
      </c>
      <c r="M2593" s="14" t="str" ph="1">
        <f>IFERROR(INDEX([1]!_born[生没年],
MATCH(I2593,[1]!_born[作],0)),"")</f>
        <v/>
      </c>
      <c r="N2593" s="14" t="str" ph="1">
        <f>IFERROR(INDEX([1]!_born[生没年],
MATCH(K2593,[1]!_born[作],0)),"")</f>
        <v/>
      </c>
      <c r="O2593" s="13" t="s" ph="1">
        <v>8900</v>
      </c>
      <c r="R2593" s="16" t="s" ph="1">
        <v>966</v>
      </c>
      <c r="S2593" s="13" t="s" ph="1">
        <v>617</v>
      </c>
      <c r="T2593" s="13" t="s" ph="1">
        <v>8818</v>
      </c>
      <c r="U2593" s="16" ph="1">
        <v>37023</v>
      </c>
      <c r="V2593" s="17" ph="1">
        <f>1000*1.05</f>
        <v>1050</v>
      </c>
      <c r="W2593" s="17" ph="1">
        <v>500</v>
      </c>
      <c r="X2593" s="13" t="s" ph="1">
        <v>3632</v>
      </c>
      <c r="Y2593" s="13" t="s" ph="1">
        <v>8819</v>
      </c>
    </row>
    <row r="2594" spans="1:25" ht="22.5" customHeight="1" ph="1" x14ac:dyDescent="0.35">
      <c r="C2594" s="13" t="s" ph="1">
        <v>7591</v>
      </c>
      <c r="G2594" s="13" t="s" ph="1">
        <v>3599</v>
      </c>
      <c r="H2594" s="13" t="s" ph="1">
        <v>716</v>
      </c>
      <c r="I2594" s="13" t="s" ph="1">
        <v>8901</v>
      </c>
      <c r="J2594" s="13" t="s" ph="1">
        <v>8902</v>
      </c>
      <c r="M2594" s="14" t="str" ph="1">
        <f>IFERROR(INDEX([1]!_born[生没年],
MATCH(I2594,[1]!_born[作],0)),"")</f>
        <v/>
      </c>
      <c r="N2594" s="14" t="str" ph="1">
        <f>IFERROR(INDEX([1]!_born[生没年],
MATCH(K2594,[1]!_born[作],0)),"")</f>
        <v/>
      </c>
      <c r="O2594" s="13" t="s" ph="1">
        <v>8903</v>
      </c>
      <c r="R2594" s="16" t="s" ph="1">
        <v>1926</v>
      </c>
      <c r="T2594" s="13" t="s" ph="1">
        <v>8760</v>
      </c>
      <c r="U2594" s="16" t="s" ph="1">
        <v>8904</v>
      </c>
      <c r="V2594" s="17" ph="1">
        <f>740*1.05</f>
        <v>777</v>
      </c>
      <c r="W2594" s="17" ph="1">
        <v>350</v>
      </c>
      <c r="X2594" s="13" t="s" ph="1">
        <v>8905</v>
      </c>
    </row>
    <row r="2595" spans="1:25" ht="22.5" customHeight="1" ph="1" x14ac:dyDescent="0.35">
      <c r="C2595" s="13" t="s" ph="1">
        <v>7591</v>
      </c>
      <c r="G2595" s="13" t="s" ph="1">
        <v>3793</v>
      </c>
      <c r="H2595" s="13" t="s" ph="1">
        <v>716</v>
      </c>
      <c r="I2595" s="13" t="s" ph="1">
        <v>8906</v>
      </c>
      <c r="J2595" s="13" t="s" ph="1">
        <v>3616</v>
      </c>
      <c r="M2595" s="14" t="str" ph="1">
        <f>IFERROR(INDEX([1]!_born[生没年],
MATCH(I2595,[1]!_born[作],0)),"")</f>
        <v/>
      </c>
      <c r="N2595" s="14" t="str" ph="1">
        <f>IFERROR(INDEX([1]!_born[生没年],
MATCH(K2595,[1]!_born[作],0)),"")</f>
        <v/>
      </c>
      <c r="O2595" s="13" t="s" ph="1">
        <v>8907</v>
      </c>
      <c r="T2595" s="13" t="s" ph="1">
        <v>8734</v>
      </c>
      <c r="V2595" s="17" ph="1">
        <v>480</v>
      </c>
    </row>
    <row r="2596" spans="1:25" ht="22.5" customHeight="1" ph="1" x14ac:dyDescent="0.35">
      <c r="C2596" s="13" t="s" ph="1">
        <v>7591</v>
      </c>
      <c r="G2596" s="13" t="s" ph="1">
        <v>3599</v>
      </c>
      <c r="H2596" s="13" t="s" ph="1">
        <v>716</v>
      </c>
      <c r="I2596" s="13" t="s" ph="1">
        <v>8908</v>
      </c>
      <c r="M2596" s="14" t="str" ph="1">
        <f>IFERROR(INDEX([1]!_born[生没年],
MATCH(I2596,[1]!_born[作],0)),"")</f>
        <v/>
      </c>
      <c r="N2596" s="14" t="str" ph="1">
        <f>IFERROR(INDEX([1]!_born[生没年],
MATCH(K2596,[1]!_born[作],0)),"")</f>
        <v/>
      </c>
      <c r="O2596" s="13" t="s" ph="1">
        <v>8909</v>
      </c>
      <c r="R2596" s="16" t="s" ph="1">
        <v>729</v>
      </c>
      <c r="T2596" s="13" t="s" ph="1">
        <v>7949</v>
      </c>
      <c r="U2596" s="16" t="s" ph="1">
        <v>706</v>
      </c>
      <c r="V2596" s="17" ph="1">
        <v>300</v>
      </c>
      <c r="W2596" s="17" ph="1">
        <v>0</v>
      </c>
      <c r="Y2596" s="13" t="s" ph="1">
        <v>8910</v>
      </c>
    </row>
    <row r="2597" spans="1:25" ht="22.5" customHeight="1" ph="1" x14ac:dyDescent="0.35">
      <c r="C2597" s="13" t="s" ph="1">
        <v>7591</v>
      </c>
      <c r="G2597" s="13" t="s" ph="1">
        <v>3599</v>
      </c>
      <c r="H2597" s="13" t="s" ph="1">
        <v>716</v>
      </c>
      <c r="I2597" s="13" t="s" ph="1">
        <v>8911</v>
      </c>
      <c r="M2597" s="14" t="str" ph="1">
        <f>IFERROR(INDEX([1]!_born[生没年],
MATCH(I2597,[1]!_born[作],0)),"")</f>
        <v/>
      </c>
      <c r="N2597" s="14" t="str" ph="1">
        <f>IFERROR(INDEX([1]!_born[生没年],
MATCH(K2597,[1]!_born[作],0)),"")</f>
        <v/>
      </c>
      <c r="O2597" s="13" t="s" ph="1">
        <v>8912</v>
      </c>
      <c r="R2597" s="16" t="s" ph="1">
        <v>1003</v>
      </c>
      <c r="T2597" s="13" t="s" ph="1">
        <v>7949</v>
      </c>
      <c r="V2597" s="17" ph="1">
        <v>340</v>
      </c>
      <c r="W2597" s="17" ph="1">
        <v>170</v>
      </c>
    </row>
    <row r="2598" spans="1:25" ht="22.5" customHeight="1" ph="1" x14ac:dyDescent="0.35">
      <c r="C2598" s="13" t="s" ph="1">
        <v>7591</v>
      </c>
      <c r="G2598" s="13" t="s" ph="1">
        <v>3599</v>
      </c>
      <c r="H2598" s="13" t="s" ph="1">
        <v>716</v>
      </c>
      <c r="I2598" s="13" t="s" ph="1">
        <v>8913</v>
      </c>
      <c r="M2598" s="14" t="str" ph="1">
        <f>IFERROR(INDEX([1]!_born[生没年],
MATCH(I2598,[1]!_born[作],0)),"")</f>
        <v/>
      </c>
      <c r="N2598" s="14" t="str" ph="1">
        <f>IFERROR(INDEX([1]!_born[生没年],
MATCH(K2598,[1]!_born[作],0)),"")</f>
        <v/>
      </c>
      <c r="O2598" s="13" t="s" ph="1">
        <v>8914</v>
      </c>
      <c r="R2598" s="16" t="s" ph="1">
        <v>919</v>
      </c>
      <c r="T2598" s="13" t="s" ph="1">
        <v>7730</v>
      </c>
      <c r="V2598" s="17" ph="1">
        <v>560</v>
      </c>
    </row>
    <row r="2599" spans="1:25" ht="22.5" customHeight="1" ph="1" x14ac:dyDescent="0.35">
      <c r="A2599" s="106" t="s" ph="1">
        <v>1927</v>
      </c>
      <c r="B2599" s="5" t="s" ph="1">
        <v>1928</v>
      </c>
      <c r="C2599" s="13" t="s" ph="1">
        <v>7591</v>
      </c>
      <c r="G2599" s="13" t="s" ph="1">
        <v>3599</v>
      </c>
      <c r="H2599" s="13" t="s" ph="1">
        <v>716</v>
      </c>
      <c r="I2599" s="13" t="s" ph="1">
        <v>8915</v>
      </c>
      <c r="K2599" s="13" t="s" ph="1">
        <v>619</v>
      </c>
      <c r="L2599" s="13" t="s" ph="1">
        <v>1000</v>
      </c>
      <c r="M2599" s="14" t="str" ph="1">
        <f>IFERROR(INDEX([1]!_born[生没年],
MATCH(I2599,[1]!_born[作],0)),"")</f>
        <v/>
      </c>
      <c r="N2599" s="14" t="str" ph="1">
        <f>IFERROR(INDEX([1]!_born[生没年],
MATCH(K2599,[1]!_born[作],0)),"")</f>
        <v/>
      </c>
      <c r="O2599" s="13" t="s" ph="1">
        <v>8916</v>
      </c>
      <c r="R2599" s="16" t="s" ph="1">
        <v>1929</v>
      </c>
      <c r="T2599" s="13" t="s" ph="1">
        <v>8917</v>
      </c>
      <c r="V2599" s="17" ph="1">
        <f>534*1.03</f>
        <v>550.02</v>
      </c>
      <c r="W2599" s="17" ph="1">
        <v>420</v>
      </c>
      <c r="Y2599" s="13" t="s" ph="1">
        <v>7680</v>
      </c>
    </row>
    <row r="2600" spans="1:25" ht="22.5" customHeight="1" ph="1" x14ac:dyDescent="0.35">
      <c r="A2600" s="106" t="s" ph="1">
        <v>1930</v>
      </c>
      <c r="B2600" s="5" t="s" ph="1">
        <v>1931</v>
      </c>
      <c r="C2600" s="13" t="s" ph="1">
        <v>7591</v>
      </c>
      <c r="G2600" s="13" t="s" ph="1">
        <v>708</v>
      </c>
      <c r="H2600" s="13" t="s" ph="1">
        <v>716</v>
      </c>
      <c r="I2600" s="13" t="s" ph="1">
        <v>8918</v>
      </c>
      <c r="J2600" s="13" t="s" ph="1">
        <v>3616</v>
      </c>
      <c r="M2600" s="14" t="str" ph="1">
        <f>IFERROR(INDEX([1]!_born[生没年],
MATCH(I2600,[1]!_born[作],0)),"")</f>
        <v/>
      </c>
      <c r="N2600" s="14" t="str" ph="1">
        <f>IFERROR(INDEX([1]!_born[生没年],
MATCH(K2600,[1]!_born[作],0)),"")</f>
        <v/>
      </c>
      <c r="O2600" s="13" t="s" ph="1">
        <v>8919</v>
      </c>
      <c r="R2600" s="16" ph="1">
        <v>39600</v>
      </c>
      <c r="S2600" s="13" t="s" ph="1">
        <v>8920</v>
      </c>
      <c r="T2600" s="13" t="s" ph="1">
        <v>8920</v>
      </c>
      <c r="U2600" s="16" t="s" ph="1">
        <v>1008</v>
      </c>
      <c r="V2600" s="17" ph="1">
        <f>514</f>
        <v>514</v>
      </c>
      <c r="W2600" s="17" ph="1">
        <f>514</f>
        <v>514</v>
      </c>
    </row>
    <row r="2601" spans="1:25" ht="22.5" customHeight="1" ph="1" x14ac:dyDescent="0.35">
      <c r="A2601" s="106" t="s" ph="1">
        <v>8921</v>
      </c>
      <c r="B2601" s="5" t="s" ph="1">
        <v>3141</v>
      </c>
      <c r="C2601" s="13" t="s" ph="1">
        <v>7591</v>
      </c>
      <c r="G2601" s="13" t="s" ph="1">
        <v>8922</v>
      </c>
      <c r="H2601" s="13" t="s" ph="1">
        <v>61</v>
      </c>
      <c r="I2601" s="13" t="s" ph="1">
        <v>8923</v>
      </c>
      <c r="M2601" s="14" t="str" ph="1">
        <f>IFERROR(INDEX([1]!_born[生没年],
MATCH(I2601,[1]!_born[作],0)),"")</f>
        <v/>
      </c>
      <c r="N2601" s="14" t="str" ph="1">
        <f>IFERROR(INDEX([1]!_born[生没年],
MATCH(K2601,[1]!_born[作],0)),"")</f>
        <v/>
      </c>
      <c r="O2601" s="13" t="s" ph="1">
        <v>8924</v>
      </c>
      <c r="R2601" s="16" ph="1">
        <v>36281</v>
      </c>
      <c r="T2601" s="13" t="s" ph="1">
        <v>8925</v>
      </c>
      <c r="U2601" s="16" ph="1">
        <v>44793</v>
      </c>
      <c r="V2601" s="17" ph="1">
        <f>1200*1.1</f>
        <v>1320</v>
      </c>
      <c r="W2601" s="17" ph="1">
        <f>257</f>
        <v>257</v>
      </c>
      <c r="X2601" s="13" t="s" ph="1">
        <v>8926</v>
      </c>
    </row>
    <row r="2602" spans="1:25" ht="22.5" customHeight="1" ph="1" x14ac:dyDescent="0.35">
      <c r="C2602" s="13" t="s" ph="1">
        <v>7591</v>
      </c>
      <c r="G2602" s="13" t="s" ph="1">
        <v>3624</v>
      </c>
      <c r="H2602" s="13" t="s" ph="1">
        <v>716</v>
      </c>
      <c r="I2602" s="13" t="s" ph="1">
        <v>8927</v>
      </c>
      <c r="J2602" s="13" t="s" ph="1">
        <v>8928</v>
      </c>
      <c r="M2602" s="14" t="str" ph="1">
        <f>IFERROR(INDEX([1]!_born[生没年],
MATCH(I2602,[1]!_born[作],0)),"")</f>
        <v/>
      </c>
      <c r="N2602" s="14" t="str" ph="1">
        <f>IFERROR(INDEX([1]!_born[生没年],
MATCH(K2602,[1]!_born[作],0)),"")</f>
        <v/>
      </c>
      <c r="O2602" s="13" t="s" ph="1">
        <v>8929</v>
      </c>
      <c r="R2602" s="16" t="s" ph="1">
        <v>1488</v>
      </c>
      <c r="T2602" s="13" t="s" ph="1">
        <v>7730</v>
      </c>
      <c r="U2602" s="16" ph="1">
        <v>36795</v>
      </c>
      <c r="V2602" s="17" ph="1">
        <f>880*1.05</f>
        <v>924</v>
      </c>
      <c r="W2602" s="17" ph="1">
        <f>880*1.05</f>
        <v>924</v>
      </c>
    </row>
    <row r="2603" spans="1:25" ht="22.5" customHeight="1" ph="1" x14ac:dyDescent="0.35">
      <c r="C2603" s="13" t="s" ph="1">
        <v>7591</v>
      </c>
      <c r="G2603" s="13" t="s" ph="1">
        <v>3793</v>
      </c>
      <c r="H2603" s="13" t="s" ph="1">
        <v>716</v>
      </c>
      <c r="I2603" s="13" t="s" ph="1">
        <v>8930</v>
      </c>
      <c r="J2603" s="13" t="s" ph="1">
        <v>3752</v>
      </c>
      <c r="M2603" s="14" t="str" ph="1">
        <f>IFERROR(INDEX([1]!_born[生没年],
MATCH(I2603,[1]!_born[作],0)),"")</f>
        <v/>
      </c>
      <c r="N2603" s="14" t="str" ph="1">
        <f>IFERROR(INDEX([1]!_born[生没年],
MATCH(K2603,[1]!_born[作],0)),"")</f>
        <v/>
      </c>
      <c r="O2603" s="13" t="s" ph="1">
        <v>8931</v>
      </c>
      <c r="T2603" s="13" t="s" ph="1">
        <v>8932</v>
      </c>
      <c r="V2603" s="17" ph="1">
        <v>490</v>
      </c>
    </row>
    <row r="2604" spans="1:25" ht="22.5" customHeight="1" ph="1" x14ac:dyDescent="0.35">
      <c r="C2604" s="13" t="s" ph="1">
        <v>1932</v>
      </c>
      <c r="G2604" s="13" t="s" ph="1">
        <v>3884</v>
      </c>
      <c r="H2604" s="13" t="s" ph="1">
        <v>716</v>
      </c>
      <c r="M2604" s="14" t="str" ph="1">
        <f>IFERROR(INDEX([1]!_born[生没年],
MATCH(I2604,[1]!_born[作],0)),"")</f>
        <v/>
      </c>
      <c r="N2604" s="14" t="str" ph="1">
        <f>IFERROR(INDEX([1]!_born[生没年],
MATCH(K2604,[1]!_born[作],0)),"")</f>
        <v/>
      </c>
      <c r="O2604" s="15" t="s" ph="1">
        <v>8933</v>
      </c>
      <c r="U2604" s="16" t="s" ph="1">
        <v>706</v>
      </c>
    </row>
    <row r="2605" spans="1:25" ht="22.5" customHeight="1" ph="1" x14ac:dyDescent="0.35">
      <c r="C2605" s="13" t="s" ph="1">
        <v>1932</v>
      </c>
      <c r="G2605" s="13" t="s" ph="1">
        <v>3884</v>
      </c>
      <c r="H2605" s="13" t="s" ph="1">
        <v>61</v>
      </c>
      <c r="M2605" s="14" t="str" ph="1">
        <f>IFERROR(INDEX([1]!_born[生没年],
MATCH(I2605,[1]!_born[作],0)),"")</f>
        <v/>
      </c>
      <c r="N2605" s="14" t="str" ph="1">
        <f>IFERROR(INDEX([1]!_born[生没年],
MATCH(K2605,[1]!_born[作],0)),"")</f>
        <v/>
      </c>
      <c r="O2605" s="13" t="s" ph="1">
        <v>8934</v>
      </c>
      <c r="T2605" s="13" t="s" ph="1">
        <v>8935</v>
      </c>
      <c r="U2605" s="16" t="s" ph="1">
        <v>3042</v>
      </c>
      <c r="V2605" s="17" ph="1">
        <v>0</v>
      </c>
      <c r="W2605" s="17" ph="1">
        <v>0</v>
      </c>
      <c r="Y2605" s="13" t="s" ph="1">
        <v>8936</v>
      </c>
    </row>
    <row r="2606" spans="1:25" s="7" customFormat="1" ht="22.5" customHeight="1" ph="1" x14ac:dyDescent="0.25">
      <c r="A2606" s="106" ph="1"/>
      <c r="B2606" s="5" ph="1"/>
      <c r="C2606" s="9" t="s" ph="1">
        <v>707</v>
      </c>
      <c r="D2606" s="122" ph="1"/>
      <c r="E2606" s="122" ph="1"/>
      <c r="G2606" s="8" t="s" ph="1">
        <v>1933</v>
      </c>
      <c r="H2606" s="9" ph="1"/>
      <c r="M2606" s="7" t="str" ph="1">
        <f>IFERROR(INDEX([1]!_born[生没年],
MATCH(I2606,[1]!_born[作],0)),"")</f>
        <v/>
      </c>
      <c r="N2606" s="7" t="str" ph="1">
        <f>IFERROR(INDEX([1]!_born[生没年],
MATCH(K2606,[1]!_born[作],0)),"")</f>
        <v/>
      </c>
      <c r="R2606" s="10" ph="1"/>
      <c r="U2606" s="10" ph="1"/>
      <c r="V2606" s="11" ph="1"/>
      <c r="W2606" s="11" ph="1"/>
    </row>
    <row r="2607" spans="1:25" ht="22.5" customHeight="1" ph="1" x14ac:dyDescent="0.35">
      <c r="A2607" s="106" t="s" ph="1">
        <v>3094</v>
      </c>
      <c r="B2607" s="5" t="s" ph="1">
        <v>571</v>
      </c>
      <c r="C2607" s="13" t="s" ph="1">
        <v>25</v>
      </c>
      <c r="G2607" s="13" t="s" ph="1">
        <v>699</v>
      </c>
      <c r="H2607" s="13" t="s" ph="1">
        <v>2987</v>
      </c>
      <c r="I2607" s="13" t="s" ph="1">
        <v>8937</v>
      </c>
      <c r="M2607" s="14" t="str" ph="1">
        <f>IFERROR(INDEX([1]!_born[生没年],
MATCH(I2607,[1]!_born[作],0)),"")</f>
        <v/>
      </c>
      <c r="N2607" s="14" t="str" ph="1">
        <f>IFERROR(INDEX([1]!_born[生没年],
MATCH(K2607,[1]!_born[作],0)),"")</f>
        <v/>
      </c>
      <c r="O2607" s="13" t="s" ph="1">
        <v>8938</v>
      </c>
      <c r="R2607" s="16" ph="1">
        <v>33486</v>
      </c>
      <c r="T2607" s="13" t="s" ph="1">
        <v>4974</v>
      </c>
      <c r="U2607" s="16" t="s" ph="1">
        <v>3093</v>
      </c>
      <c r="V2607" s="17" ph="1">
        <f>ROUNDDOWN(1457*1.03,0)</f>
        <v>1500</v>
      </c>
      <c r="W2607" s="17" ph="1">
        <v>0</v>
      </c>
      <c r="Y2607" s="13" t="s" ph="1">
        <v>8939</v>
      </c>
    </row>
    <row r="2608" spans="1:25" ht="22.5" customHeight="1" ph="1" x14ac:dyDescent="0.35">
      <c r="A2608" s="106" t="s" ph="1">
        <v>2412</v>
      </c>
      <c r="B2608" s="5" t="s" ph="1">
        <v>2413</v>
      </c>
      <c r="C2608" s="13" t="s" ph="1">
        <v>707</v>
      </c>
      <c r="G2608" s="13" t="s" ph="1">
        <v>1933</v>
      </c>
      <c r="H2608" s="13" t="s" ph="1">
        <v>2987</v>
      </c>
      <c r="I2608" s="13" t="s" ph="1">
        <v>8940</v>
      </c>
      <c r="M2608" s="14" t="str" ph="1">
        <f>IFERROR(INDEX([1]!_born[生没年],
MATCH(I2608,[1]!_born[作],0)),"")</f>
        <v/>
      </c>
      <c r="N2608" s="14" t="str" ph="1">
        <f>IFERROR(INDEX([1]!_born[生没年],
MATCH(K2608,[1]!_born[作],0)),"")</f>
        <v/>
      </c>
      <c r="O2608" s="13" t="s" ph="1">
        <v>8941</v>
      </c>
      <c r="R2608" s="16" t="s" ph="1">
        <v>2414</v>
      </c>
      <c r="S2608" s="13" t="s" ph="1">
        <v>58</v>
      </c>
      <c r="T2608" s="13" t="s" ph="1">
        <v>3988</v>
      </c>
      <c r="U2608" s="16" ph="1">
        <v>39338</v>
      </c>
      <c r="V2608" s="17" ph="1">
        <f>757*1.03</f>
        <v>779.71</v>
      </c>
      <c r="W2608" s="17" ph="1">
        <f>1+340</f>
        <v>341</v>
      </c>
      <c r="X2608" s="13" t="s" ph="1">
        <v>8942</v>
      </c>
    </row>
    <row r="2609" spans="1:25" ht="22.5" customHeight="1" ph="1" x14ac:dyDescent="0.35">
      <c r="C2609" s="13" t="s" ph="1">
        <v>707</v>
      </c>
      <c r="G2609" s="13" t="s" ph="1">
        <v>1933</v>
      </c>
      <c r="H2609" s="13" t="s" ph="1">
        <v>2987</v>
      </c>
      <c r="I2609" s="13" t="s" ph="1">
        <v>8943</v>
      </c>
      <c r="M2609" s="14" t="str" ph="1">
        <f>IFERROR(INDEX([1]!_born[生没年],
MATCH(I2609,[1]!_born[作],0)),"")</f>
        <v/>
      </c>
      <c r="N2609" s="14" t="str" ph="1">
        <f>IFERROR(INDEX([1]!_born[生没年],
MATCH(K2609,[1]!_born[作],0)),"")</f>
        <v/>
      </c>
      <c r="O2609" s="13" t="s" ph="1">
        <v>8944</v>
      </c>
      <c r="S2609" s="13" t="s" ph="1">
        <v>8945</v>
      </c>
      <c r="T2609" s="13" t="s" ph="1">
        <v>4439</v>
      </c>
      <c r="U2609" s="16" ph="1">
        <v>36661</v>
      </c>
      <c r="V2609" s="17" ph="1">
        <v>780</v>
      </c>
      <c r="W2609" s="17" ph="1">
        <v>400</v>
      </c>
    </row>
    <row r="2610" spans="1:25" ht="22.5" customHeight="1" ph="1" x14ac:dyDescent="0.35">
      <c r="A2610" s="106" t="s" ph="1">
        <v>1572</v>
      </c>
      <c r="B2610" s="5" t="s" ph="1">
        <v>1573</v>
      </c>
      <c r="C2610" s="13" t="s" ph="1">
        <v>3648</v>
      </c>
      <c r="G2610" s="13" t="s" ph="1">
        <v>1574</v>
      </c>
      <c r="H2610" s="13" t="s" ph="1">
        <v>2987</v>
      </c>
      <c r="I2610" s="13" t="s" ph="1">
        <v>8946</v>
      </c>
      <c r="M2610" s="14" t="str" ph="1">
        <f>IFERROR(INDEX([1]!_born[生没年],
MATCH(I2610,[1]!_born[作],0)),"")</f>
        <v/>
      </c>
      <c r="N2610" s="14" t="str" ph="1">
        <f>IFERROR(INDEX([1]!_born[生没年],
MATCH(K2610,[1]!_born[作],0)),"")</f>
        <v/>
      </c>
      <c r="O2610" s="13" t="s" ph="1">
        <v>8947</v>
      </c>
      <c r="T2610" s="13" t="s" ph="1">
        <v>4626</v>
      </c>
      <c r="U2610" s="16" t="s" ph="1">
        <v>1575</v>
      </c>
      <c r="V2610" s="17" ph="1">
        <v>550</v>
      </c>
      <c r="W2610" s="17" ph="1">
        <v>550</v>
      </c>
    </row>
    <row r="2611" spans="1:25" ht="22.5" customHeight="1" ph="1" x14ac:dyDescent="0.35">
      <c r="A2611" s="106" t="s" ph="1">
        <v>1576</v>
      </c>
      <c r="B2611" s="5" t="s" ph="1">
        <v>1573</v>
      </c>
      <c r="C2611" s="13" t="s" ph="1">
        <v>3648</v>
      </c>
      <c r="G2611" s="13" t="s" ph="1">
        <v>1574</v>
      </c>
      <c r="H2611" s="13" t="s" ph="1">
        <v>2987</v>
      </c>
      <c r="I2611" s="13" t="s" ph="1">
        <v>8946</v>
      </c>
      <c r="M2611" s="14" t="str" ph="1">
        <f>IFERROR(INDEX([1]!_born[生没年],
MATCH(I2611,[1]!_born[作],0)),"")</f>
        <v/>
      </c>
      <c r="N2611" s="14" t="str" ph="1">
        <f>IFERROR(INDEX([1]!_born[生没年],
MATCH(K2611,[1]!_born[作],0)),"")</f>
        <v/>
      </c>
      <c r="O2611" s="13" t="s" ph="1">
        <v>8948</v>
      </c>
      <c r="T2611" s="13" t="s" ph="1">
        <v>4626</v>
      </c>
      <c r="U2611" s="16" t="s" ph="1">
        <v>1575</v>
      </c>
      <c r="V2611" s="17" ph="1">
        <f>524*1.05</f>
        <v>550.20000000000005</v>
      </c>
      <c r="W2611" s="17" ph="1">
        <v>550</v>
      </c>
    </row>
    <row r="2612" spans="1:25" ht="22.5" customHeight="1" ph="1" x14ac:dyDescent="0.35">
      <c r="A2612" s="106" t="s" ph="1">
        <v>1577</v>
      </c>
      <c r="B2612" s="5" t="s" ph="1">
        <v>1573</v>
      </c>
      <c r="C2612" s="13" t="s" ph="1">
        <v>3648</v>
      </c>
      <c r="G2612" s="13" t="s" ph="1">
        <v>1574</v>
      </c>
      <c r="H2612" s="13" t="s" ph="1">
        <v>2987</v>
      </c>
      <c r="I2612" s="13" t="s" ph="1">
        <v>8946</v>
      </c>
      <c r="M2612" s="14" t="str" ph="1">
        <f>IFERROR(INDEX([1]!_born[生没年],
MATCH(I2612,[1]!_born[作],0)),"")</f>
        <v/>
      </c>
      <c r="N2612" s="14" t="str" ph="1">
        <f>IFERROR(INDEX([1]!_born[生没年],
MATCH(K2612,[1]!_born[作],0)),"")</f>
        <v/>
      </c>
      <c r="O2612" s="13" t="s" ph="1">
        <v>8949</v>
      </c>
      <c r="R2612" s="16" t="s" ph="1">
        <v>1578</v>
      </c>
      <c r="T2612" s="13" t="s" ph="1">
        <v>4626</v>
      </c>
      <c r="U2612" s="16" t="s" ph="1">
        <v>1579</v>
      </c>
      <c r="V2612" s="17" ph="1">
        <f>429*1.05</f>
        <v>450.45000000000005</v>
      </c>
      <c r="W2612" s="17" ph="1">
        <f>429*1.05</f>
        <v>450.45000000000005</v>
      </c>
    </row>
    <row r="2613" spans="1:25" ht="22.5" customHeight="1" ph="1" x14ac:dyDescent="0.35">
      <c r="C2613" s="13" t="s" ph="1">
        <v>4106</v>
      </c>
      <c r="D2613" s="123" ph="1">
        <v>3</v>
      </c>
      <c r="E2613" s="123" t="s" ph="1">
        <v>3145</v>
      </c>
      <c r="G2613" s="13" t="s" ph="1">
        <v>1933</v>
      </c>
      <c r="H2613" s="13" t="s" ph="1">
        <v>2987</v>
      </c>
      <c r="I2613" s="13" t="s" ph="1">
        <v>8950</v>
      </c>
      <c r="M2613" s="14" t="str" ph="1">
        <f>IFERROR(INDEX([1]!_born[生没年],
MATCH(I2613,[1]!_born[作],0)),"")</f>
        <v/>
      </c>
      <c r="N2613" s="14" t="str" ph="1">
        <f>IFERROR(INDEX([1]!_born[生没年],
MATCH(K2613,[1]!_born[作],0)),"")</f>
        <v/>
      </c>
      <c r="O2613" s="13" t="s" ph="1">
        <v>8951</v>
      </c>
      <c r="T2613" s="13" t="s" ph="1">
        <v>4702</v>
      </c>
      <c r="V2613" s="17" ph="1">
        <v>700</v>
      </c>
      <c r="W2613" s="17" ph="1">
        <v>0</v>
      </c>
    </row>
    <row r="2614" spans="1:25" s="19" customFormat="1" ht="22.5" customHeight="1" ph="1" x14ac:dyDescent="0.35">
      <c r="A2614" s="107" ph="1"/>
      <c r="B2614" s="18" ph="1"/>
      <c r="C2614" s="19" t="s" ph="1">
        <v>707</v>
      </c>
      <c r="D2614" s="124" ph="1">
        <v>7</v>
      </c>
      <c r="E2614" s="124" t="s" ph="1">
        <v>3145</v>
      </c>
      <c r="G2614" s="19" t="s" ph="1">
        <v>1933</v>
      </c>
      <c r="H2614" s="19" t="s" ph="1">
        <v>2987</v>
      </c>
      <c r="I2614" s="19" t="s" ph="1">
        <v>8952</v>
      </c>
      <c r="M2614" s="27" t="str" ph="1">
        <f>IFERROR(INDEX([1]!_born[生没年],
MATCH(I2614,[1]!_born[作],0)),"")</f>
        <v/>
      </c>
      <c r="N2614" s="27" t="str" ph="1">
        <f>IFERROR(INDEX([1]!_born[生没年],
MATCH(K2614,[1]!_born[作],0)),"")</f>
        <v/>
      </c>
      <c r="O2614" s="19" t="s" ph="1">
        <v>8953</v>
      </c>
      <c r="R2614" s="20" ph="1"/>
      <c r="S2614" s="19" t="s" ph="1">
        <v>2415</v>
      </c>
      <c r="T2614" s="19" t="s" ph="1">
        <v>8954</v>
      </c>
      <c r="U2614" s="20" t="s" ph="1">
        <v>706</v>
      </c>
      <c r="V2614" s="21" ph="1">
        <f>550*3</f>
        <v>1650</v>
      </c>
      <c r="W2614" s="21" ph="1"/>
      <c r="Y2614" s="19" t="s" ph="1">
        <v>4617</v>
      </c>
    </row>
    <row r="2615" spans="1:25" s="19" customFormat="1" ht="22.5" customHeight="1" ph="1" x14ac:dyDescent="0.35">
      <c r="A2615" s="107" ph="1"/>
      <c r="B2615" s="18" ph="1"/>
      <c r="C2615" s="19" t="s" ph="1">
        <v>707</v>
      </c>
      <c r="D2615" s="124" ph="1">
        <v>8</v>
      </c>
      <c r="E2615" s="124" t="s" ph="1">
        <v>3145</v>
      </c>
      <c r="G2615" s="19" t="s" ph="1">
        <v>1933</v>
      </c>
      <c r="H2615" s="19" t="s" ph="1">
        <v>2987</v>
      </c>
      <c r="I2615" s="19" t="s" ph="1">
        <v>8952</v>
      </c>
      <c r="M2615" s="27" t="str" ph="1">
        <f>IFERROR(INDEX([1]!_born[生没年],
MATCH(I2615,[1]!_born[作],0)),"")</f>
        <v/>
      </c>
      <c r="N2615" s="27" t="str" ph="1">
        <f>IFERROR(INDEX([1]!_born[生没年],
MATCH(K2615,[1]!_born[作],0)),"")</f>
        <v/>
      </c>
      <c r="O2615" s="19" t="s" ph="1">
        <v>8955</v>
      </c>
      <c r="R2615" s="20" ph="1"/>
      <c r="S2615" s="19" t="s" ph="1">
        <v>2415</v>
      </c>
      <c r="T2615" s="19" t="s" ph="1">
        <v>8954</v>
      </c>
      <c r="U2615" s="20" t="s" ph="1">
        <v>706</v>
      </c>
      <c r="V2615" s="21" ph="1">
        <f>550*3</f>
        <v>1650</v>
      </c>
      <c r="W2615" s="21" ph="1"/>
      <c r="Y2615" s="19" t="s" ph="1">
        <v>4617</v>
      </c>
    </row>
    <row r="2616" spans="1:25" s="19" customFormat="1" ht="22.5" customHeight="1" ph="1" x14ac:dyDescent="0.35">
      <c r="A2616" s="107" ph="1"/>
      <c r="B2616" s="18" ph="1"/>
      <c r="C2616" s="19" t="s" ph="1">
        <v>707</v>
      </c>
      <c r="D2616" s="124" ph="1">
        <v>9</v>
      </c>
      <c r="E2616" s="124" t="s" ph="1">
        <v>3145</v>
      </c>
      <c r="G2616" s="19" t="s" ph="1">
        <v>1933</v>
      </c>
      <c r="H2616" s="19" t="s" ph="1">
        <v>2987</v>
      </c>
      <c r="I2616" s="19" t="s" ph="1">
        <v>8952</v>
      </c>
      <c r="M2616" s="27" t="str" ph="1">
        <f>IFERROR(INDEX([1]!_born[生没年],
MATCH(I2616,[1]!_born[作],0)),"")</f>
        <v/>
      </c>
      <c r="N2616" s="27" t="str" ph="1">
        <f>IFERROR(INDEX([1]!_born[生没年],
MATCH(K2616,[1]!_born[作],0)),"")</f>
        <v/>
      </c>
      <c r="O2616" s="19" t="s" ph="1">
        <v>8956</v>
      </c>
      <c r="R2616" s="20" ph="1"/>
      <c r="S2616" s="19" t="s" ph="1">
        <v>2415</v>
      </c>
      <c r="T2616" s="19" t="s" ph="1">
        <v>8954</v>
      </c>
      <c r="U2616" s="20" t="s" ph="1">
        <v>706</v>
      </c>
      <c r="V2616" s="21" ph="1">
        <f>550*3</f>
        <v>1650</v>
      </c>
      <c r="W2616" s="21" ph="1"/>
      <c r="Y2616" s="19" t="s" ph="1">
        <v>4617</v>
      </c>
    </row>
    <row r="2617" spans="1:25" ht="22.5" customHeight="1" ph="1" x14ac:dyDescent="0.35">
      <c r="C2617" s="13" t="s" ph="1">
        <v>707</v>
      </c>
      <c r="D2617" s="123" ph="1">
        <v>1</v>
      </c>
      <c r="E2617" s="123" ph="1">
        <v>3</v>
      </c>
      <c r="G2617" s="13" t="s" ph="1">
        <v>1933</v>
      </c>
      <c r="H2617" s="13" t="s" ph="1">
        <v>2987</v>
      </c>
      <c r="I2617" s="13" t="s" ph="1">
        <v>4850</v>
      </c>
      <c r="M2617" s="14" t="str" ph="1">
        <f>IFERROR(INDEX([1]!_born[生没年],
MATCH(I2617,[1]!_born[作],0)),"")</f>
        <v/>
      </c>
      <c r="N2617" s="14" t="str" ph="1">
        <f>IFERROR(INDEX([1]!_born[生没年],
MATCH(K2617,[1]!_born[作],0)),"")</f>
        <v/>
      </c>
      <c r="O2617" s="15" t="s" ph="1">
        <v>8957</v>
      </c>
      <c r="T2617" s="13" t="s" ph="1">
        <v>4702</v>
      </c>
      <c r="U2617" s="16" t="s" ph="1">
        <v>706</v>
      </c>
      <c r="V2617" s="17" ph="1">
        <f>670+670+780</f>
        <v>2120</v>
      </c>
    </row>
    <row r="2618" spans="1:25" ht="22.5" customHeight="1" ph="1" x14ac:dyDescent="0.35">
      <c r="C2618" s="13" t="s" ph="1">
        <v>707</v>
      </c>
      <c r="D2618" s="123" ph="1">
        <v>2</v>
      </c>
      <c r="E2618" s="123" ph="1">
        <v>3</v>
      </c>
      <c r="G2618" s="13" t="s" ph="1">
        <v>1933</v>
      </c>
      <c r="H2618" s="13" t="s" ph="1">
        <v>2987</v>
      </c>
      <c r="I2618" s="13" t="s" ph="1">
        <v>4850</v>
      </c>
      <c r="M2618" s="14" t="str" ph="1">
        <f>IFERROR(INDEX([1]!_born[生没年],
MATCH(I2618,[1]!_born[作],0)),"")</f>
        <v/>
      </c>
      <c r="N2618" s="14" t="str" ph="1">
        <f>IFERROR(INDEX([1]!_born[生没年],
MATCH(K2618,[1]!_born[作],0)),"")</f>
        <v/>
      </c>
      <c r="O2618" s="15" t="s" ph="1">
        <v>8957</v>
      </c>
      <c r="T2618" s="13" t="s" ph="1">
        <v>4702</v>
      </c>
      <c r="U2618" s="16" t="s" ph="1">
        <v>706</v>
      </c>
      <c r="V2618" s="17" ph="1">
        <f>670+670+780</f>
        <v>2120</v>
      </c>
    </row>
    <row r="2619" spans="1:25" ht="22.5" customHeight="1" ph="1" x14ac:dyDescent="0.35">
      <c r="C2619" s="13" t="s" ph="1">
        <v>707</v>
      </c>
      <c r="D2619" s="123" ph="1">
        <v>3</v>
      </c>
      <c r="E2619" s="123" ph="1">
        <v>3</v>
      </c>
      <c r="G2619" s="13" t="s" ph="1">
        <v>1933</v>
      </c>
      <c r="H2619" s="13" t="s" ph="1">
        <v>2987</v>
      </c>
      <c r="I2619" s="13" t="s" ph="1">
        <v>4850</v>
      </c>
      <c r="M2619" s="14" t="str" ph="1">
        <f>IFERROR(INDEX([1]!_born[生没年],
MATCH(I2619,[1]!_born[作],0)),"")</f>
        <v/>
      </c>
      <c r="N2619" s="14" t="str" ph="1">
        <f>IFERROR(INDEX([1]!_born[生没年],
MATCH(K2619,[1]!_born[作],0)),"")</f>
        <v/>
      </c>
      <c r="O2619" s="15" t="s" ph="1">
        <v>8957</v>
      </c>
      <c r="T2619" s="13" t="s" ph="1">
        <v>4702</v>
      </c>
      <c r="U2619" s="16" t="s" ph="1">
        <v>706</v>
      </c>
      <c r="V2619" s="17" ph="1">
        <f>670+670+780</f>
        <v>2120</v>
      </c>
    </row>
    <row r="2620" spans="1:25" ht="22.5" customHeight="1" ph="1" x14ac:dyDescent="0.35">
      <c r="A2620" s="106" t="s" ph="1">
        <v>2409</v>
      </c>
      <c r="B2620" s="5" t="s" ph="1">
        <v>1941</v>
      </c>
      <c r="C2620" s="13" t="s" ph="1">
        <v>707</v>
      </c>
      <c r="G2620" s="13" t="s" ph="1">
        <v>1933</v>
      </c>
      <c r="H2620" s="13" t="s" ph="1">
        <v>2987</v>
      </c>
      <c r="I2620" s="13" t="s" ph="1">
        <v>4850</v>
      </c>
      <c r="M2620" s="14" t="str" ph="1">
        <f>IFERROR(INDEX([1]!_born[生没年],
MATCH(I2620,[1]!_born[作],0)),"")</f>
        <v/>
      </c>
      <c r="N2620" s="14" t="str" ph="1">
        <f>IFERROR(INDEX([1]!_born[生没年],
MATCH(K2620,[1]!_born[作],0)),"")</f>
        <v/>
      </c>
      <c r="O2620" s="13" t="s" ph="1">
        <v>8958</v>
      </c>
      <c r="S2620" s="13" t="s" ph="1">
        <v>8959</v>
      </c>
      <c r="T2620" s="13" t="s" ph="1">
        <v>3814</v>
      </c>
      <c r="V2620" s="17" ph="1">
        <f>933*1.05</f>
        <v>979.65000000000009</v>
      </c>
      <c r="X2620" s="13" t="s" ph="1">
        <v>8960</v>
      </c>
    </row>
    <row r="2621" spans="1:25" ht="22.5" customHeight="1" ph="1" x14ac:dyDescent="0.35">
      <c r="C2621" s="13" t="s" ph="1">
        <v>707</v>
      </c>
      <c r="G2621" s="13" t="s" ph="1">
        <v>1933</v>
      </c>
      <c r="H2621" s="13" t="s" ph="1">
        <v>2987</v>
      </c>
      <c r="I2621" s="13" t="s" ph="1">
        <v>4850</v>
      </c>
      <c r="M2621" s="14" t="str" ph="1">
        <f>IFERROR(INDEX([1]!_born[生没年],
MATCH(I2621,[1]!_born[作],0)),"")</f>
        <v/>
      </c>
      <c r="N2621" s="14" t="str" ph="1">
        <f>IFERROR(INDEX([1]!_born[生没年],
MATCH(K2621,[1]!_born[作],0)),"")</f>
        <v/>
      </c>
      <c r="O2621" s="13" t="s" ph="1">
        <v>8961</v>
      </c>
      <c r="S2621" s="13" t="s" ph="1">
        <v>416</v>
      </c>
      <c r="T2621" s="13" t="s" ph="1">
        <v>4439</v>
      </c>
      <c r="V2621" s="17" ph="1">
        <v>880</v>
      </c>
    </row>
    <row r="2622" spans="1:25" ht="22.5" customHeight="1" ph="1" x14ac:dyDescent="0.35">
      <c r="C2622" s="13" t="s" ph="1">
        <v>707</v>
      </c>
      <c r="D2622" s="123" ph="1">
        <v>1</v>
      </c>
      <c r="E2622" s="123" ph="1">
        <v>4</v>
      </c>
      <c r="G2622" s="13" t="s" ph="1">
        <v>1933</v>
      </c>
      <c r="H2622" s="13" t="s" ph="1">
        <v>2987</v>
      </c>
      <c r="I2622" s="13" t="s" ph="1">
        <v>4850</v>
      </c>
      <c r="M2622" s="14" t="str" ph="1">
        <f>IFERROR(INDEX([1]!_born[生没年],
MATCH(I2622,[1]!_born[作],0)),"")</f>
        <v/>
      </c>
      <c r="N2622" s="14" t="str" ph="1">
        <f>IFERROR(INDEX([1]!_born[生没年],
MATCH(K2622,[1]!_born[作],0)),"")</f>
        <v/>
      </c>
      <c r="O2622" s="13" t="s" ph="1">
        <v>8962</v>
      </c>
      <c r="S2622" s="13" t="s" ph="1">
        <v>8959</v>
      </c>
      <c r="T2622" s="13" t="s" ph="1">
        <v>3814</v>
      </c>
      <c r="V2622" s="17" t="s" ph="1">
        <v>8963</v>
      </c>
    </row>
    <row r="2623" spans="1:25" ht="22.5" customHeight="1" ph="1" x14ac:dyDescent="0.35">
      <c r="C2623" s="13" t="s" ph="1">
        <v>707</v>
      </c>
      <c r="D2623" s="123" ph="1">
        <v>2</v>
      </c>
      <c r="E2623" s="123" ph="1">
        <v>4</v>
      </c>
      <c r="G2623" s="13" t="s" ph="1">
        <v>1933</v>
      </c>
      <c r="H2623" s="13" t="s" ph="1">
        <v>2987</v>
      </c>
      <c r="I2623" s="13" t="s" ph="1">
        <v>4850</v>
      </c>
      <c r="M2623" s="14" t="str" ph="1">
        <f>IFERROR(INDEX([1]!_born[生没年],
MATCH(I2623,[1]!_born[作],0)),"")</f>
        <v/>
      </c>
      <c r="N2623" s="14" t="str" ph="1">
        <f>IFERROR(INDEX([1]!_born[生没年],
MATCH(K2623,[1]!_born[作],0)),"")</f>
        <v/>
      </c>
      <c r="O2623" s="13" t="s" ph="1">
        <v>8962</v>
      </c>
      <c r="S2623" s="13" t="s" ph="1">
        <v>8959</v>
      </c>
      <c r="T2623" s="13" t="s" ph="1">
        <v>3814</v>
      </c>
      <c r="V2623" s="17" t="s" ph="1">
        <v>8963</v>
      </c>
    </row>
    <row r="2624" spans="1:25" ht="22.5" customHeight="1" ph="1" x14ac:dyDescent="0.35">
      <c r="C2624" s="13" t="s" ph="1">
        <v>707</v>
      </c>
      <c r="D2624" s="123" ph="1">
        <v>3</v>
      </c>
      <c r="E2624" s="123" ph="1">
        <v>4</v>
      </c>
      <c r="G2624" s="13" t="s" ph="1">
        <v>1933</v>
      </c>
      <c r="H2624" s="13" t="s" ph="1">
        <v>2987</v>
      </c>
      <c r="I2624" s="13" t="s" ph="1">
        <v>4850</v>
      </c>
      <c r="M2624" s="14" t="str" ph="1">
        <f>IFERROR(INDEX([1]!_born[生没年],
MATCH(I2624,[1]!_born[作],0)),"")</f>
        <v/>
      </c>
      <c r="N2624" s="14" t="str" ph="1">
        <f>IFERROR(INDEX([1]!_born[生没年],
MATCH(K2624,[1]!_born[作],0)),"")</f>
        <v/>
      </c>
      <c r="O2624" s="13" t="s" ph="1">
        <v>8962</v>
      </c>
      <c r="S2624" s="13" t="s" ph="1">
        <v>8959</v>
      </c>
      <c r="T2624" s="13" t="s" ph="1">
        <v>3814</v>
      </c>
      <c r="V2624" s="17" t="s" ph="1">
        <v>8963</v>
      </c>
    </row>
    <row r="2625" spans="1:25" ht="22.5" customHeight="1" ph="1" x14ac:dyDescent="0.35">
      <c r="C2625" s="13" t="s" ph="1">
        <v>707</v>
      </c>
      <c r="D2625" s="123" ph="1">
        <v>4</v>
      </c>
      <c r="E2625" s="123" ph="1">
        <v>4</v>
      </c>
      <c r="G2625" s="13" t="s" ph="1">
        <v>1933</v>
      </c>
      <c r="H2625" s="13" t="s" ph="1">
        <v>2987</v>
      </c>
      <c r="I2625" s="13" t="s" ph="1">
        <v>4850</v>
      </c>
      <c r="M2625" s="14" t="str" ph="1">
        <f>IFERROR(INDEX([1]!_born[生没年],
MATCH(I2625,[1]!_born[作],0)),"")</f>
        <v/>
      </c>
      <c r="N2625" s="14" t="str" ph="1">
        <f>IFERROR(INDEX([1]!_born[生没年],
MATCH(K2625,[1]!_born[作],0)),"")</f>
        <v/>
      </c>
      <c r="O2625" s="13" t="s" ph="1">
        <v>8962</v>
      </c>
      <c r="S2625" s="13" t="s" ph="1">
        <v>8959</v>
      </c>
      <c r="T2625" s="13" t="s" ph="1">
        <v>3814</v>
      </c>
      <c r="V2625" s="17" t="s" ph="1">
        <v>8963</v>
      </c>
    </row>
    <row r="2626" spans="1:25" ht="22.5" customHeight="1" ph="1" x14ac:dyDescent="0.35">
      <c r="C2626" s="13" t="s" ph="1">
        <v>707</v>
      </c>
      <c r="D2626" s="123" ph="1">
        <v>1</v>
      </c>
      <c r="E2626" s="123" ph="1">
        <v>4</v>
      </c>
      <c r="G2626" s="13" t="s" ph="1">
        <v>1933</v>
      </c>
      <c r="H2626" s="13" t="s" ph="1">
        <v>2987</v>
      </c>
      <c r="I2626" s="13" t="s" ph="1">
        <v>4850</v>
      </c>
      <c r="M2626" s="14" t="str" ph="1">
        <f>IFERROR(INDEX([1]!_born[生没年],
MATCH(I2626,[1]!_born[作],0)),"")</f>
        <v/>
      </c>
      <c r="N2626" s="14" t="str" ph="1">
        <f>IFERROR(INDEX([1]!_born[生没年],
MATCH(K2626,[1]!_born[作],0)),"")</f>
        <v/>
      </c>
      <c r="O2626" s="13" t="s" ph="1">
        <v>8964</v>
      </c>
    </row>
    <row r="2627" spans="1:25" ht="22.5" customHeight="1" ph="1" x14ac:dyDescent="0.35">
      <c r="C2627" s="13" t="s" ph="1">
        <v>707</v>
      </c>
      <c r="D2627" s="123" ph="1">
        <v>2</v>
      </c>
      <c r="E2627" s="123" ph="1">
        <v>4</v>
      </c>
      <c r="G2627" s="13" t="s" ph="1">
        <v>1933</v>
      </c>
      <c r="H2627" s="13" t="s" ph="1">
        <v>2987</v>
      </c>
      <c r="I2627" s="13" t="s" ph="1">
        <v>4850</v>
      </c>
      <c r="M2627" s="14" t="str" ph="1">
        <f>IFERROR(INDEX([1]!_born[生没年],
MATCH(I2627,[1]!_born[作],0)),"")</f>
        <v/>
      </c>
      <c r="N2627" s="14" t="str" ph="1">
        <f>IFERROR(INDEX([1]!_born[生没年],
MATCH(K2627,[1]!_born[作],0)),"")</f>
        <v/>
      </c>
      <c r="O2627" s="13" t="s" ph="1">
        <v>8964</v>
      </c>
    </row>
    <row r="2628" spans="1:25" ht="22.5" customHeight="1" ph="1" x14ac:dyDescent="0.35">
      <c r="C2628" s="13" t="s" ph="1">
        <v>707</v>
      </c>
      <c r="D2628" s="123" ph="1">
        <v>3</v>
      </c>
      <c r="E2628" s="123" ph="1">
        <v>4</v>
      </c>
      <c r="G2628" s="13" t="s" ph="1">
        <v>1933</v>
      </c>
      <c r="H2628" s="13" t="s" ph="1">
        <v>2987</v>
      </c>
      <c r="I2628" s="13" t="s" ph="1">
        <v>4850</v>
      </c>
      <c r="M2628" s="14" t="str" ph="1">
        <f>IFERROR(INDEX([1]!_born[生没年],
MATCH(I2628,[1]!_born[作],0)),"")</f>
        <v/>
      </c>
      <c r="N2628" s="14" t="str" ph="1">
        <f>IFERROR(INDEX([1]!_born[生没年],
MATCH(K2628,[1]!_born[作],0)),"")</f>
        <v/>
      </c>
      <c r="O2628" s="13" t="s" ph="1">
        <v>8964</v>
      </c>
    </row>
    <row r="2629" spans="1:25" s="19" customFormat="1" ht="22.5" customHeight="1" ph="1" x14ac:dyDescent="0.35">
      <c r="A2629" s="106" ph="1"/>
      <c r="B2629" s="5" ph="1"/>
      <c r="C2629" s="13" t="s" ph="1">
        <v>707</v>
      </c>
      <c r="D2629" s="123" ph="1">
        <v>4</v>
      </c>
      <c r="E2629" s="123" ph="1">
        <v>4</v>
      </c>
      <c r="F2629" s="13" ph="1"/>
      <c r="G2629" s="13" t="s" ph="1">
        <v>1933</v>
      </c>
      <c r="H2629" s="13" t="s" ph="1">
        <v>2987</v>
      </c>
      <c r="I2629" s="13" t="s" ph="1">
        <v>4850</v>
      </c>
      <c r="J2629" s="13" ph="1"/>
      <c r="K2629" s="13" ph="1"/>
      <c r="L2629" s="13" ph="1"/>
      <c r="M2629" s="14" t="str" ph="1">
        <f>IFERROR(INDEX([1]!_born[生没年],
MATCH(I2629,[1]!_born[作],0)),"")</f>
        <v/>
      </c>
      <c r="N2629" s="14" t="str" ph="1">
        <f>IFERROR(INDEX([1]!_born[生没年],
MATCH(K2629,[1]!_born[作],0)),"")</f>
        <v/>
      </c>
      <c r="O2629" s="13" t="s" ph="1">
        <v>8964</v>
      </c>
      <c r="P2629" s="13" ph="1"/>
      <c r="Q2629" s="13" ph="1"/>
      <c r="R2629" s="16" ph="1"/>
      <c r="S2629" s="13" ph="1"/>
      <c r="T2629" s="13" ph="1"/>
      <c r="U2629" s="16" ph="1"/>
      <c r="V2629" s="17" ph="1"/>
      <c r="W2629" s="17" ph="1"/>
      <c r="X2629" s="13" ph="1"/>
      <c r="Y2629" s="13" ph="1"/>
    </row>
    <row r="2630" spans="1:25" ht="22.5" customHeight="1" ph="1" x14ac:dyDescent="0.35">
      <c r="C2630" s="13" t="s" ph="1">
        <v>707</v>
      </c>
      <c r="G2630" s="13" t="s" ph="1">
        <v>1933</v>
      </c>
      <c r="H2630" s="13" t="s" ph="1">
        <v>2987</v>
      </c>
      <c r="I2630" s="13" t="s" ph="1">
        <v>8965</v>
      </c>
      <c r="M2630" s="14" t="str" ph="1">
        <f>IFERROR(INDEX([1]!_born[生没年],
MATCH(I2630,[1]!_born[作],0)),"")</f>
        <v/>
      </c>
      <c r="N2630" s="14" t="str" ph="1">
        <f>IFERROR(INDEX([1]!_born[生没年],
MATCH(K2630,[1]!_born[作],0)),"")</f>
        <v/>
      </c>
      <c r="O2630" s="13" t="s" ph="1">
        <v>8966</v>
      </c>
      <c r="T2630" s="13" t="s" ph="1">
        <v>8967</v>
      </c>
      <c r="U2630" s="16" t="s" ph="1">
        <v>706</v>
      </c>
      <c r="V2630" s="17" ph="1">
        <v>990</v>
      </c>
      <c r="W2630" s="17" ph="1">
        <v>350</v>
      </c>
    </row>
    <row r="2631" spans="1:25" s="19" customFormat="1" ht="22.5" customHeight="1" ph="1" x14ac:dyDescent="0.35">
      <c r="A2631" s="106" ph="1"/>
      <c r="B2631" s="5" ph="1"/>
      <c r="C2631" s="13" t="s" ph="1">
        <v>707</v>
      </c>
      <c r="D2631" s="123" ph="1"/>
      <c r="E2631" s="123" ph="1"/>
      <c r="F2631" s="13" ph="1"/>
      <c r="G2631" s="13" t="s" ph="1">
        <v>1933</v>
      </c>
      <c r="H2631" s="13" t="s" ph="1">
        <v>2987</v>
      </c>
      <c r="I2631" s="13" t="s" ph="1">
        <v>8965</v>
      </c>
      <c r="J2631" s="13" ph="1"/>
      <c r="K2631" s="13" ph="1"/>
      <c r="L2631" s="13" ph="1"/>
      <c r="M2631" s="14" t="str" ph="1">
        <f>IFERROR(INDEX([1]!_born[生没年],
MATCH(I2631,[1]!_born[作],0)),"")</f>
        <v/>
      </c>
      <c r="N2631" s="14" t="str" ph="1">
        <f>IFERROR(INDEX([1]!_born[生没年],
MATCH(K2631,[1]!_born[作],0)),"")</f>
        <v/>
      </c>
      <c r="O2631" s="15" t="s" ph="1">
        <v>8968</v>
      </c>
      <c r="P2631" s="13" ph="1"/>
      <c r="Q2631" s="13" ph="1"/>
      <c r="R2631" s="16" ph="1"/>
      <c r="S2631" s="13" ph="1"/>
      <c r="T2631" s="13" ph="1"/>
      <c r="U2631" s="16" t="s" ph="1">
        <v>706</v>
      </c>
      <c r="V2631" s="17" ph="1"/>
      <c r="W2631" s="17" ph="1"/>
      <c r="X2631" s="13" ph="1"/>
      <c r="Y2631" s="13" ph="1"/>
    </row>
    <row r="2632" spans="1:25" ht="22.5" customHeight="1" ph="1" x14ac:dyDescent="0.35">
      <c r="C2632" s="13" t="s" ph="1">
        <v>707</v>
      </c>
      <c r="G2632" s="13" t="s" ph="1">
        <v>1933</v>
      </c>
      <c r="H2632" s="13" t="s" ph="1">
        <v>2987</v>
      </c>
      <c r="I2632" s="13" t="s" ph="1">
        <v>8969</v>
      </c>
      <c r="M2632" s="14" t="str" ph="1">
        <f>IFERROR(INDEX([1]!_born[生没年],
MATCH(I2632,[1]!_born[作],0)),"")</f>
        <v/>
      </c>
      <c r="N2632" s="14" t="str" ph="1">
        <f>IFERROR(INDEX([1]!_born[生没年],
MATCH(K2632,[1]!_born[作],0)),"")</f>
        <v/>
      </c>
      <c r="O2632" s="13" t="s" ph="1">
        <v>8970</v>
      </c>
      <c r="S2632" s="13" t="s" ph="1">
        <v>415</v>
      </c>
      <c r="T2632" s="13" t="s" ph="1">
        <v>3806</v>
      </c>
      <c r="U2632" s="16" t="s" ph="1">
        <v>706</v>
      </c>
      <c r="V2632" s="17" ph="1">
        <v>900</v>
      </c>
    </row>
    <row r="2633" spans="1:25" ht="22.5" customHeight="1" ph="1" x14ac:dyDescent="0.35">
      <c r="C2633" s="13" t="s" ph="1">
        <v>707</v>
      </c>
      <c r="G2633" s="13" t="s" ph="1">
        <v>1933</v>
      </c>
      <c r="H2633" s="13" t="s" ph="1">
        <v>2987</v>
      </c>
      <c r="I2633" s="13" t="s" ph="1">
        <v>8969</v>
      </c>
      <c r="M2633" s="14" t="str" ph="1">
        <f>IFERROR(INDEX([1]!_born[生没年],
MATCH(I2633,[1]!_born[作],0)),"")</f>
        <v/>
      </c>
      <c r="N2633" s="14" t="str" ph="1">
        <f>IFERROR(INDEX([1]!_born[生没年],
MATCH(K2633,[1]!_born[作],0)),"")</f>
        <v/>
      </c>
      <c r="O2633" s="13" t="s" ph="1">
        <v>8971</v>
      </c>
      <c r="U2633" s="16" t="s" ph="1">
        <v>706</v>
      </c>
    </row>
    <row r="2634" spans="1:25" ht="22.5" customHeight="1" ph="1" x14ac:dyDescent="0.35">
      <c r="C2634" s="13" t="s" ph="1">
        <v>707</v>
      </c>
      <c r="G2634" s="13" t="s" ph="1">
        <v>1933</v>
      </c>
      <c r="H2634" s="13" t="s" ph="1">
        <v>2987</v>
      </c>
      <c r="I2634" s="13" t="s" ph="1">
        <v>8969</v>
      </c>
      <c r="M2634" s="14" t="str" ph="1">
        <f>IFERROR(INDEX([1]!_born[生没年],
MATCH(I2634,[1]!_born[作],0)),"")</f>
        <v/>
      </c>
      <c r="N2634" s="14" t="str" ph="1">
        <f>IFERROR(INDEX([1]!_born[生没年],
MATCH(K2634,[1]!_born[作],0)),"")</f>
        <v/>
      </c>
      <c r="O2634" s="13" t="s" ph="1">
        <v>8972</v>
      </c>
      <c r="U2634" s="16" t="s" ph="1">
        <v>706</v>
      </c>
    </row>
    <row r="2635" spans="1:25" ht="22.5" customHeight="1" ph="1" x14ac:dyDescent="0.35">
      <c r="C2635" s="13" t="s" ph="1">
        <v>25</v>
      </c>
      <c r="G2635" s="13" t="s" ph="1">
        <v>699</v>
      </c>
      <c r="H2635" s="13" t="s" ph="1">
        <v>2987</v>
      </c>
      <c r="I2635" s="13" t="s" ph="1">
        <v>8969</v>
      </c>
      <c r="M2635" s="14" t="str" ph="1">
        <f>IFERROR(INDEX([1]!_born[生没年],
MATCH(I2635,[1]!_born[作],0)),"")</f>
        <v/>
      </c>
      <c r="N2635" s="14" t="str" ph="1">
        <f>IFERROR(INDEX([1]!_born[生没年],
MATCH(K2635,[1]!_born[作],0)),"")</f>
        <v/>
      </c>
      <c r="O2635" s="13" t="s" ph="1">
        <v>8973</v>
      </c>
      <c r="U2635" s="16" t="s" ph="1">
        <v>3166</v>
      </c>
      <c r="Y2635" s="13" t="s" ph="1">
        <v>6170</v>
      </c>
    </row>
    <row r="2636" spans="1:25" ht="22.5" customHeight="1" ph="1" x14ac:dyDescent="0.35">
      <c r="C2636" s="13" t="s" ph="1">
        <v>707</v>
      </c>
      <c r="G2636" s="13" t="s" ph="1">
        <v>1910</v>
      </c>
      <c r="H2636" s="13" t="s" ph="1">
        <v>716</v>
      </c>
      <c r="I2636" s="13" t="s" ph="1">
        <v>8974</v>
      </c>
      <c r="M2636" s="14" t="str" ph="1">
        <f>IFERROR(INDEX([1]!_born[生没年],
MATCH(I2636,[1]!_born[作],0)),"")</f>
        <v/>
      </c>
      <c r="N2636" s="14" t="str" ph="1">
        <f>IFERROR(INDEX([1]!_born[生没年],
MATCH(K2636,[1]!_born[作],0)),"")</f>
        <v/>
      </c>
      <c r="O2636" s="13" t="s" ph="1">
        <v>8975</v>
      </c>
      <c r="T2636" s="13" t="s" ph="1">
        <v>4603</v>
      </c>
      <c r="U2636" s="16" ph="1">
        <v>36471</v>
      </c>
      <c r="V2636" s="17" ph="1">
        <f>1300*1.05</f>
        <v>1365</v>
      </c>
    </row>
    <row r="2637" spans="1:25" ht="22.5" customHeight="1" ph="1" x14ac:dyDescent="0.35">
      <c r="C2637" s="13" t="s" ph="1">
        <v>707</v>
      </c>
      <c r="G2637" s="13" t="s" ph="1">
        <v>1910</v>
      </c>
      <c r="H2637" s="13" t="s" ph="1">
        <v>716</v>
      </c>
      <c r="I2637" s="13" t="s" ph="1">
        <v>8976</v>
      </c>
      <c r="M2637" s="14" t="str" ph="1">
        <f>IFERROR(INDEX([1]!_born[生没年],
MATCH(I2637,[1]!_born[作],0)),"")</f>
        <v/>
      </c>
      <c r="N2637" s="14" t="str" ph="1">
        <f>IFERROR(INDEX([1]!_born[生没年],
MATCH(K2637,[1]!_born[作],0)),"")</f>
        <v/>
      </c>
      <c r="O2637" s="13" t="s" ph="1">
        <v>8977</v>
      </c>
      <c r="R2637" s="16" t="s" ph="1">
        <v>987</v>
      </c>
      <c r="T2637" s="13" t="s" ph="1">
        <v>7470</v>
      </c>
      <c r="V2637" s="17" ph="1">
        <v>1400</v>
      </c>
    </row>
    <row r="2638" spans="1:25" ht="22.5" customHeight="1" ph="1" x14ac:dyDescent="0.35">
      <c r="A2638" s="106" t="s" ph="1">
        <v>1940</v>
      </c>
      <c r="B2638" s="5" t="s" ph="1">
        <v>1938</v>
      </c>
      <c r="C2638" s="13" t="s" ph="1">
        <v>707</v>
      </c>
      <c r="G2638" s="13" t="s" ph="1">
        <v>1933</v>
      </c>
      <c r="H2638" s="13" t="s" ph="1">
        <v>716</v>
      </c>
      <c r="I2638" s="13" t="s" ph="1">
        <v>8978</v>
      </c>
      <c r="M2638" s="14" t="str" ph="1">
        <f>IFERROR(INDEX([1]!_born[生没年],
MATCH(I2638,[1]!_born[作],0)),"")</f>
        <v/>
      </c>
      <c r="N2638" s="14" t="str" ph="1">
        <f>IFERROR(INDEX([1]!_born[生没年],
MATCH(K2638,[1]!_born[作],0)),"")</f>
        <v/>
      </c>
      <c r="O2638" s="13" t="s" ph="1">
        <v>8979</v>
      </c>
      <c r="S2638" s="13" t="s" ph="1">
        <v>1939</v>
      </c>
      <c r="T2638" s="13" t="s" ph="1">
        <v>3988</v>
      </c>
      <c r="U2638" s="16" t="s" ph="1">
        <v>887</v>
      </c>
      <c r="V2638" s="17" ph="1">
        <f>286*1.05</f>
        <v>300.3</v>
      </c>
    </row>
    <row r="2639" spans="1:25" ht="22.5" customHeight="1" ph="1" x14ac:dyDescent="0.35">
      <c r="A2639" s="106" t="s" ph="1">
        <v>1937</v>
      </c>
      <c r="B2639" s="5" t="s" ph="1">
        <v>1938</v>
      </c>
      <c r="C2639" s="13" t="s" ph="1">
        <v>707</v>
      </c>
      <c r="G2639" s="13" t="s" ph="1">
        <v>1933</v>
      </c>
      <c r="H2639" s="13" t="s" ph="1">
        <v>716</v>
      </c>
      <c r="I2639" s="13" t="s" ph="1">
        <v>8978</v>
      </c>
      <c r="M2639" s="14" t="str" ph="1">
        <f>IFERROR(INDEX([1]!_born[生没年],
MATCH(I2639,[1]!_born[作],0)),"")</f>
        <v/>
      </c>
      <c r="N2639" s="14" t="str" ph="1">
        <f>IFERROR(INDEX([1]!_born[生没年],
MATCH(K2639,[1]!_born[作],0)),"")</f>
        <v/>
      </c>
      <c r="O2639" s="13" t="s" ph="1">
        <v>8980</v>
      </c>
      <c r="S2639" s="13" t="s" ph="1">
        <v>1939</v>
      </c>
      <c r="T2639" s="13" t="s" ph="1">
        <v>3988</v>
      </c>
      <c r="U2639" s="16" ph="1">
        <v>38594</v>
      </c>
      <c r="V2639" s="17" ph="1">
        <f>286*1.05</f>
        <v>300.3</v>
      </c>
      <c r="W2639" s="17" ph="1">
        <v>150</v>
      </c>
    </row>
    <row r="2640" spans="1:25" s="19" customFormat="1" ht="22.5" customHeight="1" ph="1" x14ac:dyDescent="0.35">
      <c r="A2640" s="107" ph="1"/>
      <c r="B2640" s="18" ph="1"/>
      <c r="C2640" s="19" t="s" ph="1">
        <v>707</v>
      </c>
      <c r="D2640" s="124" ph="1">
        <v>1</v>
      </c>
      <c r="E2640" s="124" ph="1">
        <v>9</v>
      </c>
      <c r="G2640" s="19" t="s" ph="1">
        <v>1933</v>
      </c>
      <c r="H2640" s="19" t="s" ph="1">
        <v>2987</v>
      </c>
      <c r="I2640" s="19" t="s" ph="1">
        <v>8981</v>
      </c>
      <c r="M2640" s="27" t="str" ph="1">
        <f>IFERROR(INDEX([1]!_born[生没年],
MATCH(I2640,[1]!_born[作],0)),"")</f>
        <v/>
      </c>
      <c r="N2640" s="27" t="str" ph="1">
        <f>IFERROR(INDEX([1]!_born[生没年],
MATCH(K2640,[1]!_born[作],0)),"")</f>
        <v/>
      </c>
      <c r="O2640" s="19" t="s" ph="1">
        <v>8982</v>
      </c>
      <c r="R2640" s="20" ph="1"/>
      <c r="S2640" s="19" t="s" ph="1">
        <v>8983</v>
      </c>
      <c r="T2640" s="19" t="s" ph="1">
        <v>8984</v>
      </c>
      <c r="U2640" s="20" t="s" ph="1">
        <v>706</v>
      </c>
      <c r="V2640" s="21" ph="1">
        <v>700</v>
      </c>
      <c r="W2640" s="21" ph="1"/>
      <c r="Y2640" s="19" t="s" ph="1">
        <v>529</v>
      </c>
    </row>
    <row r="2641" spans="1:25" s="19" customFormat="1" ht="22.5" customHeight="1" ph="1" x14ac:dyDescent="0.35">
      <c r="A2641" s="107" ph="1"/>
      <c r="B2641" s="18" ph="1"/>
      <c r="C2641" s="19" t="s" ph="1">
        <v>707</v>
      </c>
      <c r="D2641" s="124" ph="1">
        <v>2</v>
      </c>
      <c r="E2641" s="124" ph="1">
        <v>9</v>
      </c>
      <c r="G2641" s="19" t="s" ph="1">
        <v>1933</v>
      </c>
      <c r="H2641" s="19" t="s" ph="1">
        <v>2987</v>
      </c>
      <c r="I2641" s="19" t="s" ph="1">
        <v>8981</v>
      </c>
      <c r="M2641" s="27" t="str" ph="1">
        <f>IFERROR(INDEX([1]!_born[生没年],
MATCH(I2641,[1]!_born[作],0)),"")</f>
        <v/>
      </c>
      <c r="N2641" s="27" t="str" ph="1">
        <f>IFERROR(INDEX([1]!_born[生没年],
MATCH(K2641,[1]!_born[作],0)),"")</f>
        <v/>
      </c>
      <c r="O2641" s="19" t="s" ph="1">
        <v>8982</v>
      </c>
      <c r="R2641" s="20" ph="1"/>
      <c r="S2641" s="19" t="s" ph="1">
        <v>8983</v>
      </c>
      <c r="T2641" s="19" t="s" ph="1">
        <v>8984</v>
      </c>
      <c r="U2641" s="20" t="s" ph="1">
        <v>706</v>
      </c>
      <c r="V2641" s="21" ph="1">
        <v>700</v>
      </c>
      <c r="W2641" s="21" ph="1"/>
      <c r="Y2641" s="19" t="s" ph="1">
        <v>529</v>
      </c>
    </row>
    <row r="2642" spans="1:25" s="19" customFormat="1" ht="22.5" customHeight="1" ph="1" x14ac:dyDescent="0.35">
      <c r="A2642" s="107" ph="1"/>
      <c r="B2642" s="18" ph="1"/>
      <c r="C2642" s="19" t="s" ph="1">
        <v>707</v>
      </c>
      <c r="D2642" s="124" ph="1">
        <v>3</v>
      </c>
      <c r="E2642" s="124" ph="1">
        <v>9</v>
      </c>
      <c r="G2642" s="19" t="s" ph="1">
        <v>1933</v>
      </c>
      <c r="H2642" s="19" t="s" ph="1">
        <v>2987</v>
      </c>
      <c r="I2642" s="19" t="s" ph="1">
        <v>8981</v>
      </c>
      <c r="M2642" s="27" t="str" ph="1">
        <f>IFERROR(INDEX([1]!_born[生没年],
MATCH(I2642,[1]!_born[作],0)),"")</f>
        <v/>
      </c>
      <c r="N2642" s="27" t="str" ph="1">
        <f>IFERROR(INDEX([1]!_born[生没年],
MATCH(K2642,[1]!_born[作],0)),"")</f>
        <v/>
      </c>
      <c r="O2642" s="19" t="s" ph="1">
        <v>8982</v>
      </c>
      <c r="R2642" s="20" ph="1"/>
      <c r="S2642" s="19" t="s" ph="1">
        <v>8983</v>
      </c>
      <c r="T2642" s="19" t="s" ph="1">
        <v>8984</v>
      </c>
      <c r="U2642" s="20" t="s" ph="1">
        <v>706</v>
      </c>
      <c r="V2642" s="21" ph="1">
        <v>700</v>
      </c>
      <c r="W2642" s="21" ph="1"/>
      <c r="Y2642" s="19" t="s" ph="1">
        <v>529</v>
      </c>
    </row>
    <row r="2643" spans="1:25" s="19" customFormat="1" ht="22.5" customHeight="1" ph="1" x14ac:dyDescent="0.35">
      <c r="A2643" s="107" ph="1"/>
      <c r="B2643" s="18" ph="1"/>
      <c r="C2643" s="19" t="s" ph="1">
        <v>707</v>
      </c>
      <c r="D2643" s="124" ph="1">
        <v>4</v>
      </c>
      <c r="E2643" s="124" ph="1">
        <v>9</v>
      </c>
      <c r="G2643" s="19" t="s" ph="1">
        <v>1933</v>
      </c>
      <c r="H2643" s="19" t="s" ph="1">
        <v>2987</v>
      </c>
      <c r="I2643" s="19" t="s" ph="1">
        <v>8981</v>
      </c>
      <c r="M2643" s="27" t="str" ph="1">
        <f>IFERROR(INDEX([1]!_born[生没年],
MATCH(I2643,[1]!_born[作],0)),"")</f>
        <v/>
      </c>
      <c r="N2643" s="27" t="str" ph="1">
        <f>IFERROR(INDEX([1]!_born[生没年],
MATCH(K2643,[1]!_born[作],0)),"")</f>
        <v/>
      </c>
      <c r="O2643" s="19" t="s" ph="1">
        <v>8982</v>
      </c>
      <c r="R2643" s="20" ph="1"/>
      <c r="S2643" s="19" t="s" ph="1">
        <v>8983</v>
      </c>
      <c r="T2643" s="19" t="s" ph="1">
        <v>8984</v>
      </c>
      <c r="U2643" s="20" t="s" ph="1">
        <v>706</v>
      </c>
      <c r="V2643" s="21" ph="1">
        <v>700</v>
      </c>
      <c r="W2643" s="21" ph="1"/>
      <c r="Y2643" s="19" t="s" ph="1">
        <v>529</v>
      </c>
    </row>
    <row r="2644" spans="1:25" s="19" customFormat="1" ht="22.5" customHeight="1" ph="1" x14ac:dyDescent="0.35">
      <c r="A2644" s="107" ph="1"/>
      <c r="B2644" s="18" ph="1"/>
      <c r="C2644" s="19" t="s" ph="1">
        <v>707</v>
      </c>
      <c r="D2644" s="124" ph="1">
        <v>5</v>
      </c>
      <c r="E2644" s="124" ph="1">
        <v>9</v>
      </c>
      <c r="G2644" s="19" t="s" ph="1">
        <v>1933</v>
      </c>
      <c r="H2644" s="19" t="s" ph="1">
        <v>2987</v>
      </c>
      <c r="I2644" s="19" t="s" ph="1">
        <v>8981</v>
      </c>
      <c r="M2644" s="27" t="str" ph="1">
        <f>IFERROR(INDEX([1]!_born[生没年],
MATCH(I2644,[1]!_born[作],0)),"")</f>
        <v/>
      </c>
      <c r="N2644" s="27" t="str" ph="1">
        <f>IFERROR(INDEX([1]!_born[生没年],
MATCH(K2644,[1]!_born[作],0)),"")</f>
        <v/>
      </c>
      <c r="O2644" s="19" t="s" ph="1">
        <v>8982</v>
      </c>
      <c r="R2644" s="20" ph="1"/>
      <c r="S2644" s="19" t="s" ph="1">
        <v>8983</v>
      </c>
      <c r="T2644" s="19" t="s" ph="1">
        <v>8984</v>
      </c>
      <c r="U2644" s="20" t="s" ph="1">
        <v>706</v>
      </c>
      <c r="V2644" s="21" ph="1">
        <v>700</v>
      </c>
      <c r="W2644" s="21" ph="1"/>
      <c r="Y2644" s="19" t="s" ph="1">
        <v>529</v>
      </c>
    </row>
    <row r="2645" spans="1:25" s="19" customFormat="1" ht="22.5" customHeight="1" ph="1" x14ac:dyDescent="0.35">
      <c r="A2645" s="107" ph="1"/>
      <c r="B2645" s="18" ph="1"/>
      <c r="C2645" s="19" t="s" ph="1">
        <v>707</v>
      </c>
      <c r="D2645" s="124" ph="1">
        <v>6</v>
      </c>
      <c r="E2645" s="124" ph="1">
        <v>9</v>
      </c>
      <c r="G2645" s="19" t="s" ph="1">
        <v>1933</v>
      </c>
      <c r="H2645" s="19" t="s" ph="1">
        <v>2987</v>
      </c>
      <c r="I2645" s="19" t="s" ph="1">
        <v>8981</v>
      </c>
      <c r="M2645" s="27" t="str" ph="1">
        <f>IFERROR(INDEX([1]!_born[生没年],
MATCH(I2645,[1]!_born[作],0)),"")</f>
        <v/>
      </c>
      <c r="N2645" s="27" t="str" ph="1">
        <f>IFERROR(INDEX([1]!_born[生没年],
MATCH(K2645,[1]!_born[作],0)),"")</f>
        <v/>
      </c>
      <c r="O2645" s="19" t="s" ph="1">
        <v>8982</v>
      </c>
      <c r="R2645" s="20" ph="1"/>
      <c r="S2645" s="19" t="s" ph="1">
        <v>8983</v>
      </c>
      <c r="T2645" s="19" t="s" ph="1">
        <v>8984</v>
      </c>
      <c r="U2645" s="20" t="s" ph="1">
        <v>706</v>
      </c>
      <c r="V2645" s="21" ph="1">
        <v>700</v>
      </c>
      <c r="W2645" s="21" ph="1"/>
      <c r="Y2645" s="19" t="s" ph="1">
        <v>529</v>
      </c>
    </row>
    <row r="2646" spans="1:25" s="19" customFormat="1" ht="22.5" customHeight="1" ph="1" x14ac:dyDescent="0.35">
      <c r="A2646" s="107" ph="1"/>
      <c r="B2646" s="18" ph="1"/>
      <c r="C2646" s="19" t="s" ph="1">
        <v>707</v>
      </c>
      <c r="D2646" s="124" ph="1">
        <v>7</v>
      </c>
      <c r="E2646" s="124" ph="1">
        <v>9</v>
      </c>
      <c r="G2646" s="19" t="s" ph="1">
        <v>1933</v>
      </c>
      <c r="H2646" s="19" t="s" ph="1">
        <v>2987</v>
      </c>
      <c r="I2646" s="19" t="s" ph="1">
        <v>8981</v>
      </c>
      <c r="M2646" s="27" t="str" ph="1">
        <f>IFERROR(INDEX([1]!_born[生没年],
MATCH(I2646,[1]!_born[作],0)),"")</f>
        <v/>
      </c>
      <c r="N2646" s="27" t="str" ph="1">
        <f>IFERROR(INDEX([1]!_born[生没年],
MATCH(K2646,[1]!_born[作],0)),"")</f>
        <v/>
      </c>
      <c r="O2646" s="19" t="s" ph="1">
        <v>8982</v>
      </c>
      <c r="R2646" s="20" ph="1"/>
      <c r="S2646" s="19" t="s" ph="1">
        <v>8983</v>
      </c>
      <c r="T2646" s="19" t="s" ph="1">
        <v>8984</v>
      </c>
      <c r="U2646" s="20" t="s" ph="1">
        <v>706</v>
      </c>
      <c r="V2646" s="21" ph="1">
        <v>700</v>
      </c>
      <c r="W2646" s="21" ph="1"/>
      <c r="Y2646" s="19" t="s" ph="1">
        <v>529</v>
      </c>
    </row>
    <row r="2647" spans="1:25" s="19" customFormat="1" ht="22.5" customHeight="1" ph="1" x14ac:dyDescent="0.35">
      <c r="A2647" s="107" ph="1"/>
      <c r="B2647" s="18" ph="1"/>
      <c r="C2647" s="19" t="s" ph="1">
        <v>707</v>
      </c>
      <c r="D2647" s="124" ph="1">
        <v>8</v>
      </c>
      <c r="E2647" s="124" ph="1">
        <v>9</v>
      </c>
      <c r="G2647" s="19" t="s" ph="1">
        <v>1933</v>
      </c>
      <c r="H2647" s="19" t="s" ph="1">
        <v>2987</v>
      </c>
      <c r="I2647" s="19" t="s" ph="1">
        <v>8981</v>
      </c>
      <c r="M2647" s="27" t="str" ph="1">
        <f>IFERROR(INDEX([1]!_born[生没年],
MATCH(I2647,[1]!_born[作],0)),"")</f>
        <v/>
      </c>
      <c r="N2647" s="27" t="str" ph="1">
        <f>IFERROR(INDEX([1]!_born[生没年],
MATCH(K2647,[1]!_born[作],0)),"")</f>
        <v/>
      </c>
      <c r="O2647" s="19" t="s" ph="1">
        <v>8982</v>
      </c>
      <c r="R2647" s="20" ph="1"/>
      <c r="S2647" s="19" t="s" ph="1">
        <v>8983</v>
      </c>
      <c r="T2647" s="19" t="s" ph="1">
        <v>8984</v>
      </c>
      <c r="U2647" s="20" t="s" ph="1">
        <v>706</v>
      </c>
      <c r="V2647" s="21" ph="1">
        <v>700</v>
      </c>
      <c r="W2647" s="21" ph="1"/>
      <c r="Y2647" s="19" t="s" ph="1">
        <v>529</v>
      </c>
    </row>
    <row r="2648" spans="1:25" s="19" customFormat="1" ht="22.5" customHeight="1" ph="1" x14ac:dyDescent="0.35">
      <c r="A2648" s="107" ph="1"/>
      <c r="B2648" s="18" ph="1"/>
      <c r="C2648" s="19" t="s" ph="1">
        <v>707</v>
      </c>
      <c r="D2648" s="124" ph="1">
        <v>9</v>
      </c>
      <c r="E2648" s="124" ph="1">
        <v>9</v>
      </c>
      <c r="G2648" s="19" t="s" ph="1">
        <v>1933</v>
      </c>
      <c r="H2648" s="19" t="s" ph="1">
        <v>2987</v>
      </c>
      <c r="I2648" s="19" t="s" ph="1">
        <v>8981</v>
      </c>
      <c r="M2648" s="27" t="str" ph="1">
        <f>IFERROR(INDEX([1]!_born[生没年],
MATCH(I2648,[1]!_born[作],0)),"")</f>
        <v/>
      </c>
      <c r="N2648" s="27" t="str" ph="1">
        <f>IFERROR(INDEX([1]!_born[生没年],
MATCH(K2648,[1]!_born[作],0)),"")</f>
        <v/>
      </c>
      <c r="O2648" s="19" t="s" ph="1">
        <v>8982</v>
      </c>
      <c r="R2648" s="20" ph="1"/>
      <c r="S2648" s="19" t="s" ph="1">
        <v>8983</v>
      </c>
      <c r="T2648" s="19" t="s" ph="1">
        <v>8984</v>
      </c>
      <c r="U2648" s="20" t="s" ph="1">
        <v>706</v>
      </c>
      <c r="V2648" s="21" ph="1">
        <v>700</v>
      </c>
      <c r="W2648" s="21" ph="1"/>
      <c r="Y2648" s="19" t="s" ph="1">
        <v>529</v>
      </c>
    </row>
    <row r="2649" spans="1:25" s="19" customFormat="1" ht="22.5" customHeight="1" ph="1" x14ac:dyDescent="0.35">
      <c r="A2649" s="107" ph="1"/>
      <c r="B2649" s="18" ph="1"/>
      <c r="C2649" s="19" t="s" ph="1">
        <v>707</v>
      </c>
      <c r="D2649" s="124" ph="1"/>
      <c r="E2649" s="124" ph="1"/>
      <c r="G2649" s="19" t="s" ph="1">
        <v>1933</v>
      </c>
      <c r="H2649" s="19" t="s" ph="1">
        <v>2987</v>
      </c>
      <c r="I2649" s="19" t="s" ph="1">
        <v>8981</v>
      </c>
      <c r="M2649" s="27" t="str" ph="1">
        <f>IFERROR(INDEX([1]!_born[生没年],
MATCH(I2649,[1]!_born[作],0)),"")</f>
        <v/>
      </c>
      <c r="N2649" s="27" t="str" ph="1">
        <f>IFERROR(INDEX([1]!_born[生没年],
MATCH(K2649,[1]!_born[作],0)),"")</f>
        <v/>
      </c>
      <c r="O2649" s="19" t="s" ph="1">
        <v>8985</v>
      </c>
      <c r="R2649" s="20" ph="1"/>
      <c r="U2649" s="20" ph="1"/>
      <c r="V2649" s="21" ph="1"/>
      <c r="W2649" s="21" ph="1"/>
      <c r="Y2649" s="19" t="s" ph="1">
        <v>1965</v>
      </c>
    </row>
    <row r="2650" spans="1:25" s="19" customFormat="1" ht="22.5" customHeight="1" ph="1" x14ac:dyDescent="0.35">
      <c r="A2650" s="107" ph="1"/>
      <c r="B2650" s="18" ph="1"/>
      <c r="C2650" s="19" t="s" ph="1">
        <v>707</v>
      </c>
      <c r="D2650" s="124" ph="1"/>
      <c r="E2650" s="124" ph="1"/>
      <c r="G2650" s="19" t="s" ph="1">
        <v>1933</v>
      </c>
      <c r="H2650" s="19" t="s" ph="1">
        <v>2987</v>
      </c>
      <c r="I2650" s="19" t="s" ph="1">
        <v>8981</v>
      </c>
      <c r="M2650" s="27" t="str" ph="1">
        <f>IFERROR(INDEX([1]!_born[生没年],
MATCH(I2650,[1]!_born[作],0)),"")</f>
        <v/>
      </c>
      <c r="N2650" s="27" t="str" ph="1">
        <f>IFERROR(INDEX([1]!_born[生没年],
MATCH(K2650,[1]!_born[作],0)),"")</f>
        <v/>
      </c>
      <c r="O2650" s="19" t="s" ph="1">
        <v>8986</v>
      </c>
      <c r="R2650" s="20" ph="1"/>
      <c r="U2650" s="20" ph="1"/>
      <c r="V2650" s="21" ph="1"/>
      <c r="W2650" s="21" ph="1"/>
      <c r="Y2650" s="19" t="s" ph="1">
        <v>1965</v>
      </c>
    </row>
    <row r="2651" spans="1:25" s="19" customFormat="1" ht="22.5" customHeight="1" ph="1" x14ac:dyDescent="0.35">
      <c r="A2651" s="107" ph="1"/>
      <c r="B2651" s="18" ph="1"/>
      <c r="C2651" s="19" t="s" ph="1">
        <v>707</v>
      </c>
      <c r="D2651" s="124" ph="1"/>
      <c r="E2651" s="124" ph="1"/>
      <c r="G2651" s="19" t="s" ph="1">
        <v>1933</v>
      </c>
      <c r="H2651" s="19" t="s" ph="1">
        <v>2987</v>
      </c>
      <c r="I2651" s="19" t="s" ph="1">
        <v>8981</v>
      </c>
      <c r="M2651" s="27" t="str" ph="1">
        <f>IFERROR(INDEX([1]!_born[生没年],
MATCH(I2651,[1]!_born[作],0)),"")</f>
        <v/>
      </c>
      <c r="N2651" s="27" t="str" ph="1">
        <f>IFERROR(INDEX([1]!_born[生没年],
MATCH(K2651,[1]!_born[作],0)),"")</f>
        <v/>
      </c>
      <c r="O2651" s="19" t="s" ph="1">
        <v>8987</v>
      </c>
      <c r="R2651" s="20" ph="1"/>
      <c r="U2651" s="20" ph="1"/>
      <c r="V2651" s="21" ph="1"/>
      <c r="W2651" s="21" ph="1"/>
      <c r="Y2651" s="19" t="s" ph="1">
        <v>1965</v>
      </c>
    </row>
    <row r="2652" spans="1:25" s="19" customFormat="1" ht="22.5" customHeight="1" ph="1" x14ac:dyDescent="0.35">
      <c r="A2652" s="107" ph="1"/>
      <c r="B2652" s="18" ph="1"/>
      <c r="C2652" s="19" t="s" ph="1">
        <v>707</v>
      </c>
      <c r="D2652" s="124" ph="1"/>
      <c r="E2652" s="124" ph="1"/>
      <c r="G2652" s="19" t="s" ph="1">
        <v>1933</v>
      </c>
      <c r="H2652" s="19" t="s" ph="1">
        <v>2987</v>
      </c>
      <c r="I2652" s="19" t="s" ph="1">
        <v>8981</v>
      </c>
      <c r="M2652" s="27" t="str" ph="1">
        <f>IFERROR(INDEX([1]!_born[生没年],
MATCH(I2652,[1]!_born[作],0)),"")</f>
        <v/>
      </c>
      <c r="N2652" s="27" t="str" ph="1">
        <f>IFERROR(INDEX([1]!_born[生没年],
MATCH(K2652,[1]!_born[作],0)),"")</f>
        <v/>
      </c>
      <c r="O2652" s="19" t="s" ph="1">
        <v>8988</v>
      </c>
      <c r="R2652" s="20" ph="1"/>
      <c r="U2652" s="20" ph="1"/>
      <c r="V2652" s="21" ph="1"/>
      <c r="W2652" s="21" ph="1"/>
      <c r="Y2652" s="19" t="s" ph="1">
        <v>1965</v>
      </c>
    </row>
    <row r="2653" spans="1:25" s="19" customFormat="1" ht="22.5" customHeight="1" ph="1" x14ac:dyDescent="0.35">
      <c r="A2653" s="107" ph="1"/>
      <c r="B2653" s="18" ph="1"/>
      <c r="C2653" s="19" t="s" ph="1">
        <v>707</v>
      </c>
      <c r="D2653" s="124" ph="1"/>
      <c r="E2653" s="124" ph="1"/>
      <c r="G2653" s="19" t="s" ph="1">
        <v>1933</v>
      </c>
      <c r="H2653" s="19" t="s" ph="1">
        <v>2987</v>
      </c>
      <c r="I2653" s="19" t="s" ph="1">
        <v>8981</v>
      </c>
      <c r="M2653" s="27" t="str" ph="1">
        <f>IFERROR(INDEX([1]!_born[生没年],
MATCH(I2653,[1]!_born[作],0)),"")</f>
        <v/>
      </c>
      <c r="N2653" s="27" t="str" ph="1">
        <f>IFERROR(INDEX([1]!_born[生没年],
MATCH(K2653,[1]!_born[作],0)),"")</f>
        <v/>
      </c>
      <c r="O2653" s="19" t="s" ph="1">
        <v>8989</v>
      </c>
      <c r="R2653" s="20" ph="1"/>
      <c r="T2653" s="19" t="s" ph="1">
        <v>8990</v>
      </c>
      <c r="U2653" s="20" t="s" ph="1">
        <v>706</v>
      </c>
      <c r="V2653" s="21" ph="1">
        <v>1300</v>
      </c>
      <c r="W2653" s="21" ph="1"/>
      <c r="Y2653" s="19" t="s" ph="1">
        <v>8991</v>
      </c>
    </row>
    <row r="2654" spans="1:25" s="19" customFormat="1" ht="22.5" customHeight="1" ph="1" x14ac:dyDescent="0.35">
      <c r="A2654" s="107" ph="1"/>
      <c r="B2654" s="18" ph="1"/>
      <c r="C2654" s="19" t="s" ph="1">
        <v>707</v>
      </c>
      <c r="D2654" s="124" ph="1"/>
      <c r="E2654" s="124" ph="1"/>
      <c r="G2654" s="19" t="s" ph="1">
        <v>1933</v>
      </c>
      <c r="H2654" s="19" t="s" ph="1">
        <v>2987</v>
      </c>
      <c r="I2654" s="19" t="s" ph="1">
        <v>8981</v>
      </c>
      <c r="M2654" s="27" t="str" ph="1">
        <f>IFERROR(INDEX([1]!_born[生没年],
MATCH(I2654,[1]!_born[作],0)),"")</f>
        <v/>
      </c>
      <c r="N2654" s="27" t="str" ph="1">
        <f>IFERROR(INDEX([1]!_born[生没年],
MATCH(K2654,[1]!_born[作],0)),"")</f>
        <v/>
      </c>
      <c r="O2654" s="19" t="s" ph="1">
        <v>8992</v>
      </c>
      <c r="R2654" s="20" ph="1"/>
      <c r="T2654" s="19" t="s" ph="1">
        <v>8990</v>
      </c>
      <c r="U2654" s="20" t="s" ph="1">
        <v>706</v>
      </c>
      <c r="V2654" s="21" ph="1">
        <v>1300</v>
      </c>
      <c r="W2654" s="21" ph="1"/>
      <c r="Y2654" s="19" t="s" ph="1">
        <v>1965</v>
      </c>
    </row>
    <row r="2655" spans="1:25" s="19" customFormat="1" ht="22.5" customHeight="1" ph="1" x14ac:dyDescent="0.35">
      <c r="A2655" s="107" ph="1"/>
      <c r="B2655" s="18" ph="1"/>
      <c r="C2655" s="19" t="s" ph="1">
        <v>707</v>
      </c>
      <c r="D2655" s="124" ph="1">
        <v>1</v>
      </c>
      <c r="E2655" s="124" ph="1">
        <v>12</v>
      </c>
      <c r="G2655" s="19" t="s" ph="1">
        <v>1933</v>
      </c>
      <c r="H2655" s="19" t="s" ph="1">
        <v>2987</v>
      </c>
      <c r="I2655" s="19" t="s" ph="1">
        <v>8981</v>
      </c>
      <c r="M2655" s="27" t="str" ph="1">
        <f>IFERROR(INDEX([1]!_born[生没年],
MATCH(I2655,[1]!_born[作],0)),"")</f>
        <v/>
      </c>
      <c r="N2655" s="27" t="str" ph="1">
        <f>IFERROR(INDEX([1]!_born[生没年],
MATCH(K2655,[1]!_born[作],0)),"")</f>
        <v/>
      </c>
      <c r="O2655" s="19" t="s" ph="1">
        <v>8993</v>
      </c>
      <c r="R2655" s="20" ph="1"/>
      <c r="U2655" s="20" t="s" ph="1">
        <v>8994</v>
      </c>
      <c r="V2655" s="21" ph="1"/>
      <c r="W2655" s="21" ph="1"/>
      <c r="X2655" s="19" t="s" ph="1">
        <v>8995</v>
      </c>
      <c r="Y2655" s="19" t="s" ph="1">
        <v>1965</v>
      </c>
    </row>
    <row r="2656" spans="1:25" s="19" customFormat="1" ht="22.5" customHeight="1" ph="1" x14ac:dyDescent="0.35">
      <c r="A2656" s="107" ph="1"/>
      <c r="B2656" s="18" ph="1"/>
      <c r="C2656" s="19" t="s" ph="1">
        <v>707</v>
      </c>
      <c r="D2656" s="124" ph="1">
        <v>2</v>
      </c>
      <c r="E2656" s="124" ph="1">
        <v>12</v>
      </c>
      <c r="G2656" s="19" t="s" ph="1">
        <v>1933</v>
      </c>
      <c r="H2656" s="19" t="s" ph="1">
        <v>2987</v>
      </c>
      <c r="I2656" s="19" t="s" ph="1">
        <v>8981</v>
      </c>
      <c r="M2656" s="27" t="str" ph="1">
        <f>IFERROR(INDEX([1]!_born[生没年],
MATCH(I2656,[1]!_born[作],0)),"")</f>
        <v/>
      </c>
      <c r="N2656" s="27" t="str" ph="1">
        <f>IFERROR(INDEX([1]!_born[生没年],
MATCH(K2656,[1]!_born[作],0)),"")</f>
        <v/>
      </c>
      <c r="O2656" s="19" t="s" ph="1">
        <v>8993</v>
      </c>
      <c r="R2656" s="20" ph="1"/>
      <c r="U2656" s="20" t="s" ph="1">
        <v>8994</v>
      </c>
      <c r="V2656" s="21" ph="1"/>
      <c r="W2656" s="21" ph="1"/>
      <c r="X2656" s="19" t="s" ph="1">
        <v>8995</v>
      </c>
      <c r="Y2656" s="19" t="s" ph="1">
        <v>1965</v>
      </c>
    </row>
    <row r="2657" spans="1:25" s="19" customFormat="1" ht="22.5" customHeight="1" ph="1" x14ac:dyDescent="0.35">
      <c r="A2657" s="107" ph="1"/>
      <c r="B2657" s="18" ph="1"/>
      <c r="C2657" s="19" t="s" ph="1">
        <v>707</v>
      </c>
      <c r="D2657" s="124" ph="1">
        <v>3</v>
      </c>
      <c r="E2657" s="124" ph="1">
        <v>12</v>
      </c>
      <c r="G2657" s="19" t="s" ph="1">
        <v>1933</v>
      </c>
      <c r="H2657" s="19" t="s" ph="1">
        <v>2987</v>
      </c>
      <c r="I2657" s="19" t="s" ph="1">
        <v>8981</v>
      </c>
      <c r="M2657" s="27" t="str" ph="1">
        <f>IFERROR(INDEX([1]!_born[生没年],
MATCH(I2657,[1]!_born[作],0)),"")</f>
        <v/>
      </c>
      <c r="N2657" s="27" t="str" ph="1">
        <f>IFERROR(INDEX([1]!_born[生没年],
MATCH(K2657,[1]!_born[作],0)),"")</f>
        <v/>
      </c>
      <c r="O2657" s="19" t="s" ph="1">
        <v>8993</v>
      </c>
      <c r="R2657" s="20" ph="1"/>
      <c r="U2657" s="20" t="s" ph="1">
        <v>8994</v>
      </c>
      <c r="V2657" s="21" ph="1"/>
      <c r="W2657" s="21" ph="1"/>
      <c r="X2657" s="19" t="s" ph="1">
        <v>8995</v>
      </c>
      <c r="Y2657" s="19" t="s" ph="1">
        <v>1965</v>
      </c>
    </row>
    <row r="2658" spans="1:25" s="19" customFormat="1" ht="22.5" customHeight="1" ph="1" x14ac:dyDescent="0.35">
      <c r="A2658" s="107" ph="1"/>
      <c r="B2658" s="18" ph="1"/>
      <c r="C2658" s="19" t="s" ph="1">
        <v>707</v>
      </c>
      <c r="D2658" s="124" ph="1">
        <v>4</v>
      </c>
      <c r="E2658" s="124" ph="1">
        <v>12</v>
      </c>
      <c r="G2658" s="19" t="s" ph="1">
        <v>1933</v>
      </c>
      <c r="H2658" s="19" t="s" ph="1">
        <v>2987</v>
      </c>
      <c r="I2658" s="19" t="s" ph="1">
        <v>8981</v>
      </c>
      <c r="M2658" s="27" t="str" ph="1">
        <f>IFERROR(INDEX([1]!_born[生没年],
MATCH(I2658,[1]!_born[作],0)),"")</f>
        <v/>
      </c>
      <c r="N2658" s="27" t="str" ph="1">
        <f>IFERROR(INDEX([1]!_born[生没年],
MATCH(K2658,[1]!_born[作],0)),"")</f>
        <v/>
      </c>
      <c r="O2658" s="19" t="s" ph="1">
        <v>8993</v>
      </c>
      <c r="R2658" s="20" ph="1"/>
      <c r="U2658" s="20" t="s" ph="1">
        <v>8994</v>
      </c>
      <c r="V2658" s="21" ph="1"/>
      <c r="W2658" s="21" ph="1"/>
      <c r="X2658" s="19" t="s" ph="1">
        <v>8995</v>
      </c>
      <c r="Y2658" s="19" t="s" ph="1">
        <v>1965</v>
      </c>
    </row>
    <row r="2659" spans="1:25" s="19" customFormat="1" ht="22.5" customHeight="1" ph="1" x14ac:dyDescent="0.35">
      <c r="A2659" s="107" ph="1"/>
      <c r="B2659" s="18" ph="1"/>
      <c r="C2659" s="19" t="s" ph="1">
        <v>707</v>
      </c>
      <c r="D2659" s="124" ph="1">
        <v>5</v>
      </c>
      <c r="E2659" s="124" ph="1">
        <v>12</v>
      </c>
      <c r="G2659" s="19" t="s" ph="1">
        <v>1933</v>
      </c>
      <c r="H2659" s="19" t="s" ph="1">
        <v>2987</v>
      </c>
      <c r="I2659" s="19" t="s" ph="1">
        <v>8981</v>
      </c>
      <c r="M2659" s="27" t="str" ph="1">
        <f>IFERROR(INDEX([1]!_born[生没年],
MATCH(I2659,[1]!_born[作],0)),"")</f>
        <v/>
      </c>
      <c r="N2659" s="27" t="str" ph="1">
        <f>IFERROR(INDEX([1]!_born[生没年],
MATCH(K2659,[1]!_born[作],0)),"")</f>
        <v/>
      </c>
      <c r="O2659" s="19" t="s" ph="1">
        <v>8993</v>
      </c>
      <c r="R2659" s="20" ph="1"/>
      <c r="U2659" s="20" t="s" ph="1">
        <v>8994</v>
      </c>
      <c r="V2659" s="21" ph="1"/>
      <c r="W2659" s="21" ph="1"/>
      <c r="X2659" s="19" t="s" ph="1">
        <v>8995</v>
      </c>
      <c r="Y2659" s="19" t="s" ph="1">
        <v>1965</v>
      </c>
    </row>
    <row r="2660" spans="1:25" s="19" customFormat="1" ht="22.5" customHeight="1" ph="1" x14ac:dyDescent="0.35">
      <c r="A2660" s="107" ph="1"/>
      <c r="B2660" s="18" ph="1"/>
      <c r="C2660" s="19" t="s" ph="1">
        <v>707</v>
      </c>
      <c r="D2660" s="124" ph="1">
        <v>6</v>
      </c>
      <c r="E2660" s="124" ph="1">
        <v>12</v>
      </c>
      <c r="G2660" s="19" t="s" ph="1">
        <v>1933</v>
      </c>
      <c r="H2660" s="19" t="s" ph="1">
        <v>2987</v>
      </c>
      <c r="I2660" s="19" t="s" ph="1">
        <v>8981</v>
      </c>
      <c r="M2660" s="27" t="str" ph="1">
        <f>IFERROR(INDEX([1]!_born[生没年],
MATCH(I2660,[1]!_born[作],0)),"")</f>
        <v/>
      </c>
      <c r="N2660" s="27" t="str" ph="1">
        <f>IFERROR(INDEX([1]!_born[生没年],
MATCH(K2660,[1]!_born[作],0)),"")</f>
        <v/>
      </c>
      <c r="O2660" s="19" t="s" ph="1">
        <v>8993</v>
      </c>
      <c r="R2660" s="20" ph="1"/>
      <c r="U2660" s="20" t="s" ph="1">
        <v>8994</v>
      </c>
      <c r="V2660" s="21" ph="1"/>
      <c r="W2660" s="21" ph="1"/>
      <c r="X2660" s="19" t="s" ph="1">
        <v>8995</v>
      </c>
      <c r="Y2660" s="19" t="s" ph="1">
        <v>1965</v>
      </c>
    </row>
    <row r="2661" spans="1:25" s="19" customFormat="1" ht="22.5" customHeight="1" ph="1" x14ac:dyDescent="0.35">
      <c r="A2661" s="107" ph="1"/>
      <c r="B2661" s="18" ph="1"/>
      <c r="C2661" s="19" t="s" ph="1">
        <v>707</v>
      </c>
      <c r="D2661" s="124" ph="1">
        <v>7</v>
      </c>
      <c r="E2661" s="124" ph="1">
        <v>12</v>
      </c>
      <c r="G2661" s="19" t="s" ph="1">
        <v>1933</v>
      </c>
      <c r="H2661" s="19" t="s" ph="1">
        <v>2987</v>
      </c>
      <c r="I2661" s="19" t="s" ph="1">
        <v>8981</v>
      </c>
      <c r="M2661" s="27" t="str" ph="1">
        <f>IFERROR(INDEX([1]!_born[生没年],
MATCH(I2661,[1]!_born[作],0)),"")</f>
        <v/>
      </c>
      <c r="N2661" s="27" t="str" ph="1">
        <f>IFERROR(INDEX([1]!_born[生没年],
MATCH(K2661,[1]!_born[作],0)),"")</f>
        <v/>
      </c>
      <c r="O2661" s="19" t="s" ph="1">
        <v>8993</v>
      </c>
      <c r="R2661" s="20" ph="1"/>
      <c r="U2661" s="20" t="s" ph="1">
        <v>8994</v>
      </c>
      <c r="V2661" s="21" ph="1"/>
      <c r="W2661" s="21" ph="1"/>
      <c r="X2661" s="19" t="s" ph="1">
        <v>8995</v>
      </c>
      <c r="Y2661" s="19" t="s" ph="1">
        <v>1965</v>
      </c>
    </row>
    <row r="2662" spans="1:25" s="19" customFormat="1" ht="22.5" customHeight="1" ph="1" x14ac:dyDescent="0.35">
      <c r="A2662" s="107" ph="1"/>
      <c r="B2662" s="18" ph="1"/>
      <c r="C2662" s="19" t="s" ph="1">
        <v>707</v>
      </c>
      <c r="D2662" s="124" ph="1">
        <v>8</v>
      </c>
      <c r="E2662" s="124" ph="1">
        <v>12</v>
      </c>
      <c r="G2662" s="19" t="s" ph="1">
        <v>1933</v>
      </c>
      <c r="H2662" s="19" t="s" ph="1">
        <v>2987</v>
      </c>
      <c r="I2662" s="19" t="s" ph="1">
        <v>8981</v>
      </c>
      <c r="M2662" s="27" t="str" ph="1">
        <f>IFERROR(INDEX([1]!_born[生没年],
MATCH(I2662,[1]!_born[作],0)),"")</f>
        <v/>
      </c>
      <c r="N2662" s="27" t="str" ph="1">
        <f>IFERROR(INDEX([1]!_born[生没年],
MATCH(K2662,[1]!_born[作],0)),"")</f>
        <v/>
      </c>
      <c r="O2662" s="19" t="s" ph="1">
        <v>8993</v>
      </c>
      <c r="R2662" s="20" ph="1"/>
      <c r="U2662" s="20" t="s" ph="1">
        <v>8994</v>
      </c>
      <c r="V2662" s="21" ph="1"/>
      <c r="W2662" s="21" ph="1"/>
      <c r="X2662" s="19" t="s" ph="1">
        <v>8995</v>
      </c>
      <c r="Y2662" s="19" t="s" ph="1">
        <v>1965</v>
      </c>
    </row>
    <row r="2663" spans="1:25" s="19" customFormat="1" ht="22.5" customHeight="1" ph="1" x14ac:dyDescent="0.35">
      <c r="A2663" s="107" ph="1"/>
      <c r="B2663" s="18" ph="1"/>
      <c r="C2663" s="19" t="s" ph="1">
        <v>707</v>
      </c>
      <c r="D2663" s="124" ph="1">
        <v>9</v>
      </c>
      <c r="E2663" s="124" ph="1">
        <v>12</v>
      </c>
      <c r="G2663" s="19" t="s" ph="1">
        <v>1933</v>
      </c>
      <c r="H2663" s="19" t="s" ph="1">
        <v>2987</v>
      </c>
      <c r="I2663" s="19" t="s" ph="1">
        <v>8981</v>
      </c>
      <c r="M2663" s="27" t="str" ph="1">
        <f>IFERROR(INDEX([1]!_born[生没年],
MATCH(I2663,[1]!_born[作],0)),"")</f>
        <v/>
      </c>
      <c r="N2663" s="27" t="str" ph="1">
        <f>IFERROR(INDEX([1]!_born[生没年],
MATCH(K2663,[1]!_born[作],0)),"")</f>
        <v/>
      </c>
      <c r="O2663" s="19" t="s" ph="1">
        <v>8993</v>
      </c>
      <c r="R2663" s="20" ph="1"/>
      <c r="U2663" s="20" t="s" ph="1">
        <v>8994</v>
      </c>
      <c r="V2663" s="21" ph="1"/>
      <c r="W2663" s="21" ph="1"/>
      <c r="X2663" s="19" t="s" ph="1">
        <v>8995</v>
      </c>
      <c r="Y2663" s="19" t="s" ph="1">
        <v>1965</v>
      </c>
    </row>
    <row r="2664" spans="1:25" s="19" customFormat="1" ht="22.5" customHeight="1" ph="1" x14ac:dyDescent="0.35">
      <c r="A2664" s="107" ph="1"/>
      <c r="B2664" s="18" ph="1"/>
      <c r="C2664" s="19" t="s" ph="1">
        <v>707</v>
      </c>
      <c r="D2664" s="124" ph="1">
        <v>10</v>
      </c>
      <c r="E2664" s="124" ph="1">
        <v>12</v>
      </c>
      <c r="G2664" s="19" t="s" ph="1">
        <v>1933</v>
      </c>
      <c r="H2664" s="19" t="s" ph="1">
        <v>2987</v>
      </c>
      <c r="I2664" s="19" t="s" ph="1">
        <v>8981</v>
      </c>
      <c r="M2664" s="27" t="str" ph="1">
        <f>IFERROR(INDEX([1]!_born[生没年],
MATCH(I2664,[1]!_born[作],0)),"")</f>
        <v/>
      </c>
      <c r="N2664" s="27" t="str" ph="1">
        <f>IFERROR(INDEX([1]!_born[生没年],
MATCH(K2664,[1]!_born[作],0)),"")</f>
        <v/>
      </c>
      <c r="O2664" s="19" t="s" ph="1">
        <v>8993</v>
      </c>
      <c r="R2664" s="20" ph="1"/>
      <c r="U2664" s="20" t="s" ph="1">
        <v>8994</v>
      </c>
      <c r="V2664" s="21" ph="1"/>
      <c r="W2664" s="21" ph="1"/>
      <c r="X2664" s="19" t="s" ph="1">
        <v>8995</v>
      </c>
      <c r="Y2664" s="19" t="s" ph="1">
        <v>1965</v>
      </c>
    </row>
    <row r="2665" spans="1:25" s="19" customFormat="1" ht="22.5" customHeight="1" ph="1" x14ac:dyDescent="0.35">
      <c r="A2665" s="107" ph="1"/>
      <c r="B2665" s="18" ph="1"/>
      <c r="C2665" s="19" t="s" ph="1">
        <v>707</v>
      </c>
      <c r="D2665" s="124" ph="1">
        <v>11</v>
      </c>
      <c r="E2665" s="124" ph="1">
        <v>12</v>
      </c>
      <c r="G2665" s="19" t="s" ph="1">
        <v>1933</v>
      </c>
      <c r="H2665" s="19" t="s" ph="1">
        <v>2987</v>
      </c>
      <c r="I2665" s="19" t="s" ph="1">
        <v>8981</v>
      </c>
      <c r="M2665" s="27" t="str" ph="1">
        <f>IFERROR(INDEX([1]!_born[生没年],
MATCH(I2665,[1]!_born[作],0)),"")</f>
        <v/>
      </c>
      <c r="N2665" s="27" t="str" ph="1">
        <f>IFERROR(INDEX([1]!_born[生没年],
MATCH(K2665,[1]!_born[作],0)),"")</f>
        <v/>
      </c>
      <c r="O2665" s="19" t="s" ph="1">
        <v>8993</v>
      </c>
      <c r="R2665" s="20" ph="1"/>
      <c r="U2665" s="20" t="s" ph="1">
        <v>8994</v>
      </c>
      <c r="V2665" s="21" ph="1"/>
      <c r="W2665" s="21" ph="1"/>
      <c r="X2665" s="19" t="s" ph="1">
        <v>8995</v>
      </c>
      <c r="Y2665" s="19" t="s" ph="1">
        <v>1965</v>
      </c>
    </row>
    <row r="2666" spans="1:25" s="19" customFormat="1" ht="22.5" customHeight="1" ph="1" x14ac:dyDescent="0.35">
      <c r="A2666" s="107" ph="1"/>
      <c r="B2666" s="18" ph="1"/>
      <c r="C2666" s="19" t="s" ph="1">
        <v>707</v>
      </c>
      <c r="D2666" s="124" ph="1">
        <v>12</v>
      </c>
      <c r="E2666" s="124" ph="1">
        <v>12</v>
      </c>
      <c r="G2666" s="19" t="s" ph="1">
        <v>1933</v>
      </c>
      <c r="H2666" s="19" t="s" ph="1">
        <v>2987</v>
      </c>
      <c r="I2666" s="19" t="s" ph="1">
        <v>8981</v>
      </c>
      <c r="M2666" s="27" t="str" ph="1">
        <f>IFERROR(INDEX([1]!_born[生没年],
MATCH(I2666,[1]!_born[作],0)),"")</f>
        <v/>
      </c>
      <c r="N2666" s="27" t="str" ph="1">
        <f>IFERROR(INDEX([1]!_born[生没年],
MATCH(K2666,[1]!_born[作],0)),"")</f>
        <v/>
      </c>
      <c r="O2666" s="19" t="s" ph="1">
        <v>8993</v>
      </c>
      <c r="R2666" s="20" ph="1"/>
      <c r="U2666" s="20" t="s" ph="1">
        <v>8994</v>
      </c>
      <c r="V2666" s="21" ph="1"/>
      <c r="W2666" s="21" ph="1"/>
      <c r="X2666" s="19" t="s" ph="1">
        <v>8995</v>
      </c>
      <c r="Y2666" s="19" t="s" ph="1">
        <v>1965</v>
      </c>
    </row>
    <row r="2667" spans="1:25" s="19" customFormat="1" ht="22.5" customHeight="1" ph="1" x14ac:dyDescent="0.35">
      <c r="A2667" s="107" ph="1"/>
      <c r="B2667" s="18" ph="1"/>
      <c r="C2667" s="19" t="s" ph="1">
        <v>707</v>
      </c>
      <c r="D2667" s="124" ph="1"/>
      <c r="E2667" s="124" ph="1"/>
      <c r="G2667" s="19" t="s" ph="1">
        <v>1933</v>
      </c>
      <c r="H2667" s="19" t="s" ph="1">
        <v>2987</v>
      </c>
      <c r="I2667" s="19" t="s" ph="1">
        <v>8981</v>
      </c>
      <c r="M2667" s="27" t="str" ph="1">
        <f>IFERROR(INDEX([1]!_born[生没年],
MATCH(I2667,[1]!_born[作],0)),"")</f>
        <v/>
      </c>
      <c r="N2667" s="27" t="str" ph="1">
        <f>IFERROR(INDEX([1]!_born[生没年],
MATCH(K2667,[1]!_born[作],0)),"")</f>
        <v/>
      </c>
      <c r="O2667" s="19" t="s" ph="1">
        <v>8996</v>
      </c>
      <c r="R2667" s="20" ph="1"/>
      <c r="U2667" s="20" ph="1"/>
      <c r="V2667" s="21" ph="1"/>
      <c r="W2667" s="21" ph="1"/>
      <c r="Y2667" s="19" t="s" ph="1">
        <v>1965</v>
      </c>
    </row>
    <row r="2668" spans="1:25" s="19" customFormat="1" ht="22.5" customHeight="1" ph="1" x14ac:dyDescent="0.35">
      <c r="A2668" s="107" ph="1"/>
      <c r="B2668" s="18" ph="1"/>
      <c r="C2668" s="19" t="s" ph="1">
        <v>707</v>
      </c>
      <c r="D2668" s="124" ph="1"/>
      <c r="E2668" s="124" ph="1"/>
      <c r="G2668" s="19" t="s" ph="1">
        <v>1933</v>
      </c>
      <c r="H2668" s="19" t="s" ph="1">
        <v>2987</v>
      </c>
      <c r="I2668" s="19" t="s" ph="1">
        <v>8981</v>
      </c>
      <c r="M2668" s="27" t="str" ph="1">
        <f>IFERROR(INDEX([1]!_born[生没年],
MATCH(I2668,[1]!_born[作],0)),"")</f>
        <v/>
      </c>
      <c r="N2668" s="27" t="str" ph="1">
        <f>IFERROR(INDEX([1]!_born[生没年],
MATCH(K2668,[1]!_born[作],0)),"")</f>
        <v/>
      </c>
      <c r="O2668" s="19" t="s" ph="1">
        <v>8997</v>
      </c>
      <c r="R2668" s="20" t="s" ph="1">
        <v>2428</v>
      </c>
      <c r="T2668" s="19" t="s" ph="1">
        <v>8998</v>
      </c>
      <c r="U2668" s="20" t="s" ph="1">
        <v>8999</v>
      </c>
      <c r="V2668" s="21" t="s" ph="1">
        <v>310</v>
      </c>
      <c r="W2668" s="21" t="s" ph="1">
        <v>310</v>
      </c>
      <c r="X2668" s="19" t="s" ph="1">
        <v>8995</v>
      </c>
      <c r="Y2668" s="19" t="s" ph="1">
        <v>1965</v>
      </c>
    </row>
    <row r="2669" spans="1:25" s="19" customFormat="1" ht="22.5" customHeight="1" ph="1" x14ac:dyDescent="0.35">
      <c r="A2669" s="107" ph="1"/>
      <c r="B2669" s="18" ph="1"/>
      <c r="C2669" s="19" t="s" ph="1">
        <v>707</v>
      </c>
      <c r="D2669" s="124" ph="1"/>
      <c r="E2669" s="124" ph="1"/>
      <c r="G2669" s="19" t="s" ph="1">
        <v>1933</v>
      </c>
      <c r="H2669" s="19" t="s" ph="1">
        <v>2987</v>
      </c>
      <c r="I2669" s="19" t="s" ph="1">
        <v>8981</v>
      </c>
      <c r="M2669" s="27" t="str" ph="1">
        <f>IFERROR(INDEX([1]!_born[生没年],
MATCH(I2669,[1]!_born[作],0)),"")</f>
        <v/>
      </c>
      <c r="N2669" s="27" t="str" ph="1">
        <f>IFERROR(INDEX([1]!_born[生没年],
MATCH(K2669,[1]!_born[作],0)),"")</f>
        <v/>
      </c>
      <c r="O2669" s="19" t="s" ph="1">
        <v>9000</v>
      </c>
      <c r="R2669" s="20" ph="1"/>
      <c r="U2669" s="20" ph="1"/>
      <c r="V2669" s="21" ph="1"/>
      <c r="W2669" s="21" ph="1"/>
      <c r="Y2669" s="19" t="s" ph="1">
        <v>1965</v>
      </c>
    </row>
    <row r="2670" spans="1:25" s="19" customFormat="1" ht="22.5" customHeight="1" ph="1" x14ac:dyDescent="0.35">
      <c r="A2670" s="107" ph="1"/>
      <c r="B2670" s="18" ph="1"/>
      <c r="C2670" s="19" t="s" ph="1">
        <v>707</v>
      </c>
      <c r="D2670" s="124" ph="1"/>
      <c r="E2670" s="124" ph="1"/>
      <c r="G2670" s="19" t="s" ph="1">
        <v>9001</v>
      </c>
      <c r="H2670" s="19" t="s" ph="1">
        <v>2987</v>
      </c>
      <c r="I2670" s="19" t="s" ph="1">
        <v>9002</v>
      </c>
      <c r="M2670" s="27" t="str" ph="1">
        <f>IFERROR(INDEX([1]!_born[生没年],
MATCH(I2670,[1]!_born[作],0)),"")</f>
        <v/>
      </c>
      <c r="N2670" s="27" t="str" ph="1">
        <f>IFERROR(INDEX([1]!_born[生没年],
MATCH(K2670,[1]!_born[作],0)),"")</f>
        <v/>
      </c>
      <c r="O2670" s="19" t="s" ph="1">
        <v>9003</v>
      </c>
      <c r="R2670" s="20" ph="1"/>
      <c r="U2670" s="20" t="s" ph="1">
        <v>706</v>
      </c>
      <c r="V2670" s="21" ph="1"/>
      <c r="W2670" s="21" ph="1"/>
      <c r="Y2670" s="19" t="s" ph="1">
        <v>1965</v>
      </c>
    </row>
    <row r="2671" spans="1:25" ht="22.5" customHeight="1" ph="1" x14ac:dyDescent="0.35">
      <c r="C2671" s="13" t="s" ph="1">
        <v>707</v>
      </c>
      <c r="D2671" s="123" ph="1">
        <v>1</v>
      </c>
      <c r="E2671" s="123" ph="1">
        <v>3</v>
      </c>
      <c r="G2671" s="13" t="s" ph="1">
        <v>1933</v>
      </c>
      <c r="H2671" s="13" t="s" ph="1">
        <v>2987</v>
      </c>
      <c r="I2671" s="15" t="s" ph="1">
        <v>9004</v>
      </c>
      <c r="M2671" s="14" t="str" ph="1">
        <f>IFERROR(INDEX([1]!_born[生没年],
MATCH(I2671,[1]!_born[作],0)),"")</f>
        <v/>
      </c>
      <c r="N2671" s="14" t="str" ph="1">
        <f>IFERROR(INDEX([1]!_born[生没年],
MATCH(K2671,[1]!_born[作],0)),"")</f>
        <v/>
      </c>
      <c r="O2671" s="15" t="s" ph="1">
        <v>9005</v>
      </c>
      <c r="S2671" s="13" t="s" ph="1">
        <v>417</v>
      </c>
      <c r="T2671" s="13" t="s" ph="1">
        <v>3988</v>
      </c>
      <c r="U2671" s="16" t="s" ph="1">
        <v>706</v>
      </c>
      <c r="V2671" s="17" ph="1">
        <f>1100*3</f>
        <v>3300</v>
      </c>
    </row>
    <row r="2672" spans="1:25" ht="22.5" customHeight="1" ph="1" x14ac:dyDescent="0.35">
      <c r="C2672" s="13" t="s" ph="1">
        <v>707</v>
      </c>
      <c r="D2672" s="123" ph="1">
        <v>2</v>
      </c>
      <c r="E2672" s="123" ph="1">
        <v>3</v>
      </c>
      <c r="G2672" s="13" t="s" ph="1">
        <v>1933</v>
      </c>
      <c r="H2672" s="13" t="s" ph="1">
        <v>2987</v>
      </c>
      <c r="I2672" s="15" t="s" ph="1">
        <v>9004</v>
      </c>
      <c r="M2672" s="14" t="str" ph="1">
        <f>IFERROR(INDEX([1]!_born[生没年],
MATCH(I2672,[1]!_born[作],0)),"")</f>
        <v/>
      </c>
      <c r="N2672" s="14" t="str" ph="1">
        <f>IFERROR(INDEX([1]!_born[生没年],
MATCH(K2672,[1]!_born[作],0)),"")</f>
        <v/>
      </c>
      <c r="O2672" s="15" t="s" ph="1">
        <v>9006</v>
      </c>
      <c r="S2672" s="13" t="s" ph="1">
        <v>417</v>
      </c>
      <c r="T2672" s="13" t="s" ph="1">
        <v>3988</v>
      </c>
      <c r="U2672" s="16" t="s" ph="1">
        <v>706</v>
      </c>
      <c r="V2672" s="17" ph="1">
        <f>1100*3</f>
        <v>3300</v>
      </c>
    </row>
    <row r="2673" spans="3:22" ht="22.5" customHeight="1" ph="1" x14ac:dyDescent="0.35">
      <c r="C2673" s="13" t="s" ph="1">
        <v>707</v>
      </c>
      <c r="D2673" s="123" ph="1">
        <v>3</v>
      </c>
      <c r="E2673" s="123" ph="1">
        <v>3</v>
      </c>
      <c r="G2673" s="13" t="s" ph="1">
        <v>1933</v>
      </c>
      <c r="H2673" s="13" t="s" ph="1">
        <v>2987</v>
      </c>
      <c r="I2673" s="15" t="s" ph="1">
        <v>9004</v>
      </c>
      <c r="M2673" s="14" t="str" ph="1">
        <f>IFERROR(INDEX([1]!_born[生没年],
MATCH(I2673,[1]!_born[作],0)),"")</f>
        <v/>
      </c>
      <c r="N2673" s="14" t="str" ph="1">
        <f>IFERROR(INDEX([1]!_born[生没年],
MATCH(K2673,[1]!_born[作],0)),"")</f>
        <v/>
      </c>
      <c r="O2673" s="15" t="s" ph="1">
        <v>9007</v>
      </c>
      <c r="S2673" s="13" t="s" ph="1">
        <v>417</v>
      </c>
      <c r="T2673" s="13" t="s" ph="1">
        <v>3988</v>
      </c>
      <c r="U2673" s="16" t="s" ph="1">
        <v>706</v>
      </c>
      <c r="V2673" s="17" ph="1">
        <f>1100*3</f>
        <v>3300</v>
      </c>
    </row>
    <row r="2674" spans="3:22" ht="22.5" customHeight="1" ph="1" x14ac:dyDescent="0.35">
      <c r="C2674" s="13" t="s" ph="1">
        <v>707</v>
      </c>
      <c r="G2674" s="13" t="s" ph="1">
        <v>1933</v>
      </c>
      <c r="H2674" s="13" t="s" ph="1">
        <v>2987</v>
      </c>
      <c r="I2674" s="13" t="s" ph="1">
        <v>9008</v>
      </c>
      <c r="M2674" s="14" t="str" ph="1">
        <f>IFERROR(INDEX([1]!_born[生没年],
MATCH(I2674,[1]!_born[作],0)),"")</f>
        <v/>
      </c>
      <c r="N2674" s="14" t="str" ph="1">
        <f>IFERROR(INDEX([1]!_born[生没年],
MATCH(K2674,[1]!_born[作],0)),"")</f>
        <v/>
      </c>
      <c r="O2674" s="13" t="s" ph="1">
        <v>9009</v>
      </c>
    </row>
    <row r="2675" spans="3:22" ht="22.5" customHeight="1" ph="1" x14ac:dyDescent="0.35">
      <c r="C2675" s="13" t="s" ph="1">
        <v>707</v>
      </c>
      <c r="G2675" s="13" t="s" ph="1">
        <v>1933</v>
      </c>
      <c r="H2675" s="13" t="s" ph="1">
        <v>2987</v>
      </c>
      <c r="I2675" s="15" t="s" ph="1">
        <v>9004</v>
      </c>
      <c r="M2675" s="14" t="str" ph="1">
        <f>IFERROR(INDEX([1]!_born[生没年],
MATCH(I2675,[1]!_born[作],0)),"")</f>
        <v/>
      </c>
      <c r="N2675" s="14" t="str" ph="1">
        <f>IFERROR(INDEX([1]!_born[生没年],
MATCH(K2675,[1]!_born[作],0)),"")</f>
        <v/>
      </c>
      <c r="O2675" s="15" t="s" ph="1">
        <v>9010</v>
      </c>
      <c r="T2675" s="13" t="s" ph="1">
        <v>4702</v>
      </c>
      <c r="U2675" s="16" t="s" ph="1">
        <v>706</v>
      </c>
      <c r="V2675" s="17" ph="1">
        <v>750</v>
      </c>
    </row>
    <row r="2676" spans="3:22" ht="22.5" customHeight="1" ph="1" x14ac:dyDescent="0.35">
      <c r="C2676" s="13" t="s" ph="1">
        <v>707</v>
      </c>
      <c r="D2676" s="123" ph="1">
        <v>1</v>
      </c>
      <c r="E2676" s="123" ph="1">
        <v>3</v>
      </c>
      <c r="G2676" s="13" t="s" ph="1">
        <v>1933</v>
      </c>
      <c r="H2676" s="13" t="s" ph="1">
        <v>2987</v>
      </c>
      <c r="I2676" s="15" t="s" ph="1">
        <v>9004</v>
      </c>
      <c r="M2676" s="14" t="str" ph="1">
        <f>IFERROR(INDEX([1]!_born[生没年],
MATCH(I2676,[1]!_born[作],0)),"")</f>
        <v/>
      </c>
      <c r="N2676" s="14" t="str" ph="1">
        <f>IFERROR(INDEX([1]!_born[生没年],
MATCH(K2676,[1]!_born[作],0)),"")</f>
        <v/>
      </c>
      <c r="O2676" s="15" t="s" ph="1">
        <v>9011</v>
      </c>
    </row>
    <row r="2677" spans="3:22" ht="22.5" customHeight="1" ph="1" x14ac:dyDescent="0.35">
      <c r="C2677" s="13" t="s" ph="1">
        <v>707</v>
      </c>
      <c r="D2677" s="123" ph="1">
        <v>2</v>
      </c>
      <c r="E2677" s="123" ph="1">
        <v>3</v>
      </c>
      <c r="G2677" s="13" t="s" ph="1">
        <v>1933</v>
      </c>
      <c r="H2677" s="13" t="s" ph="1">
        <v>2987</v>
      </c>
      <c r="I2677" s="15" t="s" ph="1">
        <v>9004</v>
      </c>
      <c r="M2677" s="14" t="str" ph="1">
        <f>IFERROR(INDEX([1]!_born[生没年],
MATCH(I2677,[1]!_born[作],0)),"")</f>
        <v/>
      </c>
      <c r="N2677" s="14" t="str" ph="1">
        <f>IFERROR(INDEX([1]!_born[生没年],
MATCH(K2677,[1]!_born[作],0)),"")</f>
        <v/>
      </c>
      <c r="O2677" s="15" t="s" ph="1">
        <v>9011</v>
      </c>
    </row>
    <row r="2678" spans="3:22" ht="22.5" customHeight="1" ph="1" x14ac:dyDescent="0.35">
      <c r="C2678" s="13" t="s" ph="1">
        <v>707</v>
      </c>
      <c r="D2678" s="123" ph="1">
        <v>3</v>
      </c>
      <c r="E2678" s="123" ph="1">
        <v>3</v>
      </c>
      <c r="G2678" s="13" t="s" ph="1">
        <v>1933</v>
      </c>
      <c r="H2678" s="13" t="s" ph="1">
        <v>2987</v>
      </c>
      <c r="I2678" s="15" t="s" ph="1">
        <v>9004</v>
      </c>
      <c r="M2678" s="14" t="str" ph="1">
        <f>IFERROR(INDEX([1]!_born[生没年],
MATCH(I2678,[1]!_born[作],0)),"")</f>
        <v/>
      </c>
      <c r="N2678" s="14" t="str" ph="1">
        <f>IFERROR(INDEX([1]!_born[生没年],
MATCH(K2678,[1]!_born[作],0)),"")</f>
        <v/>
      </c>
      <c r="O2678" s="15" t="s" ph="1">
        <v>9011</v>
      </c>
    </row>
    <row r="2679" spans="3:22" ht="22.5" customHeight="1" ph="1" x14ac:dyDescent="0.35">
      <c r="C2679" s="13" t="s" ph="1">
        <v>707</v>
      </c>
      <c r="D2679" s="123" ph="1">
        <v>1</v>
      </c>
      <c r="E2679" s="123" ph="1">
        <v>4</v>
      </c>
      <c r="G2679" s="13" t="s" ph="1">
        <v>1933</v>
      </c>
      <c r="H2679" s="13" t="s" ph="1">
        <v>2987</v>
      </c>
      <c r="I2679" s="15" t="s" ph="1">
        <v>9004</v>
      </c>
      <c r="M2679" s="14" t="str" ph="1">
        <f>IFERROR(INDEX([1]!_born[生没年],
MATCH(I2679,[1]!_born[作],0)),"")</f>
        <v/>
      </c>
      <c r="N2679" s="14" t="str" ph="1">
        <f>IFERROR(INDEX([1]!_born[生没年],
MATCH(K2679,[1]!_born[作],0)),"")</f>
        <v/>
      </c>
      <c r="O2679" s="15" t="s" ph="1">
        <v>9012</v>
      </c>
      <c r="S2679" s="13" t="s" ph="1">
        <v>625</v>
      </c>
      <c r="T2679" s="13" t="s" ph="1">
        <v>9013</v>
      </c>
      <c r="U2679" s="16" t="s" ph="1">
        <v>706</v>
      </c>
      <c r="V2679" s="17" ph="1">
        <f>600*4</f>
        <v>2400</v>
      </c>
    </row>
    <row r="2680" spans="3:22" ht="22.5" customHeight="1" ph="1" x14ac:dyDescent="0.35">
      <c r="C2680" s="13" t="s" ph="1">
        <v>707</v>
      </c>
      <c r="D2680" s="123" ph="1">
        <v>2</v>
      </c>
      <c r="E2680" s="123" ph="1">
        <v>4</v>
      </c>
      <c r="G2680" s="13" t="s" ph="1">
        <v>1933</v>
      </c>
      <c r="H2680" s="13" t="s" ph="1">
        <v>2987</v>
      </c>
      <c r="I2680" s="15" t="s" ph="1">
        <v>9004</v>
      </c>
      <c r="M2680" s="14" t="str" ph="1">
        <f>IFERROR(INDEX([1]!_born[生没年],
MATCH(I2680,[1]!_born[作],0)),"")</f>
        <v/>
      </c>
      <c r="N2680" s="14" t="str" ph="1">
        <f>IFERROR(INDEX([1]!_born[生没年],
MATCH(K2680,[1]!_born[作],0)),"")</f>
        <v/>
      </c>
      <c r="O2680" s="15" t="s" ph="1">
        <v>9012</v>
      </c>
      <c r="S2680" s="13" t="s" ph="1">
        <v>625</v>
      </c>
      <c r="T2680" s="13" t="s" ph="1">
        <v>9013</v>
      </c>
      <c r="U2680" s="16" t="s" ph="1">
        <v>706</v>
      </c>
      <c r="V2680" s="17" ph="1">
        <f>600*4</f>
        <v>2400</v>
      </c>
    </row>
    <row r="2681" spans="3:22" ht="22.5" customHeight="1" ph="1" x14ac:dyDescent="0.35">
      <c r="C2681" s="13" t="s" ph="1">
        <v>707</v>
      </c>
      <c r="D2681" s="123" ph="1">
        <v>3</v>
      </c>
      <c r="E2681" s="123" ph="1">
        <v>4</v>
      </c>
      <c r="G2681" s="13" t="s" ph="1">
        <v>1933</v>
      </c>
      <c r="H2681" s="13" t="s" ph="1">
        <v>2987</v>
      </c>
      <c r="I2681" s="15" t="s" ph="1">
        <v>9004</v>
      </c>
      <c r="M2681" s="14" t="str" ph="1">
        <f>IFERROR(INDEX([1]!_born[生没年],
MATCH(I2681,[1]!_born[作],0)),"")</f>
        <v/>
      </c>
      <c r="N2681" s="14" t="str" ph="1">
        <f>IFERROR(INDEX([1]!_born[生没年],
MATCH(K2681,[1]!_born[作],0)),"")</f>
        <v/>
      </c>
      <c r="O2681" s="15" t="s" ph="1">
        <v>9012</v>
      </c>
      <c r="S2681" s="13" t="s" ph="1">
        <v>625</v>
      </c>
      <c r="T2681" s="13" t="s" ph="1">
        <v>9013</v>
      </c>
      <c r="U2681" s="16" t="s" ph="1">
        <v>706</v>
      </c>
      <c r="V2681" s="17" ph="1">
        <f>600*4</f>
        <v>2400</v>
      </c>
    </row>
    <row r="2682" spans="3:22" ht="22.5" customHeight="1" ph="1" x14ac:dyDescent="0.35">
      <c r="C2682" s="13" t="s" ph="1">
        <v>707</v>
      </c>
      <c r="D2682" s="123" ph="1">
        <v>4</v>
      </c>
      <c r="E2682" s="123" ph="1">
        <v>4</v>
      </c>
      <c r="G2682" s="13" t="s" ph="1">
        <v>1933</v>
      </c>
      <c r="H2682" s="13" t="s" ph="1">
        <v>2987</v>
      </c>
      <c r="I2682" s="15" t="s" ph="1">
        <v>9004</v>
      </c>
      <c r="M2682" s="14" t="str" ph="1">
        <f>IFERROR(INDEX([1]!_born[生没年],
MATCH(I2682,[1]!_born[作],0)),"")</f>
        <v/>
      </c>
      <c r="N2682" s="14" t="str" ph="1">
        <f>IFERROR(INDEX([1]!_born[生没年],
MATCH(K2682,[1]!_born[作],0)),"")</f>
        <v/>
      </c>
      <c r="O2682" s="15" t="s" ph="1">
        <v>9012</v>
      </c>
      <c r="S2682" s="13" t="s" ph="1">
        <v>625</v>
      </c>
      <c r="T2682" s="13" t="s" ph="1">
        <v>9013</v>
      </c>
      <c r="U2682" s="16" t="s" ph="1">
        <v>706</v>
      </c>
      <c r="V2682" s="17" ph="1">
        <f>600*4</f>
        <v>2400</v>
      </c>
    </row>
    <row r="2683" spans="3:22" ht="22.5" customHeight="1" ph="1" x14ac:dyDescent="0.35">
      <c r="C2683" s="13" t="s" ph="1">
        <v>707</v>
      </c>
      <c r="G2683" s="13" t="s" ph="1">
        <v>1933</v>
      </c>
      <c r="H2683" s="13" t="s" ph="1">
        <v>2987</v>
      </c>
      <c r="I2683" s="13" t="s" ph="1">
        <v>9008</v>
      </c>
      <c r="M2683" s="14" t="str" ph="1">
        <f>IFERROR(INDEX([1]!_born[生没年],
MATCH(I2683,[1]!_born[作],0)),"")</f>
        <v/>
      </c>
      <c r="N2683" s="14" t="str" ph="1">
        <f>IFERROR(INDEX([1]!_born[生没年],
MATCH(K2683,[1]!_born[作],0)),"")</f>
        <v/>
      </c>
      <c r="O2683" s="13" t="s" ph="1">
        <v>9014</v>
      </c>
    </row>
    <row r="2684" spans="3:22" ht="22.5" customHeight="1" ph="1" x14ac:dyDescent="0.35">
      <c r="C2684" s="13" t="s" ph="1">
        <v>707</v>
      </c>
      <c r="D2684" s="123" ph="1">
        <v>1</v>
      </c>
      <c r="E2684" s="123" ph="1">
        <v>5</v>
      </c>
      <c r="G2684" s="13" t="s" ph="1">
        <v>1933</v>
      </c>
      <c r="H2684" s="13" t="s" ph="1">
        <v>2987</v>
      </c>
      <c r="I2684" s="15" t="s" ph="1">
        <v>9004</v>
      </c>
      <c r="M2684" s="14" t="str" ph="1">
        <f>IFERROR(INDEX([1]!_born[生没年],
MATCH(I2684,[1]!_born[作],0)),"")</f>
        <v/>
      </c>
      <c r="N2684" s="14" t="str" ph="1">
        <f>IFERROR(INDEX([1]!_born[生没年],
MATCH(K2684,[1]!_born[作],0)),"")</f>
        <v/>
      </c>
      <c r="O2684" s="15" t="s" ph="1">
        <v>9015</v>
      </c>
      <c r="S2684" s="13" t="s" ph="1">
        <v>9016</v>
      </c>
      <c r="T2684" s="13" t="s" ph="1">
        <v>9013</v>
      </c>
      <c r="U2684" s="16" t="s" ph="1">
        <v>9017</v>
      </c>
      <c r="V2684" s="17" ph="1">
        <v>600650</v>
      </c>
    </row>
    <row r="2685" spans="3:22" ht="22.5" customHeight="1" ph="1" x14ac:dyDescent="0.35">
      <c r="C2685" s="13" t="s" ph="1">
        <v>707</v>
      </c>
      <c r="D2685" s="123" ph="1">
        <v>2</v>
      </c>
      <c r="E2685" s="123" ph="1">
        <v>5</v>
      </c>
      <c r="G2685" s="13" t="s" ph="1">
        <v>1933</v>
      </c>
      <c r="H2685" s="13" t="s" ph="1">
        <v>2987</v>
      </c>
      <c r="I2685" s="15" t="s" ph="1">
        <v>9004</v>
      </c>
      <c r="M2685" s="14" t="str" ph="1">
        <f>IFERROR(INDEX([1]!_born[生没年],
MATCH(I2685,[1]!_born[作],0)),"")</f>
        <v/>
      </c>
      <c r="N2685" s="14" t="str" ph="1">
        <f>IFERROR(INDEX([1]!_born[生没年],
MATCH(K2685,[1]!_born[作],0)),"")</f>
        <v/>
      </c>
      <c r="O2685" s="15" t="s" ph="1">
        <v>9015</v>
      </c>
      <c r="S2685" s="13" t="s" ph="1">
        <v>9016</v>
      </c>
      <c r="T2685" s="13" t="s" ph="1">
        <v>9013</v>
      </c>
      <c r="U2685" s="16" t="s" ph="1">
        <v>9017</v>
      </c>
      <c r="V2685" s="17" ph="1">
        <v>600650</v>
      </c>
    </row>
    <row r="2686" spans="3:22" ht="22.5" customHeight="1" ph="1" x14ac:dyDescent="0.35">
      <c r="C2686" s="13" t="s" ph="1">
        <v>707</v>
      </c>
      <c r="D2686" s="123" ph="1">
        <v>3</v>
      </c>
      <c r="E2686" s="123" ph="1">
        <v>5</v>
      </c>
      <c r="G2686" s="13" t="s" ph="1">
        <v>1933</v>
      </c>
      <c r="H2686" s="13" t="s" ph="1">
        <v>2987</v>
      </c>
      <c r="I2686" s="15" t="s" ph="1">
        <v>9004</v>
      </c>
      <c r="M2686" s="14" t="str" ph="1">
        <f>IFERROR(INDEX([1]!_born[生没年],
MATCH(I2686,[1]!_born[作],0)),"")</f>
        <v/>
      </c>
      <c r="N2686" s="14" t="str" ph="1">
        <f>IFERROR(INDEX([1]!_born[生没年],
MATCH(K2686,[1]!_born[作],0)),"")</f>
        <v/>
      </c>
      <c r="O2686" s="15" t="s" ph="1">
        <v>9015</v>
      </c>
      <c r="S2686" s="13" t="s" ph="1">
        <v>9016</v>
      </c>
      <c r="T2686" s="13" t="s" ph="1">
        <v>9013</v>
      </c>
      <c r="U2686" s="16" t="s" ph="1">
        <v>9017</v>
      </c>
      <c r="V2686" s="17" ph="1">
        <v>600650</v>
      </c>
    </row>
    <row r="2687" spans="3:22" ht="22.5" customHeight="1" ph="1" x14ac:dyDescent="0.35">
      <c r="C2687" s="13" t="s" ph="1">
        <v>707</v>
      </c>
      <c r="D2687" s="123" ph="1">
        <v>4</v>
      </c>
      <c r="E2687" s="123" ph="1">
        <v>5</v>
      </c>
      <c r="G2687" s="13" t="s" ph="1">
        <v>1933</v>
      </c>
      <c r="H2687" s="13" t="s" ph="1">
        <v>2987</v>
      </c>
      <c r="I2687" s="15" t="s" ph="1">
        <v>9004</v>
      </c>
      <c r="M2687" s="14" t="str" ph="1">
        <f>IFERROR(INDEX([1]!_born[生没年],
MATCH(I2687,[1]!_born[作],0)),"")</f>
        <v/>
      </c>
      <c r="N2687" s="14" t="str" ph="1">
        <f>IFERROR(INDEX([1]!_born[生没年],
MATCH(K2687,[1]!_born[作],0)),"")</f>
        <v/>
      </c>
      <c r="O2687" s="15" t="s" ph="1">
        <v>9015</v>
      </c>
      <c r="S2687" s="13" t="s" ph="1">
        <v>9016</v>
      </c>
      <c r="T2687" s="13" t="s" ph="1">
        <v>9013</v>
      </c>
      <c r="U2687" s="16" t="s" ph="1">
        <v>9017</v>
      </c>
      <c r="V2687" s="17" ph="1">
        <v>600650</v>
      </c>
    </row>
    <row r="2688" spans="3:22" ht="22.5" customHeight="1" ph="1" x14ac:dyDescent="0.35">
      <c r="C2688" s="13" t="s" ph="1">
        <v>707</v>
      </c>
      <c r="D2688" s="123" ph="1">
        <v>5</v>
      </c>
      <c r="E2688" s="123" ph="1">
        <v>5</v>
      </c>
      <c r="G2688" s="13" t="s" ph="1">
        <v>1933</v>
      </c>
      <c r="H2688" s="13" t="s" ph="1">
        <v>2987</v>
      </c>
      <c r="I2688" s="15" t="s" ph="1">
        <v>9004</v>
      </c>
      <c r="M2688" s="14" t="str" ph="1">
        <f>IFERROR(INDEX([1]!_born[生没年],
MATCH(I2688,[1]!_born[作],0)),"")</f>
        <v/>
      </c>
      <c r="N2688" s="14" t="str" ph="1">
        <f>IFERROR(INDEX([1]!_born[生没年],
MATCH(K2688,[1]!_born[作],0)),"")</f>
        <v/>
      </c>
      <c r="O2688" s="15" t="s" ph="1">
        <v>9015</v>
      </c>
      <c r="S2688" s="13" t="s" ph="1">
        <v>9016</v>
      </c>
      <c r="T2688" s="13" t="s" ph="1">
        <v>9013</v>
      </c>
      <c r="U2688" s="16" t="s" ph="1">
        <v>9017</v>
      </c>
      <c r="V2688" s="17" ph="1">
        <v>600650</v>
      </c>
    </row>
    <row r="2689" spans="1:25" ht="22.5" customHeight="1" ph="1" x14ac:dyDescent="0.35">
      <c r="C2689" s="13" t="s" ph="1">
        <v>707</v>
      </c>
      <c r="G2689" s="13" t="s" ph="1">
        <v>1933</v>
      </c>
      <c r="H2689" s="13" t="s" ph="1">
        <v>2987</v>
      </c>
      <c r="I2689" s="13" t="s" ph="1">
        <v>9008</v>
      </c>
      <c r="M2689" s="14" t="str" ph="1">
        <f>IFERROR(INDEX([1]!_born[生没年],
MATCH(I2689,[1]!_born[作],0)),"")</f>
        <v/>
      </c>
      <c r="N2689" s="14" t="str" ph="1">
        <f>IFERROR(INDEX([1]!_born[生没年],
MATCH(K2689,[1]!_born[作],0)),"")</f>
        <v/>
      </c>
      <c r="O2689" s="13" t="s" ph="1">
        <v>9018</v>
      </c>
      <c r="T2689" s="13" t="s" ph="1">
        <v>9019</v>
      </c>
      <c r="U2689" s="16" t="s" ph="1">
        <v>706</v>
      </c>
      <c r="V2689" s="17" ph="1">
        <v>780</v>
      </c>
    </row>
    <row r="2690" spans="1:25" ht="22.5" customHeight="1" ph="1" x14ac:dyDescent="0.35">
      <c r="C2690" s="13" t="s" ph="1">
        <v>707</v>
      </c>
      <c r="G2690" s="13" t="s" ph="1">
        <v>1933</v>
      </c>
      <c r="H2690" s="13" t="s" ph="1">
        <v>2987</v>
      </c>
      <c r="I2690" s="13" t="s" ph="1">
        <v>9008</v>
      </c>
      <c r="M2690" s="14" t="str" ph="1">
        <f>IFERROR(INDEX([1]!_born[生没年],
MATCH(I2690,[1]!_born[作],0)),"")</f>
        <v/>
      </c>
      <c r="N2690" s="14" t="str" ph="1">
        <f>IFERROR(INDEX([1]!_born[生没年],
MATCH(K2690,[1]!_born[作],0)),"")</f>
        <v/>
      </c>
      <c r="O2690" s="13" t="s" ph="1">
        <v>9020</v>
      </c>
    </row>
    <row r="2691" spans="1:25" ht="22.5" customHeight="1" ph="1" x14ac:dyDescent="0.35">
      <c r="C2691" s="13" t="s" ph="1">
        <v>707</v>
      </c>
      <c r="G2691" s="13" t="s" ph="1">
        <v>1933</v>
      </c>
      <c r="H2691" s="13" t="s" ph="1">
        <v>2987</v>
      </c>
      <c r="I2691" s="13" t="s" ph="1">
        <v>9008</v>
      </c>
      <c r="M2691" s="14" t="str" ph="1">
        <f>IFERROR(INDEX([1]!_born[生没年],
MATCH(I2691,[1]!_born[作],0)),"")</f>
        <v/>
      </c>
      <c r="N2691" s="14" t="str" ph="1">
        <f>IFERROR(INDEX([1]!_born[生没年],
MATCH(K2691,[1]!_born[作],0)),"")</f>
        <v/>
      </c>
      <c r="O2691" s="13" t="s" ph="1">
        <v>9021</v>
      </c>
    </row>
    <row r="2692" spans="1:25" ht="22.5" customHeight="1" ph="1" x14ac:dyDescent="0.35">
      <c r="C2692" s="13" t="s" ph="1">
        <v>707</v>
      </c>
      <c r="G2692" s="13" t="s" ph="1">
        <v>1933</v>
      </c>
      <c r="H2692" s="13" t="s" ph="1">
        <v>2987</v>
      </c>
      <c r="I2692" s="13" t="s" ph="1">
        <v>9008</v>
      </c>
      <c r="M2692" s="14" t="str" ph="1">
        <f>IFERROR(INDEX([1]!_born[生没年],
MATCH(I2692,[1]!_born[作],0)),"")</f>
        <v/>
      </c>
      <c r="N2692" s="14" t="str" ph="1">
        <f>IFERROR(INDEX([1]!_born[生没年],
MATCH(K2692,[1]!_born[作],0)),"")</f>
        <v/>
      </c>
      <c r="O2692" s="13" t="s" ph="1">
        <v>9022</v>
      </c>
      <c r="T2692" s="13" t="s" ph="1">
        <v>3823</v>
      </c>
      <c r="U2692" s="16" t="s" ph="1">
        <v>706</v>
      </c>
      <c r="V2692" s="17" ph="1">
        <v>1100</v>
      </c>
    </row>
    <row r="2693" spans="1:25" ht="22.5" customHeight="1" ph="1" x14ac:dyDescent="0.35">
      <c r="A2693" s="106" t="s" ph="1">
        <v>2410</v>
      </c>
      <c r="B2693" s="5" t="s" ph="1">
        <v>1969</v>
      </c>
      <c r="C2693" s="13" t="s" ph="1">
        <v>707</v>
      </c>
      <c r="D2693" s="123" ph="1">
        <v>4</v>
      </c>
      <c r="E2693" s="123" t="s" ph="1">
        <v>3145</v>
      </c>
      <c r="G2693" s="13" t="s" ph="1">
        <v>1933</v>
      </c>
      <c r="H2693" s="13" t="s" ph="1">
        <v>2987</v>
      </c>
      <c r="I2693" s="15" t="s" ph="1">
        <v>9004</v>
      </c>
      <c r="M2693" s="14" t="str" ph="1">
        <f>IFERROR(INDEX([1]!_born[生没年],
MATCH(I2693,[1]!_born[作],0)),"")</f>
        <v/>
      </c>
      <c r="N2693" s="14" t="str" ph="1">
        <f>IFERROR(INDEX([1]!_born[生没年],
MATCH(K2693,[1]!_born[作],0)),"")</f>
        <v/>
      </c>
      <c r="O2693" s="13" t="s" ph="1">
        <v>9023</v>
      </c>
      <c r="S2693" s="13" t="s" ph="1">
        <v>2411</v>
      </c>
      <c r="T2693" s="13" t="s" ph="1">
        <v>3823</v>
      </c>
      <c r="U2693" s="16" ph="1">
        <v>39292</v>
      </c>
      <c r="V2693" s="17" ph="1">
        <f>838*1.05</f>
        <v>879.90000000000009</v>
      </c>
      <c r="W2693" s="17" ph="1">
        <f>838*1.05</f>
        <v>879.90000000000009</v>
      </c>
      <c r="X2693" s="13" t="s" ph="1">
        <v>3802</v>
      </c>
    </row>
    <row r="2694" spans="1:25" ht="22.5" customHeight="1" ph="1" x14ac:dyDescent="0.35">
      <c r="C2694" s="13" t="s" ph="1">
        <v>707</v>
      </c>
      <c r="D2694" s="123" ph="1">
        <v>2</v>
      </c>
      <c r="E2694" s="123" t="s" ph="1">
        <v>3144</v>
      </c>
      <c r="G2694" s="13" t="s" ph="1">
        <v>1933</v>
      </c>
      <c r="H2694" s="13" t="s" ph="1">
        <v>2987</v>
      </c>
      <c r="I2694" s="13" t="s" ph="1">
        <v>9024</v>
      </c>
      <c r="M2694" s="14" t="str" ph="1">
        <f>IFERROR(INDEX([1]!_born[生没年],
MATCH(I2694,[1]!_born[作],0)),"")</f>
        <v/>
      </c>
      <c r="N2694" s="14" t="str" ph="1">
        <f>IFERROR(INDEX([1]!_born[生没年],
MATCH(K2694,[1]!_born[作],0)),"")</f>
        <v/>
      </c>
      <c r="O2694" s="13" t="s" ph="1">
        <v>9025</v>
      </c>
      <c r="T2694" s="13" t="s" ph="1">
        <v>6071</v>
      </c>
      <c r="U2694" s="16" t="s" ph="1">
        <v>706</v>
      </c>
      <c r="V2694" s="17" ph="1">
        <v>1000</v>
      </c>
    </row>
    <row r="2695" spans="1:25" ht="22.5" customHeight="1" ph="1" x14ac:dyDescent="0.35">
      <c r="C2695" s="13" t="s" ph="1">
        <v>707</v>
      </c>
      <c r="G2695" s="13" t="s" ph="1">
        <v>1933</v>
      </c>
      <c r="H2695" s="13" t="s" ph="1">
        <v>2987</v>
      </c>
      <c r="I2695" s="13" t="s" ph="1">
        <v>9026</v>
      </c>
      <c r="M2695" s="14" t="str" ph="1">
        <f>IFERROR(INDEX([1]!_born[生没年],
MATCH(I2695,[1]!_born[作],0)),"")</f>
        <v/>
      </c>
      <c r="N2695" s="14" t="str" ph="1">
        <f>IFERROR(INDEX([1]!_born[生没年],
MATCH(K2695,[1]!_born[作],0)),"")</f>
        <v/>
      </c>
      <c r="O2695" s="13" t="s" ph="1">
        <v>9027</v>
      </c>
      <c r="T2695" s="13" t="s" ph="1">
        <v>4150</v>
      </c>
      <c r="U2695" s="16" t="s" ph="1">
        <v>706</v>
      </c>
      <c r="V2695" s="17" ph="1">
        <v>1100</v>
      </c>
    </row>
    <row r="2696" spans="1:25" ht="22.5" customHeight="1" ph="1" x14ac:dyDescent="0.35">
      <c r="C2696" s="13" t="s" ph="1">
        <v>707</v>
      </c>
      <c r="G2696" s="13" t="s" ph="1">
        <v>1933</v>
      </c>
      <c r="H2696" s="13" t="s" ph="1">
        <v>2987</v>
      </c>
      <c r="I2696" s="13" t="s" ph="1">
        <v>9026</v>
      </c>
      <c r="M2696" s="14" t="str" ph="1">
        <f>IFERROR(INDEX([1]!_born[生没年],
MATCH(I2696,[1]!_born[作],0)),"")</f>
        <v/>
      </c>
      <c r="N2696" s="14" t="str" ph="1">
        <f>IFERROR(INDEX([1]!_born[生没年],
MATCH(K2696,[1]!_born[作],0)),"")</f>
        <v/>
      </c>
      <c r="O2696" s="13" t="s" ph="1">
        <v>9028</v>
      </c>
      <c r="T2696" s="13" t="s" ph="1">
        <v>9019</v>
      </c>
      <c r="U2696" s="16" t="s" ph="1">
        <v>706</v>
      </c>
      <c r="V2696" s="17" ph="1">
        <v>980</v>
      </c>
    </row>
    <row r="2697" spans="1:25" ht="22.5" customHeight="1" ph="1" x14ac:dyDescent="0.35">
      <c r="C2697" s="13" t="s" ph="1">
        <v>707</v>
      </c>
      <c r="G2697" s="13" t="s" ph="1">
        <v>1933</v>
      </c>
      <c r="H2697" s="13" t="s" ph="1">
        <v>2987</v>
      </c>
      <c r="I2697" s="13" t="s" ph="1">
        <v>9029</v>
      </c>
      <c r="M2697" s="14" t="str" ph="1">
        <f>IFERROR(INDEX([1]!_born[生没年],
MATCH(I2697,[1]!_born[作],0)),"")</f>
        <v/>
      </c>
      <c r="N2697" s="14" t="str" ph="1">
        <f>IFERROR(INDEX([1]!_born[生没年],
MATCH(K2697,[1]!_born[作],0)),"")</f>
        <v/>
      </c>
      <c r="O2697" s="13" t="s" ph="1">
        <v>9030</v>
      </c>
    </row>
    <row r="2698" spans="1:25" ht="22.5" customHeight="1" ph="1" x14ac:dyDescent="0.35">
      <c r="A2698" s="106" t="s" ph="1">
        <v>1934</v>
      </c>
      <c r="C2698" s="13" t="s" ph="1">
        <v>707</v>
      </c>
      <c r="D2698" s="123" ph="1">
        <v>1</v>
      </c>
      <c r="E2698" s="123" t="s" ph="1">
        <v>3145</v>
      </c>
      <c r="G2698" s="13" t="s" ph="1">
        <v>1933</v>
      </c>
      <c r="H2698" s="13" t="s" ph="1">
        <v>716</v>
      </c>
      <c r="I2698" s="13" t="s" ph="1">
        <v>9031</v>
      </c>
      <c r="M2698" s="14" t="str" ph="1">
        <f>IFERROR(INDEX([1]!_born[生没年],
MATCH(I2698,[1]!_born[作],0)),"")</f>
        <v/>
      </c>
      <c r="N2698" s="14" t="str" ph="1">
        <f>IFERROR(INDEX([1]!_born[生没年],
MATCH(K2698,[1]!_born[作],0)),"")</f>
        <v/>
      </c>
      <c r="O2698" s="15" t="s" ph="1">
        <v>9032</v>
      </c>
      <c r="R2698" s="16" t="s" ph="1">
        <v>987</v>
      </c>
      <c r="T2698" s="13" t="s" ph="1">
        <v>3988</v>
      </c>
      <c r="X2698" s="5" t="s" ph="1">
        <v>5298</v>
      </c>
      <c r="Y2698" s="5" ph="1"/>
    </row>
    <row r="2699" spans="1:25" ht="22.5" customHeight="1" ph="1" x14ac:dyDescent="0.35">
      <c r="A2699" s="106" t="s" ph="1">
        <v>1935</v>
      </c>
      <c r="C2699" s="13" t="s" ph="1">
        <v>707</v>
      </c>
      <c r="D2699" s="123" ph="1">
        <v>1</v>
      </c>
      <c r="E2699" s="123" t="s" ph="1">
        <v>3144</v>
      </c>
      <c r="G2699" s="13" t="s" ph="1">
        <v>1933</v>
      </c>
      <c r="H2699" s="13" t="s" ph="1">
        <v>716</v>
      </c>
      <c r="I2699" s="13" t="s" ph="1">
        <v>9031</v>
      </c>
      <c r="M2699" s="14" t="str" ph="1">
        <f>IFERROR(INDEX([1]!_born[生没年],
MATCH(I2699,[1]!_born[作],0)),"")</f>
        <v/>
      </c>
      <c r="N2699" s="14" t="str" ph="1">
        <f>IFERROR(INDEX([1]!_born[生没年],
MATCH(K2699,[1]!_born[作],0)),"")</f>
        <v/>
      </c>
      <c r="O2699" s="15" t="s" ph="1">
        <v>9032</v>
      </c>
      <c r="R2699" s="16" t="s" ph="1">
        <v>743</v>
      </c>
      <c r="T2699" s="13" t="s" ph="1">
        <v>3988</v>
      </c>
      <c r="X2699" s="5" t="s" ph="1">
        <v>5298</v>
      </c>
      <c r="Y2699" s="5" ph="1"/>
    </row>
    <row r="2700" spans="1:25" ht="22.5" customHeight="1" ph="1" x14ac:dyDescent="0.35">
      <c r="A2700" s="106" t="s" ph="1">
        <v>3091</v>
      </c>
      <c r="C2700" s="13" t="s" ph="1">
        <v>25</v>
      </c>
      <c r="D2700" s="123" ph="1">
        <v>2</v>
      </c>
      <c r="E2700" s="123" t="s" ph="1">
        <v>3144</v>
      </c>
      <c r="G2700" s="13" t="s" ph="1">
        <v>699</v>
      </c>
      <c r="H2700" s="13" t="s" ph="1">
        <v>61</v>
      </c>
      <c r="I2700" s="13" t="s" ph="1">
        <v>9031</v>
      </c>
      <c r="M2700" s="14" t="str" ph="1">
        <f>IFERROR(INDEX([1]!_born[生没年],
MATCH(I2700,[1]!_born[作],0)),"")</f>
        <v/>
      </c>
      <c r="N2700" s="14" t="str" ph="1">
        <f>IFERROR(INDEX([1]!_born[生没年],
MATCH(K2700,[1]!_born[作],0)),"")</f>
        <v/>
      </c>
      <c r="O2700" s="13" t="s" ph="1">
        <v>9033</v>
      </c>
      <c r="R2700" s="16" ph="1">
        <v>37706</v>
      </c>
      <c r="S2700" s="13" t="s" ph="1">
        <v>9034</v>
      </c>
      <c r="T2700" s="13" t="s" ph="1">
        <v>3988</v>
      </c>
      <c r="U2700" s="16" t="s" ph="1">
        <v>3090</v>
      </c>
      <c r="Y2700" s="13" t="s" ph="1">
        <v>9035</v>
      </c>
    </row>
    <row r="2701" spans="1:25" ht="22.5" customHeight="1" ph="1" x14ac:dyDescent="0.35">
      <c r="C2701" s="13" t="s" ph="1">
        <v>707</v>
      </c>
      <c r="D2701" s="123" ph="1">
        <v>1</v>
      </c>
      <c r="E2701" s="123" ph="1">
        <v>3</v>
      </c>
      <c r="G2701" s="13" t="s" ph="1">
        <v>1910</v>
      </c>
      <c r="H2701" s="13" t="s" ph="1">
        <v>716</v>
      </c>
      <c r="I2701" s="13" t="s" ph="1">
        <v>9036</v>
      </c>
      <c r="M2701" s="14" t="str" ph="1">
        <f>IFERROR(INDEX([1]!_born[生没年],
MATCH(I2701,[1]!_born[作],0)),"")</f>
        <v/>
      </c>
      <c r="N2701" s="14" t="str" ph="1">
        <f>IFERROR(INDEX([1]!_born[生没年],
MATCH(K2701,[1]!_born[作],0)),"")</f>
        <v/>
      </c>
      <c r="O2701" s="13" t="s" ph="1">
        <v>9037</v>
      </c>
      <c r="T2701" s="13" t="s" ph="1">
        <v>9038</v>
      </c>
      <c r="Y2701" s="13" t="s" ph="1">
        <v>9039</v>
      </c>
    </row>
    <row r="2702" spans="1:25" ht="22.5" customHeight="1" ph="1" x14ac:dyDescent="0.35">
      <c r="C2702" s="13" t="s" ph="1">
        <v>707</v>
      </c>
      <c r="D2702" s="123" ph="1">
        <v>2</v>
      </c>
      <c r="E2702" s="123" ph="1">
        <v>3</v>
      </c>
      <c r="G2702" s="13" t="s" ph="1">
        <v>1910</v>
      </c>
      <c r="H2702" s="13" t="s" ph="1">
        <v>716</v>
      </c>
      <c r="I2702" s="13" t="s" ph="1">
        <v>9036</v>
      </c>
      <c r="M2702" s="14" t="str" ph="1">
        <f>IFERROR(INDEX([1]!_born[生没年],
MATCH(I2702,[1]!_born[作],0)),"")</f>
        <v/>
      </c>
      <c r="N2702" s="14" t="str" ph="1">
        <f>IFERROR(INDEX([1]!_born[生没年],
MATCH(K2702,[1]!_born[作],0)),"")</f>
        <v/>
      </c>
      <c r="O2702" s="13" t="s" ph="1">
        <v>9037</v>
      </c>
      <c r="T2702" s="13" t="s" ph="1">
        <v>9038</v>
      </c>
      <c r="Y2702" s="13" t="s" ph="1">
        <v>9039</v>
      </c>
    </row>
    <row r="2703" spans="1:25" s="19" customFormat="1" ht="22.5" customHeight="1" ph="1" x14ac:dyDescent="0.35">
      <c r="A2703" s="106" ph="1"/>
      <c r="B2703" s="5" ph="1"/>
      <c r="C2703" s="13" t="s" ph="1">
        <v>707</v>
      </c>
      <c r="D2703" s="123" ph="1">
        <v>3</v>
      </c>
      <c r="E2703" s="123" ph="1">
        <v>3</v>
      </c>
      <c r="F2703" s="13" ph="1"/>
      <c r="G2703" s="13" t="s" ph="1">
        <v>1910</v>
      </c>
      <c r="H2703" s="13" t="s" ph="1">
        <v>716</v>
      </c>
      <c r="I2703" s="13" t="s" ph="1">
        <v>9036</v>
      </c>
      <c r="J2703" s="13" ph="1"/>
      <c r="K2703" s="13" ph="1"/>
      <c r="L2703" s="13" ph="1"/>
      <c r="M2703" s="14" t="str" ph="1">
        <f>IFERROR(INDEX([1]!_born[生没年],
MATCH(I2703,[1]!_born[作],0)),"")</f>
        <v/>
      </c>
      <c r="N2703" s="14" t="str" ph="1">
        <f>IFERROR(INDEX([1]!_born[生没年],
MATCH(K2703,[1]!_born[作],0)),"")</f>
        <v/>
      </c>
      <c r="O2703" s="13" t="s" ph="1">
        <v>9037</v>
      </c>
      <c r="P2703" s="13" ph="1"/>
      <c r="Q2703" s="13" ph="1"/>
      <c r="R2703" s="16" ph="1"/>
      <c r="S2703" s="13" ph="1"/>
      <c r="T2703" s="13" t="s" ph="1">
        <v>9038</v>
      </c>
      <c r="U2703" s="16" ph="1"/>
      <c r="V2703" s="17" ph="1"/>
      <c r="W2703" s="17" ph="1"/>
      <c r="X2703" s="13" ph="1"/>
      <c r="Y2703" s="13" t="s" ph="1">
        <v>9039</v>
      </c>
    </row>
    <row r="2704" spans="1:25" s="19" customFormat="1" ht="22.5" customHeight="1" ph="1" x14ac:dyDescent="0.35">
      <c r="A2704" s="107" ph="1"/>
      <c r="B2704" s="18" ph="1"/>
      <c r="C2704" s="19" t="s" ph="1">
        <v>707</v>
      </c>
      <c r="D2704" s="123" ph="1"/>
      <c r="E2704" s="124" ph="1"/>
      <c r="G2704" s="19" t="s" ph="1">
        <v>1910</v>
      </c>
      <c r="H2704" s="19" t="s" ph="1">
        <v>716</v>
      </c>
      <c r="I2704" s="19" t="s" ph="1">
        <v>9040</v>
      </c>
      <c r="M2704" s="27" t="str" ph="1">
        <f>IFERROR(INDEX([1]!_born[生没年],
MATCH(I2704,[1]!_born[作],0)),"")</f>
        <v/>
      </c>
      <c r="N2704" s="27" t="str" ph="1">
        <f>IFERROR(INDEX([1]!_born[生没年],
MATCH(K2704,[1]!_born[作],0)),"")</f>
        <v/>
      </c>
      <c r="O2704" s="19" t="s" ph="1">
        <v>9041</v>
      </c>
      <c r="R2704" s="20" ph="1"/>
      <c r="T2704" s="19" t="s" ph="1">
        <v>9042</v>
      </c>
      <c r="U2704" s="20" ph="1">
        <v>36797</v>
      </c>
      <c r="V2704" s="21" ph="1">
        <v>3675</v>
      </c>
      <c r="W2704" s="21" ph="1">
        <v>3675</v>
      </c>
      <c r="Y2704" s="19" t="s" ph="1">
        <v>1965</v>
      </c>
    </row>
    <row r="2705" spans="1:25" s="19" customFormat="1" ht="22.5" customHeight="1" ph="1" x14ac:dyDescent="0.35">
      <c r="A2705" s="106" t="s" ph="1">
        <v>2953</v>
      </c>
      <c r="B2705" s="5" ph="1"/>
      <c r="C2705" s="13" t="s" ph="1">
        <v>25</v>
      </c>
      <c r="D2705" s="123" ph="1">
        <v>1</v>
      </c>
      <c r="E2705" s="123" ph="1">
        <v>2</v>
      </c>
      <c r="F2705" s="13" ph="1"/>
      <c r="G2705" s="13" t="s" ph="1">
        <v>699</v>
      </c>
      <c r="H2705" s="13" t="s" ph="1">
        <v>2987</v>
      </c>
      <c r="I2705" s="13" t="s" ph="1">
        <v>9043</v>
      </c>
      <c r="J2705" s="13" ph="1"/>
      <c r="K2705" s="13" ph="1"/>
      <c r="L2705" s="13" ph="1"/>
      <c r="M2705" s="14" t="str" ph="1">
        <f>IFERROR(INDEX([1]!_born[生没年],
MATCH(I2705,[1]!_born[作],0)),"")</f>
        <v/>
      </c>
      <c r="N2705" s="14" t="str" ph="1">
        <f>IFERROR(INDEX([1]!_born[生没年],
MATCH(K2705,[1]!_born[作],0)),"")</f>
        <v/>
      </c>
      <c r="O2705" s="13" t="s" ph="1">
        <v>9044</v>
      </c>
      <c r="P2705" s="13" ph="1"/>
      <c r="Q2705" s="13" ph="1"/>
      <c r="R2705" s="16" ph="1"/>
      <c r="S2705" s="13" ph="1"/>
      <c r="T2705" s="13" t="s" ph="1">
        <v>9045</v>
      </c>
      <c r="U2705" s="16" ph="1">
        <v>42899</v>
      </c>
      <c r="V2705" s="17" ph="1">
        <f>1748*1.03</f>
        <v>1800.44</v>
      </c>
      <c r="W2705" s="17" ph="1">
        <f>(1500+756)/2</f>
        <v>1128</v>
      </c>
      <c r="X2705" s="13" ph="1"/>
      <c r="Y2705" s="13" ph="1"/>
    </row>
    <row r="2706" spans="1:25" s="19" customFormat="1" ht="22.5" customHeight="1" ph="1" x14ac:dyDescent="0.35">
      <c r="A2706" s="106" t="s" ph="1">
        <v>2954</v>
      </c>
      <c r="B2706" s="5" ph="1"/>
      <c r="C2706" s="13" t="s" ph="1">
        <v>25</v>
      </c>
      <c r="D2706" s="123" ph="1">
        <v>2</v>
      </c>
      <c r="E2706" s="123" ph="1">
        <v>2</v>
      </c>
      <c r="F2706" s="13" ph="1"/>
      <c r="G2706" s="13" t="s" ph="1">
        <v>699</v>
      </c>
      <c r="H2706" s="13" t="s" ph="1">
        <v>2987</v>
      </c>
      <c r="I2706" s="13" t="s" ph="1">
        <v>9043</v>
      </c>
      <c r="J2706" s="13" ph="1"/>
      <c r="K2706" s="13" ph="1"/>
      <c r="L2706" s="13" ph="1"/>
      <c r="M2706" s="14" t="str" ph="1">
        <f>IFERROR(INDEX([1]!_born[生没年],
MATCH(I2706,[1]!_born[作],0)),"")</f>
        <v/>
      </c>
      <c r="N2706" s="14" t="str" ph="1">
        <f>IFERROR(INDEX([1]!_born[生没年],
MATCH(K2706,[1]!_born[作],0)),"")</f>
        <v/>
      </c>
      <c r="O2706" s="13" t="s" ph="1">
        <v>9046</v>
      </c>
      <c r="P2706" s="13" ph="1"/>
      <c r="Q2706" s="13" ph="1"/>
      <c r="R2706" s="16" ph="1"/>
      <c r="S2706" s="13" ph="1"/>
      <c r="T2706" s="13" t="s" ph="1">
        <v>9045</v>
      </c>
      <c r="U2706" s="16" ph="1">
        <v>42899</v>
      </c>
      <c r="V2706" s="17" ph="1">
        <f>1748*1.03</f>
        <v>1800.44</v>
      </c>
      <c r="W2706" s="17" ph="1">
        <f>(1500+756)/2</f>
        <v>1128</v>
      </c>
      <c r="X2706" s="13" ph="1"/>
      <c r="Y2706" s="13" ph="1"/>
    </row>
    <row r="2707" spans="1:25" s="19" customFormat="1" ht="22.5" customHeight="1" ph="1" x14ac:dyDescent="0.35">
      <c r="A2707" s="106" ph="1"/>
      <c r="B2707" s="5" ph="1"/>
      <c r="C2707" s="13" t="s" ph="1">
        <v>707</v>
      </c>
      <c r="D2707" s="123" ph="1"/>
      <c r="E2707" s="123" ph="1"/>
      <c r="F2707" s="13" ph="1"/>
      <c r="G2707" s="13" t="s" ph="1">
        <v>1933</v>
      </c>
      <c r="H2707" s="13" t="s" ph="1">
        <v>2987</v>
      </c>
      <c r="I2707" s="13" t="s" ph="1">
        <v>9047</v>
      </c>
      <c r="J2707" s="13" ph="1"/>
      <c r="K2707" s="13" ph="1"/>
      <c r="L2707" s="13" ph="1"/>
      <c r="M2707" s="14" t="str" ph="1">
        <f>IFERROR(INDEX([1]!_born[生没年],
MATCH(I2707,[1]!_born[作],0)),"")</f>
        <v/>
      </c>
      <c r="N2707" s="14" t="str" ph="1">
        <f>IFERROR(INDEX([1]!_born[生没年],
MATCH(K2707,[1]!_born[作],0)),"")</f>
        <v/>
      </c>
      <c r="O2707" s="15" t="s" ph="1">
        <v>9048</v>
      </c>
      <c r="P2707" s="13" ph="1"/>
      <c r="Q2707" s="13" ph="1"/>
      <c r="R2707" s="16" ph="1"/>
      <c r="S2707" s="13" ph="1"/>
      <c r="T2707" s="13" ph="1"/>
      <c r="U2707" s="16" t="s" ph="1">
        <v>706</v>
      </c>
      <c r="V2707" s="17" ph="1"/>
      <c r="W2707" s="17" ph="1"/>
      <c r="X2707" s="13" ph="1"/>
      <c r="Y2707" s="13" ph="1"/>
    </row>
    <row r="2708" spans="1:25" s="19" customFormat="1" ht="22.5" customHeight="1" ph="1" x14ac:dyDescent="0.35">
      <c r="A2708" s="106" ph="1"/>
      <c r="B2708" s="5" ph="1"/>
      <c r="C2708" s="13" t="s" ph="1">
        <v>707</v>
      </c>
      <c r="D2708" s="123" ph="1"/>
      <c r="E2708" s="123" ph="1"/>
      <c r="F2708" s="13" ph="1"/>
      <c r="G2708" s="13" t="s" ph="1">
        <v>1933</v>
      </c>
      <c r="H2708" s="13" t="s" ph="1">
        <v>2987</v>
      </c>
      <c r="I2708" s="13" t="s" ph="1">
        <v>9047</v>
      </c>
      <c r="J2708" s="13" ph="1"/>
      <c r="K2708" s="13" ph="1"/>
      <c r="L2708" s="13" ph="1"/>
      <c r="M2708" s="14" t="str" ph="1">
        <f>IFERROR(INDEX([1]!_born[生没年],
MATCH(I2708,[1]!_born[作],0)),"")</f>
        <v/>
      </c>
      <c r="N2708" s="14" t="str" ph="1">
        <f>IFERROR(INDEX([1]!_born[生没年],
MATCH(K2708,[1]!_born[作],0)),"")</f>
        <v/>
      </c>
      <c r="O2708" s="13" t="s" ph="1">
        <v>9049</v>
      </c>
      <c r="P2708" s="13" ph="1"/>
      <c r="Q2708" s="13" ph="1"/>
      <c r="R2708" s="16" t="s" ph="1">
        <v>954</v>
      </c>
      <c r="S2708" s="13" ph="1"/>
      <c r="T2708" s="13" t="s" ph="1">
        <v>3806</v>
      </c>
      <c r="U2708" s="16" t="s" ph="1">
        <v>706</v>
      </c>
      <c r="V2708" s="17" ph="1">
        <v>850</v>
      </c>
      <c r="W2708" s="17" ph="1"/>
      <c r="X2708" s="13" ph="1"/>
      <c r="Y2708" s="13" ph="1"/>
    </row>
    <row r="2709" spans="1:25" s="19" customFormat="1" ht="22.5" customHeight="1" ph="1" x14ac:dyDescent="0.35">
      <c r="A2709" s="107" ph="1"/>
      <c r="B2709" s="18" ph="1"/>
      <c r="C2709" s="19" t="s" ph="1">
        <v>707</v>
      </c>
      <c r="D2709" s="124" ph="1">
        <v>2</v>
      </c>
      <c r="E2709" s="124" t="s" ph="1">
        <v>3145</v>
      </c>
      <c r="G2709" s="19" t="s" ph="1">
        <v>1933</v>
      </c>
      <c r="H2709" s="19" t="s" ph="1">
        <v>2987</v>
      </c>
      <c r="I2709" s="19" t="s" ph="1">
        <v>9050</v>
      </c>
      <c r="M2709" s="27" t="str" ph="1">
        <f>IFERROR(INDEX([1]!_born[生没年],
MATCH(I2709,[1]!_born[作],0)),"")</f>
        <v/>
      </c>
      <c r="N2709" s="27" t="str" ph="1">
        <f>IFERROR(INDEX([1]!_born[生没年],
MATCH(K2709,[1]!_born[作],0)),"")</f>
        <v/>
      </c>
      <c r="O2709" s="19" t="s" ph="1">
        <v>9051</v>
      </c>
      <c r="R2709" s="20" ph="1"/>
      <c r="S2709" s="19" t="s" ph="1">
        <v>9052</v>
      </c>
      <c r="T2709" s="19" t="s" ph="1">
        <v>9053</v>
      </c>
      <c r="U2709" s="20" t="s" ph="1">
        <v>706</v>
      </c>
      <c r="V2709" s="21" ph="1">
        <v>600</v>
      </c>
      <c r="W2709" s="21" ph="1"/>
      <c r="Y2709" s="19" t="s" ph="1">
        <v>4617</v>
      </c>
    </row>
    <row r="2710" spans="1:25" ht="22.5" customHeight="1" ph="1" x14ac:dyDescent="0.35">
      <c r="C2710" s="13" t="s" ph="1">
        <v>707</v>
      </c>
      <c r="D2710" s="123" ph="1">
        <v>1</v>
      </c>
      <c r="E2710" s="123" ph="1">
        <v>3</v>
      </c>
      <c r="G2710" s="13" t="s" ph="1">
        <v>1933</v>
      </c>
      <c r="H2710" s="13" t="s" ph="1">
        <v>2987</v>
      </c>
      <c r="I2710" s="13" t="s" ph="1">
        <v>9054</v>
      </c>
      <c r="M2710" s="14" t="str" ph="1">
        <f>IFERROR(INDEX([1]!_born[生没年],
MATCH(I2710,[1]!_born[作],0)),"")</f>
        <v/>
      </c>
      <c r="N2710" s="14" t="str" ph="1">
        <f>IFERROR(INDEX([1]!_born[生没年],
MATCH(K2710,[1]!_born[作],0)),"")</f>
        <v/>
      </c>
      <c r="O2710" s="13" t="s" ph="1">
        <v>9055</v>
      </c>
      <c r="T2710" s="13" t="s" ph="1">
        <v>419</v>
      </c>
      <c r="V2710" s="17" ph="1">
        <f>480+480+520</f>
        <v>1480</v>
      </c>
      <c r="W2710" s="17"/>
      <c r="X2710" s="5" ph="1"/>
      <c r="Y2710" s="5" t="s" ph="1">
        <v>3635</v>
      </c>
    </row>
    <row r="2711" spans="1:25" ht="22.5" customHeight="1" ph="1" x14ac:dyDescent="0.35">
      <c r="C2711" s="13" t="s" ph="1">
        <v>707</v>
      </c>
      <c r="D2711" s="123" ph="1">
        <v>2</v>
      </c>
      <c r="E2711" s="123" ph="1">
        <v>3</v>
      </c>
      <c r="G2711" s="13" t="s" ph="1">
        <v>1933</v>
      </c>
      <c r="H2711" s="13" t="s" ph="1">
        <v>2987</v>
      </c>
      <c r="I2711" s="13" t="s" ph="1">
        <v>9054</v>
      </c>
      <c r="M2711" s="14" t="str" ph="1">
        <f>IFERROR(INDEX([1]!_born[生没年],
MATCH(I2711,[1]!_born[作],0)),"")</f>
        <v/>
      </c>
      <c r="N2711" s="14" t="str" ph="1">
        <f>IFERROR(INDEX([1]!_born[生没年],
MATCH(K2711,[1]!_born[作],0)),"")</f>
        <v/>
      </c>
      <c r="O2711" s="13" t="s" ph="1">
        <v>9055</v>
      </c>
      <c r="T2711" s="13" t="s" ph="1">
        <v>419</v>
      </c>
      <c r="V2711" s="17" ph="1">
        <f>480+480+520</f>
        <v>1480</v>
      </c>
      <c r="W2711" s="17"/>
      <c r="X2711" s="5" ph="1"/>
      <c r="Y2711" s="5" t="s" ph="1">
        <v>3635</v>
      </c>
    </row>
    <row r="2712" spans="1:25" ht="22.5" customHeight="1" ph="1" x14ac:dyDescent="0.35">
      <c r="C2712" s="13" t="s" ph="1">
        <v>707</v>
      </c>
      <c r="D2712" s="123" ph="1">
        <v>3</v>
      </c>
      <c r="E2712" s="123" ph="1">
        <v>3</v>
      </c>
      <c r="G2712" s="13" t="s" ph="1">
        <v>1933</v>
      </c>
      <c r="H2712" s="13" t="s" ph="1">
        <v>2987</v>
      </c>
      <c r="I2712" s="13" t="s" ph="1">
        <v>9054</v>
      </c>
      <c r="M2712" s="14" t="str" ph="1">
        <f>IFERROR(INDEX([1]!_born[生没年],
MATCH(I2712,[1]!_born[作],0)),"")</f>
        <v/>
      </c>
      <c r="N2712" s="14" t="str" ph="1">
        <f>IFERROR(INDEX([1]!_born[生没年],
MATCH(K2712,[1]!_born[作],0)),"")</f>
        <v/>
      </c>
      <c r="O2712" s="13" t="s" ph="1">
        <v>9055</v>
      </c>
      <c r="T2712" s="13" t="s" ph="1">
        <v>419</v>
      </c>
      <c r="V2712" s="17" ph="1">
        <f>480+480+520</f>
        <v>1480</v>
      </c>
      <c r="W2712" s="17"/>
      <c r="X2712" s="5" ph="1"/>
      <c r="Y2712" s="5" t="s" ph="1">
        <v>3635</v>
      </c>
    </row>
    <row r="2713" spans="1:25" ht="22.5" customHeight="1" ph="1" x14ac:dyDescent="0.35">
      <c r="C2713" s="13" t="s" ph="1">
        <v>707</v>
      </c>
      <c r="G2713" s="13" t="s" ph="1">
        <v>1910</v>
      </c>
      <c r="H2713" s="13" t="s" ph="1">
        <v>2987</v>
      </c>
      <c r="I2713" s="13" t="s" ph="1">
        <v>9056</v>
      </c>
      <c r="M2713" s="14" t="str" ph="1">
        <f>IFERROR(INDEX([1]!_born[生没年],
MATCH(I2713,[1]!_born[作],0)),"")</f>
        <v/>
      </c>
      <c r="N2713" s="14" t="str" ph="1">
        <f>IFERROR(INDEX([1]!_born[生没年],
MATCH(K2713,[1]!_born[作],0)),"")</f>
        <v/>
      </c>
      <c r="O2713" s="13" t="s" ph="1">
        <v>9057</v>
      </c>
      <c r="R2713" s="16" t="s" ph="1">
        <v>966</v>
      </c>
      <c r="S2713" s="13" t="s" ph="1">
        <v>9058</v>
      </c>
      <c r="T2713" s="13" t="s" ph="1">
        <v>4603</v>
      </c>
      <c r="U2713" s="16" ph="1">
        <v>36540</v>
      </c>
      <c r="V2713" s="17" ph="1">
        <f>1800*1.05</f>
        <v>1890</v>
      </c>
      <c r="W2713" s="17" ph="1">
        <v>1450</v>
      </c>
      <c r="X2713" s="13" t="s" ph="1">
        <v>9059</v>
      </c>
    </row>
    <row r="2714" spans="1:25" ht="22.5" customHeight="1" ph="1" x14ac:dyDescent="0.35">
      <c r="C2714" s="13" t="s" ph="1">
        <v>707</v>
      </c>
      <c r="G2714" s="13" t="s" ph="1">
        <v>1933</v>
      </c>
      <c r="H2714" s="13" t="s" ph="1">
        <v>2987</v>
      </c>
      <c r="I2714" s="13" t="s" ph="1">
        <v>6473</v>
      </c>
      <c r="M2714" s="14" t="str" ph="1">
        <f>IFERROR(INDEX([1]!_born[生没年],
MATCH(I2714,[1]!_born[作],0)),"")</f>
        <v/>
      </c>
      <c r="N2714" s="14" t="str" ph="1">
        <f>IFERROR(INDEX([1]!_born[生没年],
MATCH(K2714,[1]!_born[作],0)),"")</f>
        <v/>
      </c>
      <c r="O2714" s="13" t="s" ph="1">
        <v>9060</v>
      </c>
      <c r="R2714" s="16" t="s" ph="1">
        <v>802</v>
      </c>
      <c r="S2714" s="13" t="s" ph="1">
        <v>9061</v>
      </c>
      <c r="T2714" s="13" t="s" ph="1">
        <v>5041</v>
      </c>
      <c r="U2714" s="16" t="s" ph="1">
        <v>706</v>
      </c>
      <c r="V2714" s="17" ph="1">
        <v>480</v>
      </c>
      <c r="W2714" s="17" ph="1">
        <v>0</v>
      </c>
      <c r="X2714" s="13" t="s" ph="1">
        <v>9062</v>
      </c>
    </row>
    <row r="2715" spans="1:25" ht="22.5" customHeight="1" ph="1" x14ac:dyDescent="0.35">
      <c r="C2715" s="13" t="s" ph="1">
        <v>707</v>
      </c>
      <c r="G2715" s="13" t="s" ph="1">
        <v>1933</v>
      </c>
      <c r="H2715" s="13" t="s" ph="1">
        <v>2987</v>
      </c>
      <c r="I2715" s="13" t="s" ph="1">
        <v>6473</v>
      </c>
      <c r="M2715" s="14" t="str" ph="1">
        <f>IFERROR(INDEX([1]!_born[生没年],
MATCH(I2715,[1]!_born[作],0)),"")</f>
        <v/>
      </c>
      <c r="N2715" s="14" t="str" ph="1">
        <f>IFERROR(INDEX([1]!_born[生没年],
MATCH(K2715,[1]!_born[作],0)),"")</f>
        <v/>
      </c>
      <c r="O2715" s="13" t="s" ph="1">
        <v>9063</v>
      </c>
      <c r="R2715" s="16" t="s" ph="1">
        <v>729</v>
      </c>
      <c r="S2715" s="13" t="s" ph="1">
        <v>9061</v>
      </c>
      <c r="T2715" s="13" t="s" ph="1">
        <v>5041</v>
      </c>
      <c r="U2715" s="16" t="s" ph="1">
        <v>706</v>
      </c>
      <c r="V2715" s="17" ph="1">
        <v>480</v>
      </c>
      <c r="W2715" s="17" ph="1">
        <v>0</v>
      </c>
      <c r="X2715" s="13" t="s" ph="1">
        <v>9062</v>
      </c>
    </row>
    <row r="2716" spans="1:25" ht="22.5" customHeight="1" ph="1" x14ac:dyDescent="0.35">
      <c r="C2716" s="13" t="s" ph="1">
        <v>707</v>
      </c>
      <c r="G2716" s="13" t="s" ph="1">
        <v>1933</v>
      </c>
      <c r="H2716" s="13" t="s" ph="1">
        <v>2987</v>
      </c>
      <c r="I2716" s="13" t="s" ph="1">
        <v>6473</v>
      </c>
      <c r="M2716" s="14" t="str" ph="1">
        <f>IFERROR(INDEX([1]!_born[生没年],
MATCH(I2716,[1]!_born[作],0)),"")</f>
        <v/>
      </c>
      <c r="N2716" s="14" t="str" ph="1">
        <f>IFERROR(INDEX([1]!_born[生没年],
MATCH(K2716,[1]!_born[作],0)),"")</f>
        <v/>
      </c>
      <c r="O2716" s="13" t="s" ph="1">
        <v>9064</v>
      </c>
      <c r="R2716" s="16" t="s" ph="1">
        <v>774</v>
      </c>
      <c r="S2716" s="13" t="s" ph="1">
        <v>9061</v>
      </c>
      <c r="T2716" s="13" t="s" ph="1">
        <v>5041</v>
      </c>
      <c r="U2716" s="16" t="s" ph="1">
        <v>706</v>
      </c>
      <c r="V2716" s="17" ph="1">
        <v>480</v>
      </c>
      <c r="W2716" s="17" ph="1">
        <v>0</v>
      </c>
      <c r="X2716" s="13" t="s" ph="1">
        <v>9062</v>
      </c>
    </row>
    <row r="2717" spans="1:25" ht="22.5" customHeight="1" ph="1" x14ac:dyDescent="0.35">
      <c r="C2717" s="13" t="s" ph="1">
        <v>707</v>
      </c>
      <c r="G2717" s="13" t="s" ph="1">
        <v>1933</v>
      </c>
      <c r="H2717" s="13" t="s" ph="1">
        <v>2987</v>
      </c>
      <c r="I2717" s="13" t="s" ph="1">
        <v>6473</v>
      </c>
      <c r="M2717" s="14" t="str" ph="1">
        <f>IFERROR(INDEX([1]!_born[生没年],
MATCH(I2717,[1]!_born[作],0)),"")</f>
        <v/>
      </c>
      <c r="N2717" s="14" t="str" ph="1">
        <f>IFERROR(INDEX([1]!_born[生没年],
MATCH(K2717,[1]!_born[作],0)),"")</f>
        <v/>
      </c>
      <c r="O2717" s="13" t="s" ph="1">
        <v>9065</v>
      </c>
      <c r="R2717" s="16" t="s" ph="1">
        <v>785</v>
      </c>
      <c r="S2717" s="13" t="s" ph="1">
        <v>9066</v>
      </c>
      <c r="T2717" s="13" t="s" ph="1">
        <v>9067</v>
      </c>
      <c r="U2717" s="16" t="s" ph="1">
        <v>706</v>
      </c>
      <c r="V2717" s="17" ph="1">
        <v>240</v>
      </c>
      <c r="W2717" s="17" ph="1">
        <v>0</v>
      </c>
      <c r="X2717" s="13" t="s" ph="1">
        <v>9062</v>
      </c>
    </row>
    <row r="2718" spans="1:25" ht="22.5" customHeight="1" ph="1" x14ac:dyDescent="0.35">
      <c r="C2718" s="13" t="s" ph="1">
        <v>707</v>
      </c>
      <c r="G2718" s="13" t="s" ph="1">
        <v>1933</v>
      </c>
      <c r="H2718" s="13" t="s" ph="1">
        <v>2987</v>
      </c>
      <c r="I2718" s="13" t="s" ph="1">
        <v>6473</v>
      </c>
      <c r="M2718" s="14" t="str" ph="1">
        <f>IFERROR(INDEX([1]!_born[生没年],
MATCH(I2718,[1]!_born[作],0)),"")</f>
        <v/>
      </c>
      <c r="N2718" s="14" t="str" ph="1">
        <f>IFERROR(INDEX([1]!_born[生没年],
MATCH(K2718,[1]!_born[作],0)),"")</f>
        <v/>
      </c>
      <c r="O2718" s="13" t="s" ph="1">
        <v>9068</v>
      </c>
      <c r="R2718" s="16" t="s" ph="1">
        <v>802</v>
      </c>
      <c r="S2718" s="13" t="s" ph="1">
        <v>9061</v>
      </c>
      <c r="T2718" s="13" t="s" ph="1">
        <v>5041</v>
      </c>
      <c r="U2718" s="16" t="s" ph="1">
        <v>706</v>
      </c>
      <c r="V2718" s="17" ph="1">
        <v>480</v>
      </c>
      <c r="W2718" s="17" ph="1">
        <v>0</v>
      </c>
      <c r="X2718" s="13" t="s" ph="1">
        <v>9062</v>
      </c>
    </row>
    <row r="2719" spans="1:25" ht="22.5" customHeight="1" ph="1" x14ac:dyDescent="0.35">
      <c r="A2719" s="106" t="s" ph="1">
        <v>2429</v>
      </c>
      <c r="B2719" s="5" t="s" ph="1">
        <v>1941</v>
      </c>
      <c r="C2719" s="13" t="s" ph="1">
        <v>707</v>
      </c>
      <c r="G2719" s="13" t="s" ph="1">
        <v>1933</v>
      </c>
      <c r="H2719" s="13" t="s" ph="1">
        <v>2987</v>
      </c>
      <c r="I2719" s="13" t="s" ph="1">
        <v>6473</v>
      </c>
      <c r="M2719" s="14" t="str" ph="1">
        <f>IFERROR(INDEX([1]!_born[生没年],
MATCH(I2719,[1]!_born[作],0)),"")</f>
        <v/>
      </c>
      <c r="N2719" s="14" t="str" ph="1">
        <f>IFERROR(INDEX([1]!_born[生没年],
MATCH(K2719,[1]!_born[作],0)),"")</f>
        <v/>
      </c>
      <c r="O2719" s="13" t="s" ph="1">
        <v>9069</v>
      </c>
      <c r="R2719" s="16" t="s" ph="1">
        <v>919</v>
      </c>
      <c r="T2719" s="13" t="s" ph="1">
        <v>5041</v>
      </c>
      <c r="U2719" s="16" ph="1">
        <v>39292</v>
      </c>
      <c r="V2719" s="17" ph="1">
        <f>952*1.05</f>
        <v>999.6</v>
      </c>
      <c r="W2719" s="17" ph="1">
        <f>952*1.05</f>
        <v>999.6</v>
      </c>
      <c r="X2719" s="13" t="s" ph="1">
        <v>3802</v>
      </c>
    </row>
    <row r="2720" spans="1:25" ht="22.5" customHeight="1" ph="1" x14ac:dyDescent="0.35">
      <c r="A2720" s="106" t="s" ph="1">
        <v>2430</v>
      </c>
      <c r="B2720" s="5" t="s" ph="1">
        <v>1969</v>
      </c>
      <c r="C2720" s="13" t="s" ph="1">
        <v>707</v>
      </c>
      <c r="G2720" s="13" t="s" ph="1">
        <v>1933</v>
      </c>
      <c r="H2720" s="13" t="s" ph="1">
        <v>2987</v>
      </c>
      <c r="I2720" s="13" t="s" ph="1">
        <v>6473</v>
      </c>
      <c r="M2720" s="14" t="str" ph="1">
        <f>IFERROR(INDEX([1]!_born[生没年],
MATCH(I2720,[1]!_born[作],0)),"")</f>
        <v/>
      </c>
      <c r="N2720" s="14" t="str" ph="1">
        <f>IFERROR(INDEX([1]!_born[生没年],
MATCH(K2720,[1]!_born[作],0)),"")</f>
        <v/>
      </c>
      <c r="O2720" s="13" t="s" ph="1">
        <v>9069</v>
      </c>
      <c r="R2720" s="16" t="s" ph="1">
        <v>919</v>
      </c>
      <c r="T2720" s="13" t="s" ph="1">
        <v>4110</v>
      </c>
      <c r="U2720" s="16" t="s" ph="1">
        <v>2431</v>
      </c>
      <c r="V2720" s="17" ph="1">
        <v>980</v>
      </c>
      <c r="W2720" s="17" ph="1">
        <v>500</v>
      </c>
      <c r="X2720" s="13" t="s" ph="1">
        <v>9070</v>
      </c>
      <c r="Y2720" s="13" t="s" ph="1">
        <v>9071</v>
      </c>
    </row>
    <row r="2721" spans="1:25" ht="22.5" customHeight="1" ph="1" x14ac:dyDescent="0.35">
      <c r="B2721" s="5" t="s" ph="1">
        <v>1941</v>
      </c>
      <c r="C2721" s="13" t="s" ph="1">
        <v>707</v>
      </c>
      <c r="D2721" s="123" ph="1">
        <v>1</v>
      </c>
      <c r="E2721" s="123" t="s" ph="1">
        <v>3145</v>
      </c>
      <c r="G2721" s="13" t="s" ph="1">
        <v>1933</v>
      </c>
      <c r="H2721" s="13" t="s" ph="1">
        <v>2987</v>
      </c>
      <c r="I2721" s="13" t="s" ph="1">
        <v>9072</v>
      </c>
      <c r="M2721" s="14" t="str" ph="1">
        <f>IFERROR(INDEX([1]!_born[生没年],
MATCH(I2721,[1]!_born[作],0)),"")</f>
        <v/>
      </c>
      <c r="N2721" s="14" t="str" ph="1">
        <f>IFERROR(INDEX([1]!_born[生没年],
MATCH(K2721,[1]!_born[作],0)),"")</f>
        <v/>
      </c>
      <c r="O2721" s="13" t="s" ph="1">
        <v>9073</v>
      </c>
      <c r="S2721" s="13" t="s" ph="1">
        <v>9074</v>
      </c>
      <c r="T2721" s="13" t="s" ph="1">
        <v>3926</v>
      </c>
      <c r="U2721" s="16" t="s" ph="1">
        <v>1070</v>
      </c>
      <c r="V2721" s="17" ph="1">
        <f>590*1.05</f>
        <v>619.5</v>
      </c>
      <c r="X2721" s="13" t="s" ph="1">
        <v>3802</v>
      </c>
    </row>
    <row r="2722" spans="1:25" s="19" customFormat="1" ht="22.5" customHeight="1" ph="1" x14ac:dyDescent="0.35">
      <c r="A2722" s="106" t="s" ph="1">
        <v>1942</v>
      </c>
      <c r="B2722" s="5" t="s" ph="1">
        <v>1941</v>
      </c>
      <c r="C2722" s="13" t="s" ph="1">
        <v>707</v>
      </c>
      <c r="D2722" s="123" ph="1">
        <v>2</v>
      </c>
      <c r="E2722" s="123" t="s" ph="1">
        <v>3145</v>
      </c>
      <c r="F2722" s="13" ph="1"/>
      <c r="G2722" s="13" t="s" ph="1">
        <v>1933</v>
      </c>
      <c r="H2722" s="13" t="s" ph="1">
        <v>2987</v>
      </c>
      <c r="I2722" s="13" t="s" ph="1">
        <v>9072</v>
      </c>
      <c r="J2722" s="13" ph="1"/>
      <c r="K2722" s="13" ph="1"/>
      <c r="L2722" s="13" ph="1"/>
      <c r="M2722" s="14" t="str" ph="1">
        <f>IFERROR(INDEX([1]!_born[生没年],
MATCH(I2722,[1]!_born[作],0)),"")</f>
        <v/>
      </c>
      <c r="N2722" s="14" t="str" ph="1">
        <f>IFERROR(INDEX([1]!_born[生没年],
MATCH(K2722,[1]!_born[作],0)),"")</f>
        <v/>
      </c>
      <c r="O2722" s="13" t="s" ph="1">
        <v>9073</v>
      </c>
      <c r="P2722" s="13" ph="1"/>
      <c r="Q2722" s="13" ph="1"/>
      <c r="R2722" s="16" ph="1"/>
      <c r="S2722" s="13" t="s" ph="1">
        <v>9074</v>
      </c>
      <c r="T2722" s="13" t="s" ph="1">
        <v>3926</v>
      </c>
      <c r="U2722" s="16" ph="1">
        <v>39030</v>
      </c>
      <c r="V2722" s="17" ph="1">
        <f>590*1.05</f>
        <v>619.5</v>
      </c>
      <c r="W2722" s="17" ph="1"/>
      <c r="X2722" s="13" t="s" ph="1">
        <v>2629</v>
      </c>
      <c r="Y2722" s="13" ph="1"/>
    </row>
    <row r="2723" spans="1:25" s="19" customFormat="1" ht="22.5" customHeight="1" ph="1" x14ac:dyDescent="0.35">
      <c r="A2723" s="106" ph="1"/>
      <c r="B2723" s="5" ph="1"/>
      <c r="C2723" s="13" t="s" ph="1">
        <v>707</v>
      </c>
      <c r="D2723" s="123" ph="1">
        <v>3</v>
      </c>
      <c r="E2723" s="123" t="s" ph="1">
        <v>3145</v>
      </c>
      <c r="F2723" s="13" ph="1"/>
      <c r="G2723" s="13" t="s" ph="1">
        <v>1933</v>
      </c>
      <c r="H2723" s="13" t="s" ph="1">
        <v>2987</v>
      </c>
      <c r="I2723" s="13" t="s" ph="1">
        <v>9075</v>
      </c>
      <c r="J2723" s="13" ph="1"/>
      <c r="K2723" s="13" ph="1"/>
      <c r="L2723" s="13" ph="1"/>
      <c r="M2723" s="14" t="str" ph="1">
        <f>IFERROR(INDEX([1]!_born[生没年],
MATCH(I2723,[1]!_born[作],0)),"")</f>
        <v/>
      </c>
      <c r="N2723" s="14" t="str" ph="1">
        <f>IFERROR(INDEX([1]!_born[生没年],
MATCH(K2723,[1]!_born[作],0)),"")</f>
        <v/>
      </c>
      <c r="O2723" s="13" t="s" ph="1">
        <v>9076</v>
      </c>
      <c r="P2723" s="13" ph="1"/>
      <c r="Q2723" s="13" ph="1"/>
      <c r="R2723" s="16" ph="1"/>
      <c r="S2723" s="13" t="s" ph="1">
        <v>418</v>
      </c>
      <c r="T2723" s="13" t="s" ph="1">
        <v>9013</v>
      </c>
      <c r="U2723" s="16" t="s" ph="1">
        <v>706</v>
      </c>
      <c r="V2723" s="17" ph="1">
        <v>780</v>
      </c>
      <c r="W2723" s="17" ph="1">
        <v>500</v>
      </c>
      <c r="X2723" s="13" ph="1"/>
      <c r="Y2723" s="13" ph="1"/>
    </row>
    <row r="2724" spans="1:25" s="19" customFormat="1" ht="22.5" customHeight="1" ph="1" x14ac:dyDescent="0.35">
      <c r="A2724" s="106" ph="1"/>
      <c r="B2724" s="5" ph="1"/>
      <c r="C2724" s="13" t="s" ph="1">
        <v>707</v>
      </c>
      <c r="D2724" s="123" ph="1">
        <v>1</v>
      </c>
      <c r="E2724" s="123" t="s" ph="1">
        <v>3145</v>
      </c>
      <c r="F2724" s="13" ph="1"/>
      <c r="G2724" s="13" t="s" ph="1">
        <v>1933</v>
      </c>
      <c r="H2724" s="13" t="s" ph="1">
        <v>2987</v>
      </c>
      <c r="I2724" s="13" t="s" ph="1">
        <v>9075</v>
      </c>
      <c r="J2724" s="13" ph="1"/>
      <c r="K2724" s="13" ph="1"/>
      <c r="L2724" s="13" ph="1"/>
      <c r="M2724" s="14" t="str" ph="1">
        <f>IFERROR(INDEX([1]!_born[生没年],
MATCH(I2724,[1]!_born[作],0)),"")</f>
        <v/>
      </c>
      <c r="N2724" s="14" t="str" ph="1">
        <f>IFERROR(INDEX([1]!_born[生没年],
MATCH(K2724,[1]!_born[作],0)),"")</f>
        <v/>
      </c>
      <c r="O2724" s="13" t="s" ph="1">
        <v>9077</v>
      </c>
      <c r="P2724" s="13" ph="1"/>
      <c r="Q2724" s="13" ph="1"/>
      <c r="R2724" s="16" t="s" ph="1">
        <v>930</v>
      </c>
      <c r="S2724" s="13" ph="1"/>
      <c r="T2724" s="13" t="s" ph="1">
        <v>9078</v>
      </c>
      <c r="U2724" s="16" ph="1"/>
      <c r="V2724" s="17" ph="1">
        <v>470</v>
      </c>
      <c r="W2724" s="17" ph="1"/>
      <c r="X2724" s="13" ph="1"/>
      <c r="Y2724" s="13" ph="1"/>
    </row>
    <row r="2725" spans="1:25" s="19" customFormat="1" ht="22.5" customHeight="1" ph="1" x14ac:dyDescent="0.35">
      <c r="A2725" s="106" ph="1"/>
      <c r="B2725" s="5" ph="1"/>
      <c r="C2725" s="13" t="s" ph="1">
        <v>707</v>
      </c>
      <c r="D2725" s="123" ph="1"/>
      <c r="E2725" s="123" ph="1"/>
      <c r="F2725" s="13" ph="1"/>
      <c r="G2725" s="13" t="s" ph="1">
        <v>1933</v>
      </c>
      <c r="H2725" s="13" t="s" ph="1">
        <v>2987</v>
      </c>
      <c r="I2725" s="13" t="s" ph="1">
        <v>8860</v>
      </c>
      <c r="J2725" s="13" ph="1"/>
      <c r="K2725" s="13" ph="1"/>
      <c r="L2725" s="13" ph="1"/>
      <c r="M2725" s="14" t="str" ph="1">
        <f>IFERROR(INDEX([1]!_born[生没年],
MATCH(I2725,[1]!_born[作],0)),"")</f>
        <v/>
      </c>
      <c r="N2725" s="14" t="str" ph="1">
        <f>IFERROR(INDEX([1]!_born[生没年],
MATCH(K2725,[1]!_born[作],0)),"")</f>
        <v/>
      </c>
      <c r="O2725" s="13" t="s" ph="1">
        <v>9079</v>
      </c>
      <c r="P2725" s="13" ph="1"/>
      <c r="Q2725" s="13" ph="1"/>
      <c r="R2725" s="16" t="s" ph="1">
        <v>924</v>
      </c>
      <c r="S2725" s="13" ph="1"/>
      <c r="T2725" s="13" t="s" ph="1">
        <v>9080</v>
      </c>
      <c r="U2725" s="16" ph="1"/>
      <c r="V2725" s="17" ph="1">
        <v>773</v>
      </c>
      <c r="W2725" s="17" ph="1">
        <v>200</v>
      </c>
      <c r="X2725" s="13" ph="1"/>
      <c r="Y2725" s="13" ph="1"/>
    </row>
    <row r="2726" spans="1:25" s="19" customFormat="1" ht="22.5" customHeight="1" ph="1" x14ac:dyDescent="0.35">
      <c r="A2726" s="106" ph="1"/>
      <c r="B2726" s="5" ph="1"/>
      <c r="C2726" s="13" t="s" ph="1">
        <v>707</v>
      </c>
      <c r="D2726" s="123" ph="1"/>
      <c r="E2726" s="123" ph="1"/>
      <c r="F2726" s="13" ph="1"/>
      <c r="G2726" s="13" t="s" ph="1">
        <v>1933</v>
      </c>
      <c r="H2726" s="13" t="s" ph="1">
        <v>2987</v>
      </c>
      <c r="I2726" s="13" t="s" ph="1">
        <v>8860</v>
      </c>
      <c r="J2726" s="13" ph="1"/>
      <c r="K2726" s="13" ph="1"/>
      <c r="L2726" s="13" ph="1"/>
      <c r="M2726" s="14" t="str" ph="1">
        <f>IFERROR(INDEX([1]!_born[生没年],
MATCH(I2726,[1]!_born[作],0)),"")</f>
        <v/>
      </c>
      <c r="N2726" s="14" t="str" ph="1">
        <f>IFERROR(INDEX([1]!_born[生没年],
MATCH(K2726,[1]!_born[作],0)),"")</f>
        <v/>
      </c>
      <c r="O2726" s="13" t="s" ph="1">
        <v>9081</v>
      </c>
      <c r="P2726" s="13" ph="1"/>
      <c r="Q2726" s="13" ph="1"/>
      <c r="R2726" s="16" t="s" ph="1">
        <v>930</v>
      </c>
      <c r="S2726" s="13" ph="1"/>
      <c r="T2726" s="13" t="s" ph="1">
        <v>9080</v>
      </c>
      <c r="U2726" s="16" ph="1"/>
      <c r="V2726" s="17" ph="1">
        <v>1000</v>
      </c>
      <c r="W2726" s="17" ph="1">
        <v>200</v>
      </c>
      <c r="X2726" s="13" ph="1"/>
      <c r="Y2726" s="13" ph="1"/>
    </row>
    <row r="2727" spans="1:25" s="19" customFormat="1" ht="22.5" customHeight="1" ph="1" x14ac:dyDescent="0.35">
      <c r="A2727" s="106" ph="1"/>
      <c r="B2727" s="5" ph="1"/>
      <c r="C2727" s="13" t="s" ph="1">
        <v>707</v>
      </c>
      <c r="D2727" s="123" ph="1"/>
      <c r="E2727" s="123" ph="1"/>
      <c r="F2727" s="13" ph="1"/>
      <c r="G2727" s="13" t="s" ph="1">
        <v>9082</v>
      </c>
      <c r="H2727" s="13" t="s" ph="1">
        <v>2987</v>
      </c>
      <c r="I2727" s="13" t="s" ph="1">
        <v>9083</v>
      </c>
      <c r="J2727" s="13" ph="1"/>
      <c r="K2727" s="13" ph="1"/>
      <c r="L2727" s="13" ph="1"/>
      <c r="M2727" s="14" t="str" ph="1">
        <f>IFERROR(INDEX([1]!_born[生没年],
MATCH(I2727,[1]!_born[作],0)),"")</f>
        <v/>
      </c>
      <c r="N2727" s="14" t="str" ph="1">
        <f>IFERROR(INDEX([1]!_born[生没年],
MATCH(K2727,[1]!_born[作],0)),"")</f>
        <v/>
      </c>
      <c r="O2727" s="13" t="s" ph="1">
        <v>9084</v>
      </c>
      <c r="P2727" s="13" ph="1"/>
      <c r="Q2727" s="13" ph="1"/>
      <c r="R2727" s="16" ph="1"/>
      <c r="S2727" s="13" t="s" ph="1">
        <v>534</v>
      </c>
      <c r="T2727" s="13" t="s" ph="1">
        <v>4702</v>
      </c>
      <c r="U2727" s="16" ph="1">
        <v>36959</v>
      </c>
      <c r="V2727" s="17" ph="1">
        <f>1143*1.05</f>
        <v>1200.1500000000001</v>
      </c>
      <c r="W2727" s="17" ph="1">
        <f>1143*1.05</f>
        <v>1200.1500000000001</v>
      </c>
      <c r="X2727" s="13" t="s" ph="1">
        <v>473</v>
      </c>
      <c r="Y2727" s="13" t="s" ph="1">
        <v>9085</v>
      </c>
    </row>
    <row r="2728" spans="1:25" s="19" customFormat="1" ht="22.5" customHeight="1" ph="1" x14ac:dyDescent="0.35">
      <c r="A2728" s="106" ph="1"/>
      <c r="B2728" s="5" ph="1"/>
      <c r="C2728" s="13" t="s" ph="1">
        <v>707</v>
      </c>
      <c r="D2728" s="123" ph="1"/>
      <c r="E2728" s="123" ph="1"/>
      <c r="F2728" s="13" ph="1"/>
      <c r="G2728" s="13" t="s" ph="1">
        <v>1910</v>
      </c>
      <c r="H2728" s="13" t="s" ph="1">
        <v>2987</v>
      </c>
      <c r="I2728" s="13" t="s" ph="1">
        <v>9086</v>
      </c>
      <c r="J2728" s="13" ph="1"/>
      <c r="K2728" s="13" ph="1"/>
      <c r="L2728" s="13" ph="1"/>
      <c r="M2728" s="14" t="str" ph="1">
        <f>IFERROR(INDEX([1]!_born[生没年],
MATCH(I2728,[1]!_born[作],0)),"")</f>
        <v/>
      </c>
      <c r="N2728" s="14" t="str" ph="1">
        <f>IFERROR(INDEX([1]!_born[生没年],
MATCH(K2728,[1]!_born[作],0)),"")</f>
        <v/>
      </c>
      <c r="O2728" s="13" t="s" ph="1">
        <v>9087</v>
      </c>
      <c r="P2728" s="13" ph="1"/>
      <c r="Q2728" s="13" ph="1"/>
      <c r="R2728" s="16" ph="1"/>
      <c r="S2728" s="13" ph="1"/>
      <c r="T2728" s="13" t="s" ph="1">
        <v>9088</v>
      </c>
      <c r="U2728" s="16" ph="1"/>
      <c r="V2728" s="17" ph="1">
        <v>1000</v>
      </c>
      <c r="W2728" s="17" ph="1"/>
      <c r="X2728" s="13" ph="1"/>
      <c r="Y2728" s="13" ph="1"/>
    </row>
    <row r="2729" spans="1:25" s="19" customFormat="1" ht="22.5" customHeight="1" ph="1" x14ac:dyDescent="0.35">
      <c r="A2729" s="107" ph="1"/>
      <c r="B2729" s="18" ph="1"/>
      <c r="C2729" s="19" t="s" ph="1">
        <v>707</v>
      </c>
      <c r="D2729" s="124" ph="1"/>
      <c r="E2729" s="124" ph="1"/>
      <c r="G2729" s="19" t="s" ph="1">
        <v>1910</v>
      </c>
      <c r="H2729" s="19" t="s" ph="1">
        <v>2987</v>
      </c>
      <c r="I2729" s="19" t="s" ph="1">
        <v>9089</v>
      </c>
      <c r="J2729" s="19" t="s" ph="1">
        <v>9090</v>
      </c>
      <c r="M2729" s="27" t="str" ph="1">
        <f>IFERROR(INDEX([1]!_born[生没年],
MATCH(I2729,[1]!_born[作],0)),"")</f>
        <v/>
      </c>
      <c r="N2729" s="27" t="str" ph="1">
        <f>IFERROR(INDEX([1]!_born[生没年],
MATCH(K2729,[1]!_born[作],0)),"")</f>
        <v/>
      </c>
      <c r="O2729" s="19" t="s" ph="1">
        <v>9091</v>
      </c>
      <c r="R2729" s="20" t="s" ph="1">
        <v>1964</v>
      </c>
      <c r="S2729" s="19" t="s" ph="1">
        <v>9092</v>
      </c>
      <c r="T2729" s="19" t="s" ph="1">
        <v>9042</v>
      </c>
      <c r="U2729" s="20" ph="1">
        <v>36716</v>
      </c>
      <c r="V2729" s="21" ph="1">
        <f>1600*1.05</f>
        <v>1680</v>
      </c>
      <c r="W2729" s="21" ph="1">
        <f>1600*1.05</f>
        <v>1680</v>
      </c>
      <c r="X2729" s="19" t="s" ph="1">
        <v>7036</v>
      </c>
      <c r="Y2729" s="19" t="s" ph="1">
        <v>9093</v>
      </c>
    </row>
    <row r="2730" spans="1:25" s="19" customFormat="1" ht="22.5" customHeight="1" ph="1" x14ac:dyDescent="0.35">
      <c r="A2730" s="106" ph="1"/>
      <c r="B2730" s="5" ph="1"/>
      <c r="C2730" s="13" t="s" ph="1">
        <v>707</v>
      </c>
      <c r="D2730" s="123" ph="1"/>
      <c r="E2730" s="123" ph="1"/>
      <c r="F2730" s="13" ph="1"/>
      <c r="G2730" s="13" t="s" ph="1">
        <v>1933</v>
      </c>
      <c r="H2730" s="13" t="s" ph="1">
        <v>2987</v>
      </c>
      <c r="I2730" s="13" t="s" ph="1">
        <v>9094</v>
      </c>
      <c r="J2730" s="13" ph="1"/>
      <c r="K2730" s="13" ph="1"/>
      <c r="L2730" s="13" ph="1"/>
      <c r="M2730" s="14" t="str" ph="1">
        <f>IFERROR(INDEX([1]!_born[生没年],
MATCH(I2730,[1]!_born[作],0)),"")</f>
        <v/>
      </c>
      <c r="N2730" s="14" t="str" ph="1">
        <f>IFERROR(INDEX([1]!_born[生没年],
MATCH(K2730,[1]!_born[作],0)),"")</f>
        <v/>
      </c>
      <c r="O2730" s="13" t="s" ph="1">
        <v>9095</v>
      </c>
      <c r="P2730" s="13" ph="1"/>
      <c r="Q2730" s="13" ph="1"/>
      <c r="R2730" s="16" ph="1"/>
      <c r="S2730" s="13" t="s" ph="1">
        <v>627</v>
      </c>
      <c r="T2730" s="13" t="s" ph="1">
        <v>4702</v>
      </c>
      <c r="U2730" s="16" t="s" ph="1">
        <v>706</v>
      </c>
      <c r="V2730" s="17" ph="1">
        <v>780</v>
      </c>
      <c r="W2730" s="17" ph="1">
        <v>450</v>
      </c>
      <c r="X2730" s="5" t="s" ph="1">
        <v>4440</v>
      </c>
      <c r="Y2730" s="5" ph="1"/>
    </row>
    <row r="2731" spans="1:25" s="19" customFormat="1" ht="22.5" customHeight="1" ph="1" x14ac:dyDescent="0.35">
      <c r="A2731" s="106" t="s" ph="1">
        <v>2408</v>
      </c>
      <c r="B2731" s="5" ph="1"/>
      <c r="C2731" s="13" t="s" ph="1">
        <v>707</v>
      </c>
      <c r="D2731" s="123" ph="1"/>
      <c r="E2731" s="123" ph="1"/>
      <c r="F2731" s="13" ph="1"/>
      <c r="G2731" s="13" t="s" ph="1">
        <v>1933</v>
      </c>
      <c r="H2731" s="13" t="s" ph="1">
        <v>2987</v>
      </c>
      <c r="I2731" s="13" t="s" ph="1">
        <v>9094</v>
      </c>
      <c r="J2731" s="13" ph="1"/>
      <c r="K2731" s="13" ph="1"/>
      <c r="L2731" s="13" ph="1"/>
      <c r="M2731" s="14" t="str" ph="1">
        <f>IFERROR(INDEX([1]!_born[生没年],
MATCH(I2731,[1]!_born[作],0)),"")</f>
        <v/>
      </c>
      <c r="N2731" s="14" t="str" ph="1">
        <f>IFERROR(INDEX([1]!_born[生没年],
MATCH(K2731,[1]!_born[作],0)),"")</f>
        <v/>
      </c>
      <c r="O2731" s="13" t="s" ph="1">
        <v>9096</v>
      </c>
      <c r="P2731" s="13" ph="1"/>
      <c r="Q2731" s="13" ph="1"/>
      <c r="R2731" s="16" ph="1"/>
      <c r="S2731" s="13" t="s" ph="1">
        <v>627</v>
      </c>
      <c r="T2731" s="13" t="s" ph="1">
        <v>4702</v>
      </c>
      <c r="U2731" s="16" t="s" ph="1">
        <v>1083</v>
      </c>
      <c r="V2731" s="17" ph="1">
        <v>780</v>
      </c>
      <c r="W2731" s="17" ph="1">
        <v>210</v>
      </c>
      <c r="X2731" s="5" ph="1"/>
      <c r="Y2731" s="5" ph="1"/>
    </row>
    <row r="2732" spans="1:25" s="19" customFormat="1" ht="22.5" customHeight="1" ph="1" x14ac:dyDescent="0.35">
      <c r="A2732" s="106" t="s" ph="1">
        <v>2432</v>
      </c>
      <c r="B2732" s="5" t="s" ph="1">
        <v>2433</v>
      </c>
      <c r="C2732" s="13" t="s" ph="1">
        <v>707</v>
      </c>
      <c r="D2732" s="123" ph="1">
        <v>1</v>
      </c>
      <c r="E2732" s="123" ph="1">
        <v>2</v>
      </c>
      <c r="F2732" s="13" ph="1"/>
      <c r="G2732" s="13" t="s" ph="1">
        <v>1933</v>
      </c>
      <c r="H2732" s="13" t="s" ph="1">
        <v>2987</v>
      </c>
      <c r="I2732" s="13" t="s" ph="1">
        <v>9097</v>
      </c>
      <c r="J2732" s="13" ph="1"/>
      <c r="K2732" s="13" ph="1"/>
      <c r="L2732" s="13" ph="1"/>
      <c r="M2732" s="14" t="str" ph="1">
        <f>IFERROR(INDEX([1]!_born[生没年],
MATCH(I2732,[1]!_born[作],0)),"")</f>
        <v/>
      </c>
      <c r="N2732" s="14" t="str" ph="1">
        <f>IFERROR(INDEX([1]!_born[生没年],
MATCH(K2732,[1]!_born[作],0)),"")</f>
        <v/>
      </c>
      <c r="O2732" s="13" t="s" ph="1">
        <v>9098</v>
      </c>
      <c r="P2732" s="13" ph="1"/>
      <c r="Q2732" s="13" ph="1"/>
      <c r="R2732" s="16" t="s" ph="1">
        <v>2434</v>
      </c>
      <c r="S2732" s="13" t="s" ph="1">
        <v>9099</v>
      </c>
      <c r="T2732" s="13" t="s" ph="1">
        <v>9100</v>
      </c>
      <c r="U2732" s="16" t="s" ph="1">
        <v>2431</v>
      </c>
      <c r="V2732" s="17" ph="1">
        <v>980</v>
      </c>
      <c r="W2732" s="17" ph="1">
        <v>500</v>
      </c>
      <c r="X2732" s="13" t="s" ph="1">
        <v>9070</v>
      </c>
      <c r="Y2732" s="13" ph="1"/>
    </row>
    <row r="2733" spans="1:25" s="19" customFormat="1" ht="22.5" customHeight="1" ph="1" x14ac:dyDescent="0.35">
      <c r="A2733" s="106" t="s" ph="1">
        <v>2435</v>
      </c>
      <c r="B2733" s="5" t="s" ph="1">
        <v>2433</v>
      </c>
      <c r="C2733" s="13" t="s" ph="1">
        <v>707</v>
      </c>
      <c r="D2733" s="123" ph="1">
        <v>2</v>
      </c>
      <c r="E2733" s="123" ph="1">
        <v>2</v>
      </c>
      <c r="F2733" s="13" ph="1"/>
      <c r="G2733" s="13" t="s" ph="1">
        <v>1933</v>
      </c>
      <c r="H2733" s="13" t="s" ph="1">
        <v>2987</v>
      </c>
      <c r="I2733" s="13" t="s" ph="1">
        <v>9097</v>
      </c>
      <c r="J2733" s="13" ph="1"/>
      <c r="K2733" s="13" ph="1"/>
      <c r="L2733" s="13" ph="1"/>
      <c r="M2733" s="14" t="str" ph="1">
        <f>IFERROR(INDEX([1]!_born[生没年],
MATCH(I2733,[1]!_born[作],0)),"")</f>
        <v/>
      </c>
      <c r="N2733" s="14" t="str" ph="1">
        <f>IFERROR(INDEX([1]!_born[生没年],
MATCH(K2733,[1]!_born[作],0)),"")</f>
        <v/>
      </c>
      <c r="O2733" s="13" t="s" ph="1">
        <v>9101</v>
      </c>
      <c r="P2733" s="13" ph="1"/>
      <c r="Q2733" s="13" ph="1"/>
      <c r="R2733" s="16" t="s" ph="1">
        <v>2434</v>
      </c>
      <c r="S2733" s="13" t="s" ph="1">
        <v>9102</v>
      </c>
      <c r="T2733" s="13" t="s" ph="1">
        <v>9100</v>
      </c>
      <c r="U2733" s="16" t="s" ph="1">
        <v>1571</v>
      </c>
      <c r="V2733" s="17" ph="1">
        <v>980</v>
      </c>
      <c r="W2733" s="17" ph="1">
        <v>500</v>
      </c>
      <c r="X2733" s="13" t="s" ph="1">
        <v>9070</v>
      </c>
      <c r="Y2733" s="13" ph="1"/>
    </row>
    <row r="2734" spans="1:25" s="19" customFormat="1" ht="22.5" customHeight="1" ph="1" x14ac:dyDescent="0.35">
      <c r="A2734" s="106" ph="1"/>
      <c r="B2734" s="5" ph="1"/>
      <c r="C2734" s="13" t="s" ph="1">
        <v>707</v>
      </c>
      <c r="D2734" s="123" ph="1"/>
      <c r="E2734" s="123" ph="1"/>
      <c r="F2734" s="13" ph="1"/>
      <c r="G2734" s="13" t="s" ph="1">
        <v>1910</v>
      </c>
      <c r="H2734" s="13" t="s" ph="1">
        <v>2987</v>
      </c>
      <c r="I2734" s="13" t="s" ph="1">
        <v>9103</v>
      </c>
      <c r="J2734" s="13" t="s" ph="1">
        <v>9104</v>
      </c>
      <c r="K2734" s="13" t="s" ph="1">
        <v>3877</v>
      </c>
      <c r="L2734" s="13" t="s" ph="1">
        <v>5759</v>
      </c>
      <c r="M2734" s="14" t="str" ph="1">
        <f>IFERROR(INDEX([1]!_born[生没年],
MATCH(I2734,[1]!_born[作],0)),"")</f>
        <v/>
      </c>
      <c r="N2734" s="14" t="str" ph="1">
        <f>IFERROR(INDEX([1]!_born[生没年],
MATCH(K2734,[1]!_born[作],0)),"")</f>
        <v/>
      </c>
      <c r="O2734" s="13" t="s" ph="1">
        <v>9105</v>
      </c>
      <c r="P2734" s="13" ph="1"/>
      <c r="Q2734" s="13" ph="1"/>
      <c r="R2734" s="16" t="s" ph="1">
        <v>966</v>
      </c>
      <c r="S2734" s="13" t="s" ph="1">
        <v>9106</v>
      </c>
      <c r="T2734" s="13" t="s" ph="1">
        <v>4603</v>
      </c>
      <c r="U2734" s="16" ph="1">
        <v>36540</v>
      </c>
      <c r="V2734" s="17" ph="1">
        <f>2900*1.05</f>
        <v>3045</v>
      </c>
      <c r="W2734" s="17" ph="1">
        <v>1500</v>
      </c>
      <c r="X2734" s="13" t="s" ph="1">
        <v>9059</v>
      </c>
      <c r="Y2734" s="13" ph="1"/>
    </row>
    <row r="2735" spans="1:25" s="19" customFormat="1" ht="22.5" customHeight="1" ph="1" x14ac:dyDescent="0.35">
      <c r="A2735" s="106" ph="1"/>
      <c r="B2735" s="5" ph="1"/>
      <c r="C2735" s="13" t="s" ph="1">
        <v>707</v>
      </c>
      <c r="D2735" s="123" ph="1"/>
      <c r="E2735" s="123" ph="1"/>
      <c r="F2735" s="13" ph="1"/>
      <c r="G2735" s="13" t="s" ph="1">
        <v>1933</v>
      </c>
      <c r="H2735" s="13" t="s" ph="1">
        <v>2987</v>
      </c>
      <c r="I2735" s="13" t="s" ph="1">
        <v>9107</v>
      </c>
      <c r="J2735" s="13" ph="1"/>
      <c r="K2735" s="13" ph="1"/>
      <c r="L2735" s="13" ph="1"/>
      <c r="M2735" s="14" t="str" ph="1">
        <f>IFERROR(INDEX([1]!_born[生没年],
MATCH(I2735,[1]!_born[作],0)),"")</f>
        <v/>
      </c>
      <c r="N2735" s="14" t="str" ph="1">
        <f>IFERROR(INDEX([1]!_born[生没年],
MATCH(K2735,[1]!_born[作],0)),"")</f>
        <v/>
      </c>
      <c r="O2735" s="13" t="s" ph="1">
        <v>9108</v>
      </c>
      <c r="P2735" s="13" ph="1"/>
      <c r="Q2735" s="13" ph="1"/>
      <c r="R2735" s="16" t="s" ph="1">
        <v>1488</v>
      </c>
      <c r="S2735" s="13" ph="1"/>
      <c r="T2735" s="13" t="s" ph="1">
        <v>3842</v>
      </c>
      <c r="U2735" s="16" ph="1"/>
      <c r="V2735" s="17" ph="1">
        <v>960</v>
      </c>
      <c r="W2735" s="17" ph="1"/>
      <c r="X2735" s="13" ph="1"/>
      <c r="Y2735" s="13" ph="1"/>
    </row>
    <row r="2736" spans="1:25" s="19" customFormat="1" ht="22.5" customHeight="1" ph="1" x14ac:dyDescent="0.35">
      <c r="A2736" s="106" ph="1"/>
      <c r="B2736" s="5" ph="1"/>
      <c r="C2736" s="13" t="s" ph="1">
        <v>4106</v>
      </c>
      <c r="D2736" s="123" ph="1">
        <v>8</v>
      </c>
      <c r="E2736" s="123" t="s" ph="1">
        <v>3145</v>
      </c>
      <c r="F2736" s="13" ph="1"/>
      <c r="G2736" s="13" t="s" ph="1">
        <v>1933</v>
      </c>
      <c r="H2736" s="13" t="s" ph="1">
        <v>2987</v>
      </c>
      <c r="I2736" s="13" t="s" ph="1">
        <v>9109</v>
      </c>
      <c r="J2736" s="13" ph="1"/>
      <c r="K2736" s="13" t="s" ph="1">
        <v>9110</v>
      </c>
      <c r="L2736" s="13" ph="1"/>
      <c r="M2736" s="14" t="str" ph="1">
        <f>IFERROR(INDEX([1]!_born[生没年],
MATCH(I2736,[1]!_born[作],0)),"")</f>
        <v/>
      </c>
      <c r="N2736" s="14" t="str" ph="1">
        <f>IFERROR(INDEX([1]!_born[生没年],
MATCH(K2736,[1]!_born[作],0)),"")</f>
        <v/>
      </c>
      <c r="O2736" s="13" t="s" ph="1">
        <v>9111</v>
      </c>
      <c r="P2736" s="13" ph="1"/>
      <c r="Q2736" s="13" ph="1"/>
      <c r="R2736" s="16" ph="1"/>
      <c r="S2736" s="13" t="s" ph="1">
        <v>259</v>
      </c>
      <c r="T2736" s="13" t="s" ph="1">
        <v>3988</v>
      </c>
      <c r="U2736" s="16" ph="1"/>
      <c r="V2736" s="17" ph="1">
        <v>480</v>
      </c>
      <c r="W2736" s="17" ph="1">
        <v>0</v>
      </c>
      <c r="X2736" s="5" t="s" ph="1">
        <v>9112</v>
      </c>
      <c r="Y2736" s="5" t="s" ph="1">
        <v>5322</v>
      </c>
    </row>
    <row r="2737" spans="1:25" s="19" customFormat="1" ht="22.5" customHeight="1" ph="1" x14ac:dyDescent="0.35">
      <c r="A2737" s="106" ph="1"/>
      <c r="B2737" s="5" ph="1"/>
      <c r="C2737" s="13" t="s" ph="1">
        <v>707</v>
      </c>
      <c r="D2737" s="123" ph="1"/>
      <c r="E2737" s="123" ph="1"/>
      <c r="F2737" s="13" ph="1"/>
      <c r="G2737" s="13" t="s" ph="1">
        <v>1933</v>
      </c>
      <c r="H2737" s="13" t="s" ph="1">
        <v>2987</v>
      </c>
      <c r="I2737" s="13" t="s" ph="1">
        <v>9113</v>
      </c>
      <c r="J2737" s="13" ph="1"/>
      <c r="K2737" s="13" ph="1"/>
      <c r="L2737" s="13" ph="1"/>
      <c r="M2737" s="14" t="str" ph="1">
        <f>IFERROR(INDEX([1]!_born[生没年],
MATCH(I2737,[1]!_born[作],0)),"")</f>
        <v/>
      </c>
      <c r="N2737" s="14" t="str" ph="1">
        <f>IFERROR(INDEX([1]!_born[生没年],
MATCH(K2737,[1]!_born[作],0)),"")</f>
        <v/>
      </c>
      <c r="O2737" s="13" t="s" ph="1">
        <v>9114</v>
      </c>
      <c r="P2737" s="13" ph="1"/>
      <c r="Q2737" s="13" ph="1"/>
      <c r="R2737" s="16" ph="1"/>
      <c r="S2737" s="13" t="s" ph="1">
        <v>418</v>
      </c>
      <c r="T2737" s="13" t="s" ph="1">
        <v>9013</v>
      </c>
      <c r="U2737" s="16" t="s" ph="1">
        <v>706</v>
      </c>
      <c r="V2737" s="17" ph="1">
        <v>980</v>
      </c>
      <c r="W2737" s="17" ph="1">
        <v>500</v>
      </c>
      <c r="X2737" s="13" ph="1"/>
      <c r="Y2737" s="13" ph="1"/>
    </row>
    <row r="2738" spans="1:25" s="19" customFormat="1" ht="22.5" customHeight="1" ph="1" x14ac:dyDescent="0.35">
      <c r="A2738" s="106" ph="1"/>
      <c r="B2738" s="5" ph="1"/>
      <c r="C2738" s="13" t="s" ph="1">
        <v>707</v>
      </c>
      <c r="D2738" s="123" ph="1"/>
      <c r="E2738" s="123" ph="1"/>
      <c r="F2738" s="13" ph="1"/>
      <c r="G2738" s="13" t="s" ph="1">
        <v>1933</v>
      </c>
      <c r="H2738" s="13" t="s" ph="1">
        <v>2987</v>
      </c>
      <c r="I2738" s="13" t="s" ph="1">
        <v>9115</v>
      </c>
      <c r="J2738" s="13" ph="1"/>
      <c r="K2738" s="13" ph="1"/>
      <c r="L2738" s="13" ph="1"/>
      <c r="M2738" s="14" t="str" ph="1">
        <f>IFERROR(INDEX([1]!_born[生没年],
MATCH(I2738,[1]!_born[作],0)),"")</f>
        <v/>
      </c>
      <c r="N2738" s="14" t="str" ph="1">
        <f>IFERROR(INDEX([1]!_born[生没年],
MATCH(K2738,[1]!_born[作],0)),"")</f>
        <v/>
      </c>
      <c r="O2738" s="13" t="s" ph="1">
        <v>9116</v>
      </c>
      <c r="P2738" s="13" ph="1"/>
      <c r="Q2738" s="13" ph="1"/>
      <c r="R2738" s="16" ph="1"/>
      <c r="S2738" s="13" t="s" ph="1">
        <v>418</v>
      </c>
      <c r="T2738" s="13" t="s" ph="1">
        <v>9013</v>
      </c>
      <c r="U2738" s="16" t="s" ph="1">
        <v>706</v>
      </c>
      <c r="V2738" s="17" ph="1">
        <v>980</v>
      </c>
      <c r="W2738" s="17" ph="1">
        <v>0</v>
      </c>
      <c r="X2738" s="13" ph="1"/>
      <c r="Y2738" s="13" ph="1"/>
    </row>
    <row r="2739" spans="1:25" s="19" customFormat="1" ht="22.5" customHeight="1" ph="1" x14ac:dyDescent="0.35">
      <c r="A2739" s="106" ph="1"/>
      <c r="B2739" s="5" ph="1"/>
      <c r="C2739" s="13" t="s" ph="1">
        <v>707</v>
      </c>
      <c r="D2739" s="123" ph="1"/>
      <c r="E2739" s="123" ph="1"/>
      <c r="F2739" s="13" ph="1"/>
      <c r="G2739" s="13" t="s" ph="1">
        <v>1933</v>
      </c>
      <c r="H2739" s="13" t="s" ph="1">
        <v>2987</v>
      </c>
      <c r="I2739" s="13" t="s" ph="1">
        <v>9115</v>
      </c>
      <c r="J2739" s="13" ph="1"/>
      <c r="K2739" s="13" ph="1"/>
      <c r="L2739" s="13" ph="1"/>
      <c r="M2739" s="14" t="str" ph="1">
        <f>IFERROR(INDEX([1]!_born[生没年],
MATCH(I2739,[1]!_born[作],0)),"")</f>
        <v/>
      </c>
      <c r="N2739" s="14" t="str" ph="1">
        <f>IFERROR(INDEX([1]!_born[生没年],
MATCH(K2739,[1]!_born[作],0)),"")</f>
        <v/>
      </c>
      <c r="O2739" s="13" t="s" ph="1">
        <v>9117</v>
      </c>
      <c r="P2739" s="13" ph="1"/>
      <c r="Q2739" s="13" ph="1"/>
      <c r="R2739" s="16" ph="1"/>
      <c r="S2739" s="13" ph="1"/>
      <c r="T2739" s="13" t="s" ph="1">
        <v>4110</v>
      </c>
      <c r="U2739" s="16" t="s" ph="1">
        <v>706</v>
      </c>
      <c r="V2739" s="17" ph="1">
        <v>880</v>
      </c>
      <c r="W2739" s="17" ph="1">
        <v>0</v>
      </c>
      <c r="X2739" s="13" ph="1"/>
      <c r="Y2739" s="13" ph="1"/>
    </row>
    <row r="2740" spans="1:25" s="19" customFormat="1" ht="22.5" customHeight="1" ph="1" x14ac:dyDescent="0.35">
      <c r="A2740" s="106" t="s" ph="1">
        <v>1968</v>
      </c>
      <c r="B2740" s="5" t="s" ph="1">
        <v>1969</v>
      </c>
      <c r="C2740" s="13" t="s" ph="1">
        <v>707</v>
      </c>
      <c r="D2740" s="123" ph="1">
        <v>1</v>
      </c>
      <c r="E2740" s="123" ph="1">
        <v>2</v>
      </c>
      <c r="F2740" s="13" ph="1"/>
      <c r="G2740" s="13" t="s" ph="1">
        <v>1933</v>
      </c>
      <c r="H2740" s="13" t="s" ph="1">
        <v>2987</v>
      </c>
      <c r="I2740" s="13" t="s" ph="1">
        <v>9118</v>
      </c>
      <c r="J2740" s="13" ph="1"/>
      <c r="K2740" s="13" ph="1"/>
      <c r="L2740" s="13" ph="1"/>
      <c r="M2740" s="14" t="str" ph="1">
        <f>IFERROR(INDEX([1]!_born[生没年],
MATCH(I2740,[1]!_born[作],0)),"")</f>
        <v/>
      </c>
      <c r="N2740" s="14" t="str" ph="1">
        <f>IFERROR(INDEX([1]!_born[生没年],
MATCH(K2740,[1]!_born[作],0)),"")</f>
        <v/>
      </c>
      <c r="O2740" s="13" t="s" ph="1">
        <v>9119</v>
      </c>
      <c r="P2740" s="13" ph="1"/>
      <c r="Q2740" s="13" ph="1"/>
      <c r="R2740" s="16" ph="1"/>
      <c r="S2740" s="13" t="s" ph="1">
        <v>172</v>
      </c>
      <c r="T2740" s="13" t="s" ph="1">
        <v>6224</v>
      </c>
      <c r="U2740" s="16" t="s" ph="1">
        <v>1970</v>
      </c>
      <c r="V2740" s="17" ph="1">
        <f>857*1.05</f>
        <v>899.85</v>
      </c>
      <c r="W2740" s="17" ph="1">
        <f>857*1.05</f>
        <v>899.85</v>
      </c>
      <c r="X2740" s="13" t="s" ph="1">
        <v>3802</v>
      </c>
      <c r="Y2740" s="13" ph="1"/>
    </row>
    <row r="2741" spans="1:25" s="19" customFormat="1" ht="22.5" customHeight="1" ph="1" x14ac:dyDescent="0.35">
      <c r="A2741" s="106" t="s" ph="1">
        <v>1971</v>
      </c>
      <c r="B2741" s="5" t="s" ph="1">
        <v>1969</v>
      </c>
      <c r="C2741" s="13" t="s" ph="1">
        <v>707</v>
      </c>
      <c r="D2741" s="123" ph="1">
        <v>2</v>
      </c>
      <c r="E2741" s="123" ph="1">
        <v>2</v>
      </c>
      <c r="F2741" s="13" ph="1"/>
      <c r="G2741" s="13" t="s" ph="1">
        <v>1933</v>
      </c>
      <c r="H2741" s="13" t="s" ph="1">
        <v>2987</v>
      </c>
      <c r="I2741" s="13" t="s" ph="1">
        <v>9118</v>
      </c>
      <c r="J2741" s="13" ph="1"/>
      <c r="K2741" s="13" ph="1"/>
      <c r="L2741" s="13" ph="1"/>
      <c r="M2741" s="14" t="str" ph="1">
        <f>IFERROR(INDEX([1]!_born[生没年],
MATCH(I2741,[1]!_born[作],0)),"")</f>
        <v/>
      </c>
      <c r="N2741" s="14" t="str" ph="1">
        <f>IFERROR(INDEX([1]!_born[生没年],
MATCH(K2741,[1]!_born[作],0)),"")</f>
        <v/>
      </c>
      <c r="O2741" s="13" t="s" ph="1">
        <v>9119</v>
      </c>
      <c r="P2741" s="13" ph="1"/>
      <c r="Q2741" s="13" ph="1"/>
      <c r="R2741" s="16" ph="1"/>
      <c r="S2741" s="13" t="s" ph="1">
        <v>172</v>
      </c>
      <c r="T2741" s="13" t="s" ph="1">
        <v>6224</v>
      </c>
      <c r="U2741" s="16" t="s" ph="1">
        <v>1970</v>
      </c>
      <c r="V2741" s="17" ph="1">
        <f>857*1.05</f>
        <v>899.85</v>
      </c>
      <c r="W2741" s="17" ph="1">
        <f>857*1.05</f>
        <v>899.85</v>
      </c>
      <c r="X2741" s="13" t="s" ph="1">
        <v>3802</v>
      </c>
      <c r="Y2741" s="13" ph="1"/>
    </row>
    <row r="2742" spans="1:25" s="19" customFormat="1" ht="22.5" customHeight="1" ph="1" x14ac:dyDescent="0.35">
      <c r="A2742" s="106" t="s" ph="1">
        <v>1966</v>
      </c>
      <c r="B2742" s="5" t="s" ph="1">
        <v>1941</v>
      </c>
      <c r="C2742" s="13" t="s" ph="1">
        <v>707</v>
      </c>
      <c r="D2742" s="123" ph="1">
        <v>1</v>
      </c>
      <c r="E2742" s="123" ph="1">
        <v>2</v>
      </c>
      <c r="F2742" s="13" ph="1"/>
      <c r="G2742" s="13" t="s" ph="1">
        <v>1933</v>
      </c>
      <c r="H2742" s="13" t="s" ph="1">
        <v>2987</v>
      </c>
      <c r="I2742" s="13" t="s" ph="1">
        <v>9118</v>
      </c>
      <c r="J2742" s="13" ph="1"/>
      <c r="K2742" s="13" ph="1"/>
      <c r="L2742" s="13" ph="1"/>
      <c r="M2742" s="14" t="str" ph="1">
        <f>IFERROR(INDEX([1]!_born[生没年],
MATCH(I2742,[1]!_born[作],0)),"")</f>
        <v/>
      </c>
      <c r="N2742" s="14" t="str" ph="1">
        <f>IFERROR(INDEX([1]!_born[生没年],
MATCH(K2742,[1]!_born[作],0)),"")</f>
        <v/>
      </c>
      <c r="O2742" s="15" t="s" ph="1">
        <v>9120</v>
      </c>
      <c r="P2742" s="13" ph="1"/>
      <c r="Q2742" s="13" ph="1"/>
      <c r="R2742" s="16" t="s" ph="1">
        <v>987</v>
      </c>
      <c r="S2742" s="13" t="s" ph="1">
        <v>9121</v>
      </c>
      <c r="T2742" s="13" t="s" ph="1">
        <v>9122</v>
      </c>
      <c r="U2742" s="16" ph="1"/>
      <c r="V2742" s="17" ph="1">
        <f>470*2</f>
        <v>940</v>
      </c>
      <c r="W2742" s="17" ph="1">
        <f>470+2000</f>
        <v>2470</v>
      </c>
      <c r="X2742" s="13" ph="1"/>
      <c r="Y2742" s="13" t="s" ph="1">
        <v>9123</v>
      </c>
    </row>
    <row r="2743" spans="1:25" s="19" customFormat="1" ht="22.5" customHeight="1" ph="1" x14ac:dyDescent="0.35">
      <c r="A2743" s="106" t="s" ph="1">
        <v>1967</v>
      </c>
      <c r="B2743" s="5" t="s" ph="1">
        <v>1941</v>
      </c>
      <c r="C2743" s="13" t="s" ph="1">
        <v>707</v>
      </c>
      <c r="D2743" s="123" ph="1">
        <v>2</v>
      </c>
      <c r="E2743" s="123" ph="1">
        <v>2</v>
      </c>
      <c r="F2743" s="13" ph="1"/>
      <c r="G2743" s="13" t="s" ph="1">
        <v>1933</v>
      </c>
      <c r="H2743" s="13" t="s" ph="1">
        <v>2987</v>
      </c>
      <c r="I2743" s="13" t="s" ph="1">
        <v>9118</v>
      </c>
      <c r="J2743" s="13" ph="1"/>
      <c r="K2743" s="13" ph="1"/>
      <c r="L2743" s="13" ph="1"/>
      <c r="M2743" s="14" t="str" ph="1">
        <f>IFERROR(INDEX([1]!_born[生没年],
MATCH(I2743,[1]!_born[作],0)),"")</f>
        <v/>
      </c>
      <c r="N2743" s="14" t="str" ph="1">
        <f>IFERROR(INDEX([1]!_born[生没年],
MATCH(K2743,[1]!_born[作],0)),"")</f>
        <v/>
      </c>
      <c r="O2743" s="15" t="s" ph="1">
        <v>9120</v>
      </c>
      <c r="P2743" s="13" ph="1"/>
      <c r="Q2743" s="13" ph="1"/>
      <c r="R2743" s="16" t="s" ph="1">
        <v>987</v>
      </c>
      <c r="S2743" s="13" t="s" ph="1">
        <v>9121</v>
      </c>
      <c r="T2743" s="13" t="s" ph="1">
        <v>9122</v>
      </c>
      <c r="U2743" s="16" ph="1"/>
      <c r="V2743" s="17" ph="1">
        <f>470*2</f>
        <v>940</v>
      </c>
      <c r="W2743" s="17" ph="1">
        <f>470+2000</f>
        <v>2470</v>
      </c>
      <c r="X2743" s="13" ph="1"/>
      <c r="Y2743" s="13" t="s" ph="1">
        <v>9123</v>
      </c>
    </row>
    <row r="2744" spans="1:25" s="19" customFormat="1" ht="22.5" customHeight="1" ph="1" x14ac:dyDescent="0.35">
      <c r="A2744" s="106" ph="1"/>
      <c r="B2744" s="5" ph="1"/>
      <c r="C2744" s="13" t="s" ph="1">
        <v>707</v>
      </c>
      <c r="D2744" s="123" ph="1"/>
      <c r="E2744" s="123" ph="1"/>
      <c r="F2744" s="13" ph="1"/>
      <c r="G2744" s="13" t="s" ph="1">
        <v>1933</v>
      </c>
      <c r="H2744" s="13" t="s" ph="1">
        <v>2987</v>
      </c>
      <c r="I2744" s="13" t="s" ph="1">
        <v>4104</v>
      </c>
      <c r="J2744" s="13" ph="1"/>
      <c r="K2744" s="13" ph="1"/>
      <c r="L2744" s="13" ph="1"/>
      <c r="M2744" s="14" t="str" ph="1">
        <f>IFERROR(INDEX([1]!_born[生没年],
MATCH(I2744,[1]!_born[作],0)),"")</f>
        <v/>
      </c>
      <c r="N2744" s="14" t="str" ph="1">
        <f>IFERROR(INDEX([1]!_born[生没年],
MATCH(K2744,[1]!_born[作],0)),"")</f>
        <v/>
      </c>
      <c r="O2744" s="13" t="s" ph="1">
        <v>635</v>
      </c>
      <c r="P2744" s="13" ph="1"/>
      <c r="Q2744" s="13" ph="1"/>
      <c r="R2744" s="16" t="s" ph="1">
        <v>800</v>
      </c>
      <c r="S2744" s="13" t="s" ph="1">
        <v>9124</v>
      </c>
      <c r="T2744" s="13" t="s" ph="1">
        <v>9122</v>
      </c>
      <c r="U2744" s="16" ph="1"/>
      <c r="V2744" s="17" ph="1">
        <v>600</v>
      </c>
      <c r="W2744" s="17" ph="1"/>
      <c r="X2744" s="13" ph="1"/>
      <c r="Y2744" s="13" ph="1"/>
    </row>
    <row r="2745" spans="1:25" s="19" customFormat="1" ht="22.5" customHeight="1" ph="1" x14ac:dyDescent="0.35">
      <c r="A2745" s="106" t="s" ph="1">
        <v>1936</v>
      </c>
      <c r="B2745" s="5" ph="1"/>
      <c r="C2745" s="13" t="s" ph="1">
        <v>707</v>
      </c>
      <c r="D2745" s="123" ph="1"/>
      <c r="E2745" s="123" ph="1"/>
      <c r="F2745" s="13" ph="1"/>
      <c r="G2745" s="13" t="s" ph="1">
        <v>1933</v>
      </c>
      <c r="H2745" s="13" t="s" ph="1">
        <v>2987</v>
      </c>
      <c r="I2745" s="13" t="s" ph="1">
        <v>4104</v>
      </c>
      <c r="J2745" s="13" ph="1"/>
      <c r="K2745" s="13" ph="1"/>
      <c r="L2745" s="13" ph="1"/>
      <c r="M2745" s="14" t="str" ph="1">
        <f>IFERROR(INDEX([1]!_born[生没年],
MATCH(I2745,[1]!_born[作],0)),"")</f>
        <v/>
      </c>
      <c r="N2745" s="14" t="str" ph="1">
        <f>IFERROR(INDEX([1]!_born[生没年],
MATCH(K2745,[1]!_born[作],0)),"")</f>
        <v/>
      </c>
      <c r="O2745" s="13" t="s" ph="1">
        <v>9125</v>
      </c>
      <c r="P2745" s="13" ph="1"/>
      <c r="Q2745" s="13" ph="1"/>
      <c r="R2745" s="16" t="s" ph="1">
        <v>966</v>
      </c>
      <c r="S2745" s="13" t="s" ph="1">
        <v>9126</v>
      </c>
      <c r="T2745" s="13" t="s" ph="1">
        <v>9122</v>
      </c>
      <c r="U2745" s="16" ph="1"/>
      <c r="V2745" s="17" ph="1">
        <v>2500</v>
      </c>
      <c r="W2745" s="17" ph="1"/>
      <c r="X2745" s="13" ph="1"/>
      <c r="Y2745" s="13" ph="1"/>
    </row>
    <row r="2746" spans="1:25" s="19" customFormat="1" ht="22.5" customHeight="1" ph="1" x14ac:dyDescent="0.35">
      <c r="A2746" s="106" ph="1"/>
      <c r="B2746" s="5" ph="1"/>
      <c r="C2746" s="13" t="s" ph="1">
        <v>25</v>
      </c>
      <c r="D2746" s="123" ph="1"/>
      <c r="E2746" s="123" ph="1"/>
      <c r="F2746" s="13" ph="1"/>
      <c r="G2746" s="13" t="s" ph="1">
        <v>699</v>
      </c>
      <c r="H2746" s="13" t="s" ph="1">
        <v>2987</v>
      </c>
      <c r="I2746" s="13" t="s" ph="1">
        <v>4104</v>
      </c>
      <c r="J2746" s="13" ph="1"/>
      <c r="K2746" s="13" ph="1"/>
      <c r="L2746" s="13" ph="1"/>
      <c r="M2746" s="14" t="str" ph="1">
        <f>IFERROR(INDEX([1]!_born[生没年],
MATCH(I2746,[1]!_born[作],0)),"")</f>
        <v/>
      </c>
      <c r="N2746" s="14" t="str" ph="1">
        <f>IFERROR(INDEX([1]!_born[生没年],
MATCH(K2746,[1]!_born[作],0)),"")</f>
        <v/>
      </c>
      <c r="O2746" s="15" t="s" ph="1">
        <v>9127</v>
      </c>
      <c r="P2746" s="13" ph="1"/>
      <c r="Q2746" s="13" ph="1"/>
      <c r="R2746" s="16" t="s" ph="1">
        <v>987</v>
      </c>
      <c r="S2746" s="13" ph="1"/>
      <c r="T2746" s="13" t="s" ph="1">
        <v>3988</v>
      </c>
      <c r="U2746" s="16" ph="1"/>
      <c r="V2746" s="17" ph="1">
        <v>1200</v>
      </c>
      <c r="W2746" s="17" ph="1">
        <v>650</v>
      </c>
      <c r="X2746" s="5" t="s" ph="1">
        <v>9128</v>
      </c>
      <c r="Y2746" s="5" ph="1"/>
    </row>
    <row r="2747" spans="1:25" s="19" customFormat="1" ht="22.5" customHeight="1" ph="1" x14ac:dyDescent="0.35">
      <c r="A2747" s="106" ph="1"/>
      <c r="B2747" s="5" ph="1"/>
      <c r="C2747" s="13" t="s" ph="1">
        <v>707</v>
      </c>
      <c r="D2747" s="123" ph="1">
        <v>1</v>
      </c>
      <c r="E2747" s="123" ph="1">
        <v>2</v>
      </c>
      <c r="F2747" s="13" ph="1"/>
      <c r="G2747" s="13" t="s" ph="1">
        <v>1933</v>
      </c>
      <c r="H2747" s="13" t="s" ph="1">
        <v>2987</v>
      </c>
      <c r="I2747" s="13" t="s" ph="1">
        <v>4104</v>
      </c>
      <c r="J2747" s="13" ph="1"/>
      <c r="K2747" s="13" ph="1"/>
      <c r="L2747" s="13" ph="1"/>
      <c r="M2747" s="14" t="str" ph="1">
        <f>IFERROR(INDEX([1]!_born[生没年],
MATCH(I2747,[1]!_born[作],0)),"")</f>
        <v/>
      </c>
      <c r="N2747" s="14" t="str" ph="1">
        <f>IFERROR(INDEX([1]!_born[生没年],
MATCH(K2747,[1]!_born[作],0)),"")</f>
        <v/>
      </c>
      <c r="O2747" s="15" t="s" ph="1">
        <v>9129</v>
      </c>
      <c r="P2747" s="13" ph="1"/>
      <c r="Q2747" s="13" ph="1"/>
      <c r="R2747" s="16" ph="1"/>
      <c r="S2747" s="13" t="s" ph="1">
        <v>9130</v>
      </c>
      <c r="T2747" s="13" t="s" ph="1">
        <v>4827</v>
      </c>
      <c r="U2747" s="16" ph="1"/>
      <c r="V2747" s="17" ph="1">
        <f>1300</f>
        <v>1300</v>
      </c>
      <c r="W2747" s="17" ph="1"/>
      <c r="X2747" s="13" ph="1"/>
      <c r="Y2747" s="13" ph="1"/>
    </row>
    <row r="2748" spans="1:25" s="19" customFormat="1" ht="22.5" customHeight="1" ph="1" x14ac:dyDescent="0.35">
      <c r="A2748" s="106" ph="1"/>
      <c r="B2748" s="5" ph="1"/>
      <c r="C2748" s="13" t="s" ph="1">
        <v>707</v>
      </c>
      <c r="D2748" s="123" ph="1">
        <v>2</v>
      </c>
      <c r="E2748" s="123" ph="1">
        <v>2</v>
      </c>
      <c r="F2748" s="13" ph="1"/>
      <c r="G2748" s="13" t="s" ph="1">
        <v>1933</v>
      </c>
      <c r="H2748" s="13" t="s" ph="1">
        <v>2987</v>
      </c>
      <c r="I2748" s="13" t="s" ph="1">
        <v>4104</v>
      </c>
      <c r="J2748" s="13" ph="1"/>
      <c r="K2748" s="13" ph="1"/>
      <c r="L2748" s="13" ph="1"/>
      <c r="M2748" s="14" t="str" ph="1">
        <f>IFERROR(INDEX([1]!_born[生没年],
MATCH(I2748,[1]!_born[作],0)),"")</f>
        <v/>
      </c>
      <c r="N2748" s="14" t="str" ph="1">
        <f>IFERROR(INDEX([1]!_born[生没年],
MATCH(K2748,[1]!_born[作],0)),"")</f>
        <v/>
      </c>
      <c r="O2748" s="15" t="s" ph="1">
        <v>9129</v>
      </c>
      <c r="P2748" s="13" ph="1"/>
      <c r="Q2748" s="13" ph="1"/>
      <c r="R2748" s="16" ph="1"/>
      <c r="S2748" s="13" t="s" ph="1">
        <v>9131</v>
      </c>
      <c r="T2748" s="13" t="s" ph="1">
        <v>4827</v>
      </c>
      <c r="U2748" s="16" ph="1"/>
      <c r="V2748" s="17" ph="1">
        <f>1300</f>
        <v>1300</v>
      </c>
      <c r="W2748" s="17" ph="1"/>
      <c r="X2748" s="13" ph="1"/>
      <c r="Y2748" s="13" ph="1"/>
    </row>
    <row r="2749" spans="1:25" s="19" customFormat="1" ht="22.5" customHeight="1" ph="1" x14ac:dyDescent="0.35">
      <c r="A2749" s="106" t="s" ph="1">
        <v>10254</v>
      </c>
      <c r="B2749" s="5" ph="1"/>
      <c r="C2749" s="13" t="s" ph="1">
        <v>25</v>
      </c>
      <c r="D2749" s="123" ph="1">
        <v>8</v>
      </c>
      <c r="E2749" s="123" t="s" ph="1">
        <v>1225</v>
      </c>
      <c r="F2749" s="13" ph="1"/>
      <c r="G2749" s="13" t="s" ph="1">
        <v>699</v>
      </c>
      <c r="H2749" s="13" t="s" ph="1">
        <v>2987</v>
      </c>
      <c r="I2749" s="13" t="s" ph="1">
        <v>4104</v>
      </c>
      <c r="J2749" s="13" ph="1"/>
      <c r="K2749" s="13" ph="1"/>
      <c r="L2749" s="13" ph="1"/>
      <c r="M2749" s="14" t="str" ph="1">
        <f>IFERROR(INDEX([1]!_born[生没年],
MATCH(I2749,[1]!_born[作],0)),"")</f>
        <v/>
      </c>
      <c r="N2749" s="14" t="str" ph="1">
        <f>IFERROR(INDEX([1]!_born[生没年],
MATCH(K2749,[1]!_born[作],0)),"")</f>
        <v/>
      </c>
      <c r="O2749" s="13" t="s" ph="1">
        <v>10291</v>
      </c>
      <c r="P2749" s="13" ph="1"/>
      <c r="Q2749" s="13" ph="1"/>
      <c r="R2749" s="16" ph="1">
        <v>32860</v>
      </c>
      <c r="S2749" s="13" t="s" ph="1">
        <v>10292</v>
      </c>
      <c r="T2749" s="13" t="s" ph="1">
        <v>9122</v>
      </c>
      <c r="U2749" s="16" t="s" ph="1">
        <v>10253</v>
      </c>
      <c r="V2749" s="17" t="s" ph="1">
        <v>1225</v>
      </c>
      <c r="W2749" s="17" t="s" ph="1">
        <v>1225</v>
      </c>
      <c r="X2749" s="13" t="s" ph="1">
        <v>10293</v>
      </c>
      <c r="Y2749" s="13" ph="1"/>
    </row>
    <row r="2750" spans="1:25" s="19" customFormat="1" ht="22.5" customHeight="1" ph="1" x14ac:dyDescent="0.35">
      <c r="A2750" s="106" t="s" ph="1">
        <v>10256</v>
      </c>
      <c r="B2750" s="5" t="s" ph="1">
        <v>1741</v>
      </c>
      <c r="C2750" s="13" t="s" ph="1">
        <v>25</v>
      </c>
      <c r="D2750" s="123" ph="1"/>
      <c r="E2750" s="123" ph="1"/>
      <c r="F2750" s="13" ph="1"/>
      <c r="G2750" s="13" t="s" ph="1">
        <v>699</v>
      </c>
      <c r="H2750" s="13" t="s" ph="1">
        <v>2987</v>
      </c>
      <c r="I2750" s="13" t="s" ph="1">
        <v>10294</v>
      </c>
      <c r="J2750" s="13" ph="1"/>
      <c r="K2750" s="13" ph="1"/>
      <c r="L2750" s="13" ph="1"/>
      <c r="M2750" s="14" t="str" ph="1">
        <f>IFERROR(INDEX([1]!_born[生没年],
MATCH(I2750,[1]!_born[作],0)),"")</f>
        <v/>
      </c>
      <c r="N2750" s="14" t="str" ph="1">
        <f>IFERROR(INDEX([1]!_born[生没年],
MATCH(K2750,[1]!_born[作],0)),"")</f>
        <v/>
      </c>
      <c r="O2750" s="13" t="s" ph="1">
        <v>10295</v>
      </c>
      <c r="P2750" s="13" ph="1"/>
      <c r="Q2750" s="13" ph="1"/>
      <c r="R2750" s="16" ph="1">
        <v>29062</v>
      </c>
      <c r="S2750" s="13" t="s" ph="1">
        <v>10296</v>
      </c>
      <c r="T2750" s="13" t="s" ph="1">
        <v>10297</v>
      </c>
      <c r="U2750" s="16" t="s" ph="1">
        <v>10253</v>
      </c>
      <c r="V2750" s="17" ph="1">
        <f>864*1.03</f>
        <v>889.92000000000007</v>
      </c>
      <c r="W2750" s="17" t="s" ph="1">
        <v>1225</v>
      </c>
      <c r="X2750" s="13" t="s" ph="1">
        <v>10293</v>
      </c>
      <c r="Y2750" s="13" ph="1"/>
    </row>
    <row r="2751" spans="1:25" s="19" customFormat="1" ht="22.5" customHeight="1" ph="1" x14ac:dyDescent="0.35">
      <c r="A2751" s="106" t="s" ph="1">
        <v>10298</v>
      </c>
      <c r="B2751" s="5" t="s" ph="1">
        <v>2795</v>
      </c>
      <c r="C2751" s="13" t="s" ph="1">
        <v>25</v>
      </c>
      <c r="D2751" s="123" ph="1"/>
      <c r="E2751" s="123" ph="1"/>
      <c r="F2751" s="13" ph="1"/>
      <c r="G2751" s="13" t="s" ph="1">
        <v>699</v>
      </c>
      <c r="H2751" s="13" t="s" ph="1">
        <v>2987</v>
      </c>
      <c r="I2751" s="13" t="s" ph="1">
        <v>10299</v>
      </c>
      <c r="J2751" s="13" ph="1"/>
      <c r="K2751" s="13" ph="1"/>
      <c r="L2751" s="13" ph="1"/>
      <c r="M2751" s="14" t="str" ph="1">
        <f>IFERROR(INDEX([1]!_born[生没年],
MATCH(I2751,[1]!_born[作],0)),"")</f>
        <v/>
      </c>
      <c r="N2751" s="14" t="str" ph="1">
        <f>IFERROR(INDEX([1]!_born[生没年],
MATCH(K2751,[1]!_born[作],0)),"")</f>
        <v/>
      </c>
      <c r="O2751" s="13" t="s" ph="1">
        <v>10300</v>
      </c>
      <c r="P2751" s="13" ph="1"/>
      <c r="Q2751" s="13" ph="1"/>
      <c r="R2751" s="16" t="s" ph="1">
        <v>10255</v>
      </c>
      <c r="S2751" s="13" t="s" ph="1">
        <v>10301</v>
      </c>
      <c r="T2751" s="13" t="s" ph="1">
        <v>9122</v>
      </c>
      <c r="U2751" s="16" t="s" ph="1">
        <v>10253</v>
      </c>
      <c r="V2751" s="17" ph="1">
        <v>850</v>
      </c>
      <c r="W2751" s="17" t="s" ph="1">
        <v>1225</v>
      </c>
      <c r="X2751" s="13" t="s" ph="1">
        <v>10293</v>
      </c>
      <c r="Y2751" s="13" ph="1"/>
    </row>
    <row r="2752" spans="1:25" s="19" customFormat="1" ht="22.5" customHeight="1" ph="1" x14ac:dyDescent="0.35">
      <c r="A2752" s="106" t="s" ph="1">
        <v>2794</v>
      </c>
      <c r="B2752" s="5" t="s" ph="1">
        <v>2795</v>
      </c>
      <c r="C2752" s="13" t="s" ph="1">
        <v>25</v>
      </c>
      <c r="D2752" s="123" ph="1">
        <v>1</v>
      </c>
      <c r="E2752" s="123" ph="1">
        <v>2</v>
      </c>
      <c r="F2752" s="13" ph="1"/>
      <c r="G2752" s="13" t="s" ph="1">
        <v>699</v>
      </c>
      <c r="H2752" s="13" t="s" ph="1">
        <v>2987</v>
      </c>
      <c r="I2752" s="13" t="s" ph="1">
        <v>9132</v>
      </c>
      <c r="J2752" s="13" ph="1"/>
      <c r="K2752" s="13" ph="1"/>
      <c r="L2752" s="13" ph="1"/>
      <c r="M2752" s="14" t="str" ph="1">
        <f>IFERROR(INDEX([1]!_born[生没年],
MATCH(I2752,[1]!_born[作],0)),"")</f>
        <v/>
      </c>
      <c r="N2752" s="14" t="str" ph="1">
        <f>IFERROR(INDEX([1]!_born[生没年],
MATCH(K2752,[1]!_born[作],0)),"")</f>
        <v/>
      </c>
      <c r="O2752" s="13" t="s" ph="1">
        <v>9133</v>
      </c>
      <c r="P2752" s="13" ph="1"/>
      <c r="Q2752" s="13" ph="1"/>
      <c r="R2752" s="16" ph="1">
        <v>41335</v>
      </c>
      <c r="S2752" s="13" t="s" ph="1">
        <v>9134</v>
      </c>
      <c r="T2752" s="13" t="s" ph="1">
        <v>3988</v>
      </c>
      <c r="U2752" s="16" ph="1">
        <v>41821</v>
      </c>
      <c r="V2752" s="17" ph="1">
        <f>1600*1.05</f>
        <v>1680</v>
      </c>
      <c r="W2752" s="17" ph="1">
        <v>860</v>
      </c>
      <c r="X2752" s="13" t="s" ph="1">
        <v>9135</v>
      </c>
      <c r="Y2752" s="13" ph="1"/>
    </row>
    <row r="2753" spans="1:25" s="19" customFormat="1" ht="22.5" customHeight="1" ph="1" x14ac:dyDescent="0.35">
      <c r="A2753" s="106" t="s" ph="1">
        <v>3165</v>
      </c>
      <c r="B2753" s="5" t="s" ph="1">
        <v>2795</v>
      </c>
      <c r="C2753" s="13" t="s" ph="1">
        <v>25</v>
      </c>
      <c r="D2753" s="123" ph="1">
        <v>2</v>
      </c>
      <c r="E2753" s="123" ph="1">
        <v>2</v>
      </c>
      <c r="F2753" s="13" ph="1"/>
      <c r="G2753" s="13" t="s" ph="1">
        <v>699</v>
      </c>
      <c r="H2753" s="13" t="s" ph="1">
        <v>2987</v>
      </c>
      <c r="I2753" s="13" t="s" ph="1">
        <v>9132</v>
      </c>
      <c r="J2753" s="13" ph="1"/>
      <c r="K2753" s="13" ph="1"/>
      <c r="L2753" s="13" ph="1"/>
      <c r="M2753" s="14" t="str" ph="1">
        <f>IFERROR(INDEX([1]!_born[生没年],
MATCH(I2753,[1]!_born[作],0)),"")</f>
        <v/>
      </c>
      <c r="N2753" s="14" t="str" ph="1">
        <f>IFERROR(INDEX([1]!_born[生没年],
MATCH(K2753,[1]!_born[作],0)),"")</f>
        <v/>
      </c>
      <c r="O2753" s="13" t="s" ph="1">
        <v>9136</v>
      </c>
      <c r="P2753" s="13" ph="1"/>
      <c r="Q2753" s="13" ph="1"/>
      <c r="R2753" s="16" ph="1">
        <v>41426</v>
      </c>
      <c r="S2753" s="13" t="s" ph="1">
        <v>9137</v>
      </c>
      <c r="T2753" s="13" t="s" ph="1">
        <v>3988</v>
      </c>
      <c r="U2753" s="16" ph="1">
        <v>44794</v>
      </c>
      <c r="V2753" s="17" ph="1">
        <f>1600*1.05</f>
        <v>1680</v>
      </c>
      <c r="W2753" s="17" ph="1">
        <f>658+357</f>
        <v>1015</v>
      </c>
      <c r="X2753" s="13" t="s" ph="1">
        <v>9138</v>
      </c>
      <c r="Y2753" s="13" ph="1"/>
    </row>
    <row r="2754" spans="1:25" s="19" customFormat="1" ht="22.5" customHeight="1" ph="1" x14ac:dyDescent="0.35">
      <c r="A2754" s="106" t="s" ph="1">
        <v>2869</v>
      </c>
      <c r="B2754" s="5" t="s" ph="1">
        <v>2868</v>
      </c>
      <c r="C2754" s="13" t="s" ph="1">
        <v>25</v>
      </c>
      <c r="D2754" s="123" ph="1"/>
      <c r="E2754" s="123" ph="1"/>
      <c r="F2754" s="13" ph="1"/>
      <c r="G2754" s="13" t="s" ph="1">
        <v>699</v>
      </c>
      <c r="H2754" s="13" t="s" ph="1">
        <v>2987</v>
      </c>
      <c r="I2754" s="13" t="s" ph="1">
        <v>9139</v>
      </c>
      <c r="J2754" s="13" ph="1"/>
      <c r="K2754" s="13" ph="1"/>
      <c r="L2754" s="13" ph="1"/>
      <c r="M2754" s="14" t="str" ph="1">
        <f>IFERROR(INDEX([1]!_born[生没年],
MATCH(I2754,[1]!_born[作],0)),"")</f>
        <v/>
      </c>
      <c r="N2754" s="14" t="str" ph="1">
        <f>IFERROR(INDEX([1]!_born[生没年],
MATCH(K2754,[1]!_born[作],0)),"")</f>
        <v/>
      </c>
      <c r="O2754" s="13" t="s" ph="1">
        <v>9140</v>
      </c>
      <c r="P2754" s="13" ph="1"/>
      <c r="Q2754" s="13" ph="1"/>
      <c r="R2754" s="16" t="s" ph="1">
        <v>2871</v>
      </c>
      <c r="S2754" s="13" t="s" ph="1">
        <v>9141</v>
      </c>
      <c r="T2754" s="13" t="s" ph="1">
        <v>9142</v>
      </c>
      <c r="U2754" s="16" ph="1">
        <v>42491</v>
      </c>
      <c r="V2754" s="17" ph="1">
        <f>850*1.08</f>
        <v>918.00000000000011</v>
      </c>
      <c r="W2754" s="17" ph="1">
        <f>850*1.08</f>
        <v>918.00000000000011</v>
      </c>
      <c r="X2754" s="13" t="s" ph="1">
        <v>2870</v>
      </c>
      <c r="Y2754" s="13" ph="1"/>
    </row>
    <row r="2755" spans="1:25" s="19" customFormat="1" ht="22.5" customHeight="1" ph="1" x14ac:dyDescent="0.35">
      <c r="A2755" s="107" t="s" ph="1">
        <v>2416</v>
      </c>
      <c r="B2755" s="18" t="s" ph="1">
        <v>1941</v>
      </c>
      <c r="C2755" s="19" t="s" ph="1">
        <v>707</v>
      </c>
      <c r="D2755" s="124" ph="1">
        <v>1</v>
      </c>
      <c r="E2755" s="124" t="s" ph="1">
        <v>3145</v>
      </c>
      <c r="G2755" s="19" t="s" ph="1">
        <v>1933</v>
      </c>
      <c r="H2755" s="19" t="s" ph="1">
        <v>2987</v>
      </c>
      <c r="I2755" s="19" t="s" ph="1">
        <v>10302</v>
      </c>
      <c r="M2755" s="27" t="str" ph="1">
        <f>IFERROR(INDEX([1]!_born[生没年],
MATCH(I2755,[1]!_born[作],0)),"")</f>
        <v/>
      </c>
      <c r="N2755" s="27" t="str" ph="1">
        <f>IFERROR(INDEX([1]!_born[生没年],
MATCH(K2755,[1]!_born[作],0)),"")</f>
        <v/>
      </c>
      <c r="O2755" s="19" t="s" ph="1">
        <v>9143</v>
      </c>
      <c r="R2755" s="20" t="s" ph="1">
        <v>966</v>
      </c>
      <c r="S2755" s="19" t="s" ph="1">
        <v>9144</v>
      </c>
      <c r="T2755" s="19" t="s" ph="1">
        <v>2417</v>
      </c>
      <c r="U2755" s="20" ph="1">
        <v>39000</v>
      </c>
      <c r="V2755" s="21" ph="1">
        <f t="shared" ref="V2755:V2763" si="17">762*1.05</f>
        <v>800.1</v>
      </c>
      <c r="W2755" s="21" ph="1">
        <v>159</v>
      </c>
      <c r="X2755" s="19" t="s" ph="1">
        <v>9145</v>
      </c>
    </row>
    <row r="2756" spans="1:25" s="19" customFormat="1" ht="22.5" customHeight="1" ph="1" x14ac:dyDescent="0.35">
      <c r="A2756" s="107" t="s" ph="1">
        <v>2418</v>
      </c>
      <c r="B2756" s="18" t="s" ph="1">
        <v>1941</v>
      </c>
      <c r="C2756" s="19" t="s" ph="1">
        <v>707</v>
      </c>
      <c r="D2756" s="124" ph="1">
        <v>2</v>
      </c>
      <c r="E2756" s="124" t="s" ph="1">
        <v>3145</v>
      </c>
      <c r="G2756" s="19" t="s" ph="1">
        <v>1933</v>
      </c>
      <c r="H2756" s="19" t="s" ph="1">
        <v>2987</v>
      </c>
      <c r="I2756" s="19" t="s" ph="1">
        <v>10302</v>
      </c>
      <c r="M2756" s="27" t="str" ph="1">
        <f>IFERROR(INDEX([1]!_born[生没年],
MATCH(I2756,[1]!_born[作],0)),"")</f>
        <v/>
      </c>
      <c r="N2756" s="27" t="str" ph="1">
        <f>IFERROR(INDEX([1]!_born[生没年],
MATCH(K2756,[1]!_born[作],0)),"")</f>
        <v/>
      </c>
      <c r="O2756" s="19" t="s" ph="1">
        <v>9143</v>
      </c>
      <c r="R2756" s="20" t="s" ph="1">
        <v>743</v>
      </c>
      <c r="S2756" s="19" t="s" ph="1">
        <v>9144</v>
      </c>
      <c r="T2756" s="19" t="s" ph="1">
        <v>2417</v>
      </c>
      <c r="U2756" s="20" ph="1">
        <v>39000</v>
      </c>
      <c r="V2756" s="21" ph="1">
        <f t="shared" si="17"/>
        <v>800.1</v>
      </c>
      <c r="W2756" s="21" ph="1">
        <v>280</v>
      </c>
      <c r="X2756" s="19" t="s" ph="1">
        <v>9145</v>
      </c>
    </row>
    <row r="2757" spans="1:25" s="19" customFormat="1" ht="22.5" customHeight="1" ph="1" x14ac:dyDescent="0.35">
      <c r="A2757" s="107" t="s" ph="1">
        <v>2419</v>
      </c>
      <c r="B2757" s="18" t="s" ph="1">
        <v>1941</v>
      </c>
      <c r="C2757" s="19" t="s" ph="1">
        <v>707</v>
      </c>
      <c r="D2757" s="124" ph="1">
        <v>3</v>
      </c>
      <c r="E2757" s="124" t="s" ph="1">
        <v>3145</v>
      </c>
      <c r="G2757" s="19" t="s" ph="1">
        <v>1933</v>
      </c>
      <c r="H2757" s="19" t="s" ph="1">
        <v>2987</v>
      </c>
      <c r="I2757" s="19" t="s" ph="1">
        <v>10302</v>
      </c>
      <c r="M2757" s="27" t="str" ph="1">
        <f>IFERROR(INDEX([1]!_born[生没年],
MATCH(I2757,[1]!_born[作],0)),"")</f>
        <v/>
      </c>
      <c r="N2757" s="27" t="str" ph="1">
        <f>IFERROR(INDEX([1]!_born[生没年],
MATCH(K2757,[1]!_born[作],0)),"")</f>
        <v/>
      </c>
      <c r="O2757" s="19" t="s" ph="1">
        <v>9143</v>
      </c>
      <c r="R2757" s="20" t="s" ph="1">
        <v>743</v>
      </c>
      <c r="S2757" s="19" t="s" ph="1">
        <v>9144</v>
      </c>
      <c r="T2757" s="19" t="s" ph="1">
        <v>2417</v>
      </c>
      <c r="U2757" s="20" ph="1">
        <v>39000</v>
      </c>
      <c r="V2757" s="21" ph="1">
        <f t="shared" si="17"/>
        <v>800.1</v>
      </c>
      <c r="W2757" s="21" ph="1">
        <v>280</v>
      </c>
      <c r="X2757" s="19" t="s" ph="1">
        <v>9145</v>
      </c>
    </row>
    <row r="2758" spans="1:25" s="19" customFormat="1" ht="22.5" customHeight="1" ph="1" x14ac:dyDescent="0.35">
      <c r="A2758" s="107" t="s" ph="1">
        <v>2420</v>
      </c>
      <c r="B2758" s="18" t="s" ph="1">
        <v>1941</v>
      </c>
      <c r="C2758" s="19" t="s" ph="1">
        <v>707</v>
      </c>
      <c r="D2758" s="124" ph="1">
        <v>4</v>
      </c>
      <c r="E2758" s="124" t="s" ph="1">
        <v>3145</v>
      </c>
      <c r="G2758" s="19" t="s" ph="1">
        <v>1933</v>
      </c>
      <c r="H2758" s="19" t="s" ph="1">
        <v>2987</v>
      </c>
      <c r="I2758" s="19" t="s" ph="1">
        <v>10302</v>
      </c>
      <c r="M2758" s="27" t="str" ph="1">
        <f>IFERROR(INDEX([1]!_born[生没年],
MATCH(I2758,[1]!_born[作],0)),"")</f>
        <v/>
      </c>
      <c r="N2758" s="27" t="str" ph="1">
        <f>IFERROR(INDEX([1]!_born[生没年],
MATCH(K2758,[1]!_born[作],0)),"")</f>
        <v/>
      </c>
      <c r="O2758" s="19" t="s" ph="1">
        <v>9143</v>
      </c>
      <c r="R2758" s="20" t="s" ph="1">
        <v>742</v>
      </c>
      <c r="S2758" s="19" t="s" ph="1">
        <v>9144</v>
      </c>
      <c r="T2758" s="19" t="s" ph="1">
        <v>2417</v>
      </c>
      <c r="U2758" s="20" t="s" ph="1">
        <v>772</v>
      </c>
      <c r="V2758" s="21" ph="1">
        <f t="shared" si="17"/>
        <v>800.1</v>
      </c>
      <c r="W2758" s="21" ph="1">
        <v>150</v>
      </c>
      <c r="X2758" s="19" t="s" ph="1">
        <v>1908</v>
      </c>
    </row>
    <row r="2759" spans="1:25" s="19" customFormat="1" ht="22.5" customHeight="1" ph="1" x14ac:dyDescent="0.35">
      <c r="A2759" s="107" t="s" ph="1">
        <v>2421</v>
      </c>
      <c r="B2759" s="18" t="s" ph="1">
        <v>1941</v>
      </c>
      <c r="C2759" s="19" t="s" ph="1">
        <v>707</v>
      </c>
      <c r="D2759" s="124" ph="1">
        <v>5</v>
      </c>
      <c r="E2759" s="124" t="s" ph="1">
        <v>3145</v>
      </c>
      <c r="G2759" s="19" t="s" ph="1">
        <v>1933</v>
      </c>
      <c r="H2759" s="19" t="s" ph="1">
        <v>2987</v>
      </c>
      <c r="I2759" s="19" t="s" ph="1">
        <v>10302</v>
      </c>
      <c r="M2759" s="27" t="str" ph="1">
        <f>IFERROR(INDEX([1]!_born[生没年],
MATCH(I2759,[1]!_born[作],0)),"")</f>
        <v/>
      </c>
      <c r="N2759" s="27" t="str" ph="1">
        <f>IFERROR(INDEX([1]!_born[生没年],
MATCH(K2759,[1]!_born[作],0)),"")</f>
        <v/>
      </c>
      <c r="O2759" s="19" t="s" ph="1">
        <v>9143</v>
      </c>
      <c r="R2759" s="20" t="s" ph="1">
        <v>742</v>
      </c>
      <c r="S2759" s="19" t="s" ph="1">
        <v>9144</v>
      </c>
      <c r="T2759" s="19" t="s" ph="1">
        <v>2417</v>
      </c>
      <c r="U2759" s="20" t="s" ph="1">
        <v>772</v>
      </c>
      <c r="V2759" s="21" ph="1">
        <f t="shared" si="17"/>
        <v>800.1</v>
      </c>
      <c r="W2759" s="21" ph="1">
        <v>450</v>
      </c>
      <c r="X2759" s="19" t="s" ph="1">
        <v>1908</v>
      </c>
    </row>
    <row r="2760" spans="1:25" s="19" customFormat="1" ht="22.5" customHeight="1" ph="1" x14ac:dyDescent="0.35">
      <c r="A2760" s="107" t="s" ph="1">
        <v>2422</v>
      </c>
      <c r="B2760" s="18" t="s" ph="1">
        <v>1941</v>
      </c>
      <c r="C2760" s="19" t="s" ph="1">
        <v>707</v>
      </c>
      <c r="D2760" s="124" ph="1">
        <v>6</v>
      </c>
      <c r="E2760" s="124" t="s" ph="1">
        <v>3145</v>
      </c>
      <c r="G2760" s="19" t="s" ph="1">
        <v>1933</v>
      </c>
      <c r="H2760" s="19" t="s" ph="1">
        <v>2987</v>
      </c>
      <c r="I2760" s="19" t="s" ph="1">
        <v>10302</v>
      </c>
      <c r="M2760" s="27" t="str" ph="1">
        <f>IFERROR(INDEX([1]!_born[生没年],
MATCH(I2760,[1]!_born[作],0)),"")</f>
        <v/>
      </c>
      <c r="N2760" s="27" t="str" ph="1">
        <f>IFERROR(INDEX([1]!_born[生没年],
MATCH(K2760,[1]!_born[作],0)),"")</f>
        <v/>
      </c>
      <c r="O2760" s="19" t="s" ph="1">
        <v>9143</v>
      </c>
      <c r="R2760" s="20" t="s" ph="1">
        <v>958</v>
      </c>
      <c r="S2760" s="19" t="s" ph="1">
        <v>9144</v>
      </c>
      <c r="T2760" s="19" t="s" ph="1">
        <v>2417</v>
      </c>
      <c r="U2760" s="20" t="s" ph="1">
        <v>772</v>
      </c>
      <c r="V2760" s="21" ph="1">
        <f t="shared" si="17"/>
        <v>800.1</v>
      </c>
      <c r="W2760" s="21" ph="1">
        <v>450</v>
      </c>
      <c r="X2760" s="19" t="s" ph="1">
        <v>1908</v>
      </c>
    </row>
    <row r="2761" spans="1:25" s="19" customFormat="1" ht="22.5" customHeight="1" ph="1" x14ac:dyDescent="0.35">
      <c r="A2761" s="107" t="s" ph="1">
        <v>2423</v>
      </c>
      <c r="B2761" s="18" t="s" ph="1">
        <v>1941</v>
      </c>
      <c r="C2761" s="19" t="s" ph="1">
        <v>707</v>
      </c>
      <c r="D2761" s="124" ph="1">
        <v>7</v>
      </c>
      <c r="E2761" s="124" t="s" ph="1">
        <v>3145</v>
      </c>
      <c r="G2761" s="19" t="s" ph="1">
        <v>1933</v>
      </c>
      <c r="H2761" s="19" t="s" ph="1">
        <v>2987</v>
      </c>
      <c r="I2761" s="19" t="s" ph="1">
        <v>10302</v>
      </c>
      <c r="M2761" s="27" t="str" ph="1">
        <f>IFERROR(INDEX([1]!_born[生没年],
MATCH(I2761,[1]!_born[作],0)),"")</f>
        <v/>
      </c>
      <c r="N2761" s="27" t="str" ph="1">
        <f>IFERROR(INDEX([1]!_born[生没年],
MATCH(K2761,[1]!_born[作],0)),"")</f>
        <v/>
      </c>
      <c r="O2761" s="19" t="s" ph="1">
        <v>9143</v>
      </c>
      <c r="R2761" s="20" t="s" ph="1">
        <v>958</v>
      </c>
      <c r="S2761" s="19" t="s" ph="1">
        <v>9144</v>
      </c>
      <c r="T2761" s="19" t="s" ph="1">
        <v>2417</v>
      </c>
      <c r="U2761" s="20" t="s" ph="1">
        <v>772</v>
      </c>
      <c r="V2761" s="21" ph="1">
        <f t="shared" si="17"/>
        <v>800.1</v>
      </c>
      <c r="W2761" s="21" ph="1">
        <v>450</v>
      </c>
      <c r="X2761" s="19" t="s" ph="1">
        <v>1908</v>
      </c>
    </row>
    <row r="2762" spans="1:25" s="19" customFormat="1" ht="22.5" customHeight="1" ph="1" x14ac:dyDescent="0.35">
      <c r="A2762" s="107" t="s" ph="1">
        <v>2424</v>
      </c>
      <c r="B2762" s="18" t="s" ph="1">
        <v>1941</v>
      </c>
      <c r="C2762" s="19" t="s" ph="1">
        <v>707</v>
      </c>
      <c r="D2762" s="124" ph="1">
        <v>8</v>
      </c>
      <c r="E2762" s="124" t="s" ph="1">
        <v>3145</v>
      </c>
      <c r="G2762" s="19" t="s" ph="1">
        <v>1933</v>
      </c>
      <c r="H2762" s="19" t="s" ph="1">
        <v>2987</v>
      </c>
      <c r="I2762" s="19" t="s" ph="1">
        <v>10302</v>
      </c>
      <c r="M2762" s="27" t="str" ph="1">
        <f>IFERROR(INDEX([1]!_born[生没年],
MATCH(I2762,[1]!_born[作],0)),"")</f>
        <v/>
      </c>
      <c r="N2762" s="27" t="str" ph="1">
        <f>IFERROR(INDEX([1]!_born[生没年],
MATCH(K2762,[1]!_born[作],0)),"")</f>
        <v/>
      </c>
      <c r="O2762" s="19" t="s" ph="1">
        <v>9143</v>
      </c>
      <c r="R2762" s="20" t="s" ph="1">
        <v>711</v>
      </c>
      <c r="S2762" s="19" t="s" ph="1">
        <v>9144</v>
      </c>
      <c r="T2762" s="19" t="s" ph="1">
        <v>2417</v>
      </c>
      <c r="U2762" s="20" t="s" ph="1">
        <v>772</v>
      </c>
      <c r="V2762" s="21" ph="1">
        <f t="shared" si="17"/>
        <v>800.1</v>
      </c>
      <c r="W2762" s="21" ph="1">
        <v>450</v>
      </c>
      <c r="X2762" s="19" t="s" ph="1">
        <v>1908</v>
      </c>
    </row>
    <row r="2763" spans="1:25" s="19" customFormat="1" ht="22.5" customHeight="1" ph="1" x14ac:dyDescent="0.35">
      <c r="A2763" s="107" t="s" ph="1">
        <v>2425</v>
      </c>
      <c r="B2763" s="18" t="s" ph="1">
        <v>1941</v>
      </c>
      <c r="C2763" s="19" t="s" ph="1">
        <v>707</v>
      </c>
      <c r="D2763" s="124" ph="1">
        <v>9</v>
      </c>
      <c r="E2763" s="124" t="s" ph="1">
        <v>3145</v>
      </c>
      <c r="G2763" s="19" t="s" ph="1">
        <v>1933</v>
      </c>
      <c r="H2763" s="19" t="s" ph="1">
        <v>2987</v>
      </c>
      <c r="I2763" s="19" t="s" ph="1">
        <v>10302</v>
      </c>
      <c r="M2763" s="27" t="str" ph="1">
        <f>IFERROR(INDEX([1]!_born[生没年],
MATCH(I2763,[1]!_born[作],0)),"")</f>
        <v/>
      </c>
      <c r="N2763" s="27" t="str" ph="1">
        <f>IFERROR(INDEX([1]!_born[生没年],
MATCH(K2763,[1]!_born[作],0)),"")</f>
        <v/>
      </c>
      <c r="O2763" s="19" t="s" ph="1">
        <v>9143</v>
      </c>
      <c r="R2763" s="20" t="s" ph="1">
        <v>798</v>
      </c>
      <c r="S2763" s="19" t="s" ph="1">
        <v>9144</v>
      </c>
      <c r="T2763" s="19" t="s" ph="1">
        <v>2417</v>
      </c>
      <c r="U2763" s="20" t="s" ph="1">
        <v>772</v>
      </c>
      <c r="V2763" s="21" ph="1">
        <f t="shared" si="17"/>
        <v>800.1</v>
      </c>
      <c r="W2763" s="21" ph="1">
        <v>450</v>
      </c>
      <c r="X2763" s="19" t="s" ph="1">
        <v>1908</v>
      </c>
    </row>
    <row r="2764" spans="1:25" ht="22.5" customHeight="1" ph="1" x14ac:dyDescent="0.35">
      <c r="C2764" s="13" t="s" ph="1">
        <v>707</v>
      </c>
      <c r="G2764" s="13" t="s" ph="1">
        <v>1910</v>
      </c>
      <c r="H2764" s="13" t="s" ph="1">
        <v>2987</v>
      </c>
      <c r="I2764" s="13" t="s" ph="1">
        <v>9146</v>
      </c>
      <c r="M2764" s="14" t="str" ph="1">
        <f>IFERROR(INDEX([1]!_born[生没年],
MATCH(I2764,[1]!_born[作],0)),"")</f>
        <v/>
      </c>
      <c r="N2764" s="14" t="str" ph="1">
        <f>IFERROR(INDEX([1]!_born[生没年],
MATCH(K2764,[1]!_born[作],0)),"")</f>
        <v/>
      </c>
      <c r="O2764" s="15" t="s" ph="1">
        <v>9147</v>
      </c>
      <c r="T2764" s="13" t="s" ph="1">
        <v>9148</v>
      </c>
      <c r="V2764" s="17" ph="1">
        <v>1000</v>
      </c>
      <c r="W2764" s="17" ph="1">
        <v>200</v>
      </c>
    </row>
    <row r="2765" spans="1:25" ht="22.5" customHeight="1" ph="1" x14ac:dyDescent="0.35">
      <c r="C2765" s="13" t="s" ph="1">
        <v>707</v>
      </c>
      <c r="G2765" s="13" t="s" ph="1">
        <v>1910</v>
      </c>
      <c r="H2765" s="13" t="s" ph="1">
        <v>2987</v>
      </c>
      <c r="I2765" s="13" t="s" ph="1">
        <v>9149</v>
      </c>
      <c r="M2765" s="14" t="str" ph="1">
        <f>IFERROR(INDEX([1]!_born[生没年],
MATCH(I2765,[1]!_born[作],0)),"")</f>
        <v/>
      </c>
      <c r="N2765" s="14" t="str" ph="1">
        <f>IFERROR(INDEX([1]!_born[生没年],
MATCH(K2765,[1]!_born[作],0)),"")</f>
        <v/>
      </c>
      <c r="O2765" s="13" t="s" ph="1">
        <v>9150</v>
      </c>
      <c r="R2765" s="16" t="s" ph="1">
        <v>966</v>
      </c>
      <c r="S2765" s="13" t="s" ph="1">
        <v>9151</v>
      </c>
      <c r="T2765" s="13" t="s" ph="1">
        <v>4603</v>
      </c>
      <c r="U2765" s="16" ph="1">
        <v>36817</v>
      </c>
      <c r="V2765" s="17" ph="1">
        <f>1850*1.05</f>
        <v>1942.5</v>
      </c>
      <c r="W2765" s="17" ph="1">
        <f>1850*1.05</f>
        <v>1942.5</v>
      </c>
    </row>
    <row r="2766" spans="1:25" ht="22.5" customHeight="1" ph="1" x14ac:dyDescent="0.35">
      <c r="A2766" s="106" t="s" ph="1">
        <v>2426</v>
      </c>
      <c r="B2766" s="5" t="s" ph="1">
        <v>2427</v>
      </c>
      <c r="C2766" s="13" t="s" ph="1">
        <v>707</v>
      </c>
      <c r="G2766" s="13" t="s" ph="1">
        <v>1933</v>
      </c>
      <c r="H2766" s="13" t="s" ph="1">
        <v>2987</v>
      </c>
      <c r="I2766" s="13" t="s" ph="1">
        <v>9152</v>
      </c>
      <c r="M2766" s="14" t="str" ph="1">
        <f>IFERROR(INDEX([1]!_born[生没年],
MATCH(I2766,[1]!_born[作],0)),"")</f>
        <v/>
      </c>
      <c r="N2766" s="14" t="str" ph="1">
        <f>IFERROR(INDEX([1]!_born[生没年],
MATCH(K2766,[1]!_born[作],0)),"")</f>
        <v/>
      </c>
      <c r="O2766" s="13" t="s" ph="1">
        <v>9153</v>
      </c>
      <c r="S2766" s="13" t="s" ph="1">
        <v>9154</v>
      </c>
      <c r="T2766" s="13" t="s" ph="1">
        <v>9155</v>
      </c>
      <c r="U2766" s="16" ph="1">
        <v>38584</v>
      </c>
      <c r="V2766" s="17" ph="1">
        <f>952*1.05</f>
        <v>999.6</v>
      </c>
      <c r="W2766" s="17" ph="1">
        <f>952*1.05</f>
        <v>999.6</v>
      </c>
      <c r="X2766" s="13" t="s" ph="1">
        <v>3802</v>
      </c>
    </row>
    <row r="2767" spans="1:25" ht="22.5" customHeight="1" ph="1" x14ac:dyDescent="0.35">
      <c r="C2767" s="13" t="s" ph="1">
        <v>707</v>
      </c>
      <c r="G2767" s="13" t="s" ph="1">
        <v>1933</v>
      </c>
      <c r="H2767" s="13" t="s" ph="1">
        <v>2987</v>
      </c>
      <c r="I2767" s="13" t="s" ph="1">
        <v>9152</v>
      </c>
      <c r="M2767" s="14" t="str" ph="1">
        <f>IFERROR(INDEX([1]!_born[生没年],
MATCH(I2767,[1]!_born[作],0)),"")</f>
        <v/>
      </c>
      <c r="N2767" s="14" t="str" ph="1">
        <f>IFERROR(INDEX([1]!_born[生没年],
MATCH(K2767,[1]!_born[作],0)),"")</f>
        <v/>
      </c>
      <c r="O2767" s="13" t="s" ph="1">
        <v>9156</v>
      </c>
      <c r="S2767" s="13" t="s" ph="1">
        <v>9154</v>
      </c>
      <c r="T2767" s="13" t="s" ph="1">
        <v>9155</v>
      </c>
      <c r="V2767" s="17" ph="1">
        <f>952*1.05</f>
        <v>999.6</v>
      </c>
      <c r="W2767" s="17" ph="1">
        <f>952*1.05</f>
        <v>999.6</v>
      </c>
      <c r="X2767" s="13" t="s" ph="1">
        <v>3802</v>
      </c>
    </row>
    <row r="2768" spans="1:25" ht="22.5" customHeight="1" ph="1" x14ac:dyDescent="0.35">
      <c r="C2768" s="13" t="s" ph="1">
        <v>707</v>
      </c>
      <c r="G2768" s="13" t="s" ph="1">
        <v>1933</v>
      </c>
      <c r="H2768" s="13" t="s" ph="1">
        <v>2987</v>
      </c>
      <c r="I2768" s="13" t="s" ph="1">
        <v>9157</v>
      </c>
      <c r="M2768" s="14" t="str" ph="1">
        <f>IFERROR(INDEX([1]!_born[生没年],
MATCH(I2768,[1]!_born[作],0)),"")</f>
        <v/>
      </c>
      <c r="N2768" s="14" t="str" ph="1">
        <f>IFERROR(INDEX([1]!_born[生没年],
MATCH(K2768,[1]!_born[作],0)),"")</f>
        <v/>
      </c>
      <c r="O2768" s="13" t="s" ph="1">
        <v>9158</v>
      </c>
      <c r="R2768" s="16" t="s" ph="1">
        <v>930</v>
      </c>
      <c r="T2768" s="13" t="s" ph="1">
        <v>9159</v>
      </c>
      <c r="U2768" s="16" t="s" ph="1">
        <v>706</v>
      </c>
      <c r="V2768" s="17" ph="1">
        <v>880</v>
      </c>
    </row>
    <row r="2769" spans="1:24" ht="22.5" customHeight="1" ph="1" x14ac:dyDescent="0.35">
      <c r="C2769" s="13" t="s" ph="1">
        <v>707</v>
      </c>
      <c r="G2769" s="13" t="s" ph="1">
        <v>1933</v>
      </c>
      <c r="H2769" s="13" t="s" ph="1">
        <v>2987</v>
      </c>
      <c r="I2769" s="13" t="s" ph="1">
        <v>9157</v>
      </c>
      <c r="M2769" s="14" t="str" ph="1">
        <f>IFERROR(INDEX([1]!_born[生没年],
MATCH(I2769,[1]!_born[作],0)),"")</f>
        <v/>
      </c>
      <c r="N2769" s="14" t="str" ph="1">
        <f>IFERROR(INDEX([1]!_born[生没年],
MATCH(K2769,[1]!_born[作],0)),"")</f>
        <v/>
      </c>
      <c r="O2769" s="13" t="s" ph="1">
        <v>9160</v>
      </c>
      <c r="R2769" s="16" t="s" ph="1">
        <v>954</v>
      </c>
      <c r="T2769" s="13" t="s" ph="1">
        <v>3806</v>
      </c>
      <c r="U2769" s="16" t="s" ph="1">
        <v>706</v>
      </c>
      <c r="V2769" s="17" ph="1">
        <v>800</v>
      </c>
    </row>
    <row r="2770" spans="1:24" ht="22.5" customHeight="1" ph="1" x14ac:dyDescent="0.35">
      <c r="C2770" s="13" t="s" ph="1">
        <v>25</v>
      </c>
      <c r="G2770" s="13" t="s" ph="1">
        <v>699</v>
      </c>
      <c r="H2770" s="13" t="s" ph="1">
        <v>2987</v>
      </c>
      <c r="I2770" s="13" t="s" ph="1">
        <v>9157</v>
      </c>
      <c r="M2770" s="14" t="str" ph="1">
        <f>IFERROR(INDEX([1]!_born[生没年],
MATCH(I2770,[1]!_born[作],0)),"")</f>
        <v/>
      </c>
      <c r="N2770" s="14" t="str" ph="1">
        <f>IFERROR(INDEX([1]!_born[生没年],
MATCH(K2770,[1]!_born[作],0)),"")</f>
        <v/>
      </c>
      <c r="O2770" s="13" t="s" ph="1">
        <v>9161</v>
      </c>
      <c r="T2770" s="13" t="s" ph="1">
        <v>3988</v>
      </c>
      <c r="U2770" s="16" ph="1">
        <v>34980</v>
      </c>
      <c r="W2770" s="17" ph="1">
        <v>780</v>
      </c>
      <c r="X2770" s="13" t="s" ph="1">
        <v>1397</v>
      </c>
    </row>
    <row r="2771" spans="1:24" ht="22.5" customHeight="1" ph="1" x14ac:dyDescent="0.35">
      <c r="A2771" s="106" t="s" ph="1">
        <v>1963</v>
      </c>
      <c r="B2771" s="5" t="s" ph="1">
        <v>1944</v>
      </c>
      <c r="C2771" s="13" t="s" ph="1">
        <v>707</v>
      </c>
      <c r="G2771" s="13" t="s" ph="1">
        <v>1933</v>
      </c>
      <c r="H2771" s="13" t="s" ph="1">
        <v>716</v>
      </c>
      <c r="I2771" s="13" t="s" ph="1">
        <v>9149</v>
      </c>
      <c r="K2771" s="13" t="s" ph="1">
        <v>9162</v>
      </c>
      <c r="L2771" s="13" t="s" ph="1">
        <v>9163</v>
      </c>
      <c r="M2771" s="14" t="str" ph="1">
        <f>IFERROR(INDEX([1]!_born[生没年],
MATCH(I2771,[1]!_born[作],0)),"")</f>
        <v/>
      </c>
      <c r="N2771" s="14" t="str" ph="1">
        <f>IFERROR(INDEX([1]!_born[生没年],
MATCH(K2771,[1]!_born[作],0)),"")</f>
        <v/>
      </c>
      <c r="O2771" s="13" t="s" ph="1">
        <v>9164</v>
      </c>
      <c r="R2771" s="16" t="s" ph="1">
        <v>1003</v>
      </c>
      <c r="S2771" s="13" t="s" ph="1">
        <v>9165</v>
      </c>
      <c r="T2771" s="13" t="s" ph="1">
        <v>3995</v>
      </c>
      <c r="V2771" s="17" ph="1">
        <f>680*1.03</f>
        <v>700.4</v>
      </c>
      <c r="W2771" s="17" ph="1">
        <v>100</v>
      </c>
    </row>
    <row r="2772" spans="1:24" ht="22.5" customHeight="1" ph="1" x14ac:dyDescent="0.35">
      <c r="A2772" s="106" t="s" ph="1">
        <v>1943</v>
      </c>
      <c r="B2772" s="5" t="s" ph="1">
        <v>1944</v>
      </c>
      <c r="C2772" s="13" t="s" ph="1">
        <v>707</v>
      </c>
      <c r="D2772" s="123" ph="1">
        <v>2</v>
      </c>
      <c r="E2772" s="123" ph="1">
        <v>12</v>
      </c>
      <c r="G2772" s="13" t="s" ph="1">
        <v>1933</v>
      </c>
      <c r="H2772" s="13" t="s" ph="1">
        <v>716</v>
      </c>
      <c r="I2772" s="13" t="s" ph="1">
        <v>9166</v>
      </c>
      <c r="J2772" s="13" t="s" ph="1">
        <v>9167</v>
      </c>
      <c r="K2772" s="13" t="s" ph="1">
        <v>9168</v>
      </c>
      <c r="L2772" s="13" t="s">
        <v>9169</v>
      </c>
      <c r="M2772" s="14" t="str" ph="1">
        <f>IFERROR(INDEX([1]!_born[生没年],
MATCH(I2772,[1]!_born[作],0)),"")</f>
        <v/>
      </c>
      <c r="N2772" s="14" t="str" ph="1">
        <f>IFERROR(INDEX([1]!_born[生没年],
MATCH(K2772,[1]!_born[作],0)),"")</f>
        <v/>
      </c>
      <c r="O2772" s="13" t="s" ph="1">
        <v>9170</v>
      </c>
      <c r="R2772" s="16" t="s" ph="1">
        <v>1870</v>
      </c>
      <c r="S2772" s="13" t="s" ph="1">
        <v>9171</v>
      </c>
      <c r="T2772" s="13" t="s" ph="1">
        <v>3988</v>
      </c>
      <c r="U2772" s="16" ph="1">
        <v>39074</v>
      </c>
      <c r="V2772" s="17" ph="1">
        <f t="shared" ref="V2772:W2774" si="18">660*1.05</f>
        <v>693</v>
      </c>
      <c r="W2772" s="17" ph="1">
        <f t="shared" si="18"/>
        <v>693</v>
      </c>
      <c r="X2772" s="13" t="s" ph="1">
        <v>3802</v>
      </c>
    </row>
    <row r="2773" spans="1:24" ht="22.5" customHeight="1" ph="1" x14ac:dyDescent="0.35">
      <c r="A2773" s="106" t="s" ph="1">
        <v>1945</v>
      </c>
      <c r="B2773" s="5" t="s" ph="1">
        <v>1944</v>
      </c>
      <c r="C2773" s="13" t="s" ph="1">
        <v>707</v>
      </c>
      <c r="D2773" s="123" ph="1">
        <v>7</v>
      </c>
      <c r="E2773" s="123" ph="1">
        <v>12</v>
      </c>
      <c r="G2773" s="13" t="s" ph="1">
        <v>1933</v>
      </c>
      <c r="H2773" s="13" t="s" ph="1">
        <v>716</v>
      </c>
      <c r="I2773" s="13" t="s" ph="1">
        <v>9172</v>
      </c>
      <c r="J2773" s="13" t="s" ph="1">
        <v>9173</v>
      </c>
      <c r="K2773" s="13" t="s" ph="1">
        <v>9174</v>
      </c>
      <c r="L2773" s="13" t="s">
        <v>9169</v>
      </c>
      <c r="M2773" s="14" t="str" ph="1">
        <f>IFERROR(INDEX([1]!_born[生没年],
MATCH(I2773,[1]!_born[作],0)),"")</f>
        <v/>
      </c>
      <c r="N2773" s="14" t="str" ph="1">
        <f>IFERROR(INDEX([1]!_born[生没年],
MATCH(K2773,[1]!_born[作],0)),"")</f>
        <v/>
      </c>
      <c r="O2773" s="13" t="s" ph="1">
        <v>9175</v>
      </c>
      <c r="R2773" s="16" t="s" ph="1">
        <v>1870</v>
      </c>
      <c r="S2773" s="13" t="s" ph="1">
        <v>9171</v>
      </c>
      <c r="T2773" s="13" t="s" ph="1">
        <v>3988</v>
      </c>
      <c r="U2773" s="16" ph="1">
        <v>38969</v>
      </c>
      <c r="V2773" s="17" ph="1">
        <f t="shared" si="18"/>
        <v>693</v>
      </c>
      <c r="W2773" s="17" ph="1">
        <f t="shared" si="18"/>
        <v>693</v>
      </c>
      <c r="X2773" s="13" t="s" ph="1">
        <v>3802</v>
      </c>
    </row>
    <row r="2774" spans="1:24" ht="22.5" customHeight="1" ph="1" x14ac:dyDescent="0.35">
      <c r="A2774" s="106" t="s" ph="1">
        <v>1946</v>
      </c>
      <c r="B2774" s="5" t="s" ph="1">
        <v>1944</v>
      </c>
      <c r="C2774" s="13" t="s" ph="1">
        <v>707</v>
      </c>
      <c r="D2774" s="123" ph="1">
        <v>11</v>
      </c>
      <c r="E2774" s="123" ph="1">
        <v>12</v>
      </c>
      <c r="G2774" s="13" t="s" ph="1">
        <v>1933</v>
      </c>
      <c r="H2774" s="13" t="s" ph="1">
        <v>716</v>
      </c>
      <c r="I2774" s="13" t="s" ph="1">
        <v>9176</v>
      </c>
      <c r="J2774" s="13" t="s" ph="1">
        <v>9177</v>
      </c>
      <c r="K2774" s="13" t="s" ph="1">
        <v>9174</v>
      </c>
      <c r="L2774" s="13" t="s">
        <v>9169</v>
      </c>
      <c r="M2774" s="14" t="str" ph="1">
        <f>IFERROR(INDEX([1]!_born[生没年],
MATCH(I2774,[1]!_born[作],0)),"")</f>
        <v/>
      </c>
      <c r="N2774" s="14" t="str" ph="1">
        <f>IFERROR(INDEX([1]!_born[生没年],
MATCH(K2774,[1]!_born[作],0)),"")</f>
        <v/>
      </c>
      <c r="O2774" s="13" t="s" ph="1">
        <v>9178</v>
      </c>
      <c r="R2774" s="16" t="s" ph="1">
        <v>1870</v>
      </c>
      <c r="S2774" s="13" t="s" ph="1">
        <v>9171</v>
      </c>
      <c r="T2774" s="13" t="s" ph="1">
        <v>3988</v>
      </c>
      <c r="U2774" s="16" ph="1">
        <v>39074</v>
      </c>
      <c r="V2774" s="17" ph="1">
        <f t="shared" si="18"/>
        <v>693</v>
      </c>
      <c r="W2774" s="17" ph="1">
        <f t="shared" si="18"/>
        <v>693</v>
      </c>
      <c r="X2774" s="13" t="s" ph="1">
        <v>3802</v>
      </c>
    </row>
    <row r="2775" spans="1:24" ht="22.5" customHeight="1" ph="1" x14ac:dyDescent="0.35">
      <c r="A2775" s="106" t="s" ph="1">
        <v>1947</v>
      </c>
      <c r="B2775" s="5" t="s" ph="1">
        <v>1944</v>
      </c>
      <c r="C2775" s="13" t="s" ph="1">
        <v>707</v>
      </c>
      <c r="D2775" s="123" ph="1">
        <v>1</v>
      </c>
      <c r="E2775" s="123" ph="1">
        <v>3</v>
      </c>
      <c r="G2775" s="13" t="s" ph="1">
        <v>1933</v>
      </c>
      <c r="H2775" s="13" t="s" ph="1">
        <v>716</v>
      </c>
      <c r="I2775" s="13" t="s" ph="1">
        <v>10303</v>
      </c>
      <c r="J2775" s="13" t="s" ph="1">
        <v>9179</v>
      </c>
      <c r="K2775" s="13" t="s" ph="1">
        <v>9180</v>
      </c>
      <c r="L2775" s="13" t="s">
        <v>9169</v>
      </c>
      <c r="M2775" s="14" t="str" ph="1">
        <f>IFERROR(INDEX([1]!_born[生没年],
MATCH(I2775,[1]!_born[作],0)),"")</f>
        <v/>
      </c>
      <c r="N2775" s="14" t="str" ph="1">
        <f>IFERROR(INDEX([1]!_born[生没年],
MATCH(K2775,[1]!_born[作],0)),"")</f>
        <v/>
      </c>
      <c r="O2775" s="13" t="s" ph="1">
        <v>9181</v>
      </c>
      <c r="R2775" s="16" t="s" ph="1">
        <v>987</v>
      </c>
      <c r="S2775" s="13" t="s" ph="1">
        <v>9171</v>
      </c>
      <c r="T2775" s="13" t="s" ph="1">
        <v>3988</v>
      </c>
      <c r="U2775" s="16" ph="1">
        <v>39015</v>
      </c>
      <c r="V2775" s="17" ph="1">
        <f t="shared" ref="V2775:W2780" si="19">850*1.05</f>
        <v>892.5</v>
      </c>
      <c r="W2775" s="17" ph="1">
        <f t="shared" si="19"/>
        <v>892.5</v>
      </c>
      <c r="X2775" s="13" t="s" ph="1">
        <v>3802</v>
      </c>
    </row>
    <row r="2776" spans="1:24" ht="22.5" customHeight="1" ph="1" x14ac:dyDescent="0.35">
      <c r="A2776" s="106" t="s" ph="1">
        <v>1948</v>
      </c>
      <c r="B2776" s="5" t="s" ph="1">
        <v>1944</v>
      </c>
      <c r="C2776" s="13" t="s" ph="1">
        <v>707</v>
      </c>
      <c r="D2776" s="123" ph="1">
        <v>2</v>
      </c>
      <c r="E2776" s="123" ph="1">
        <v>3</v>
      </c>
      <c r="G2776" s="13" t="s" ph="1">
        <v>1933</v>
      </c>
      <c r="H2776" s="13" t="s" ph="1">
        <v>716</v>
      </c>
      <c r="I2776" s="13" t="s" ph="1">
        <v>10304</v>
      </c>
      <c r="J2776" s="13" t="s" ph="1">
        <v>9182</v>
      </c>
      <c r="K2776" s="13" t="s" ph="1">
        <v>9183</v>
      </c>
      <c r="L2776" s="13" t="s">
        <v>9169</v>
      </c>
      <c r="M2776" s="14" t="str" ph="1">
        <f>IFERROR(INDEX([1]!_born[生没年],
MATCH(I2776,[1]!_born[作],0)),"")</f>
        <v/>
      </c>
      <c r="N2776" s="14" t="str" ph="1">
        <f>IFERROR(INDEX([1]!_born[生没年],
MATCH(K2776,[1]!_born[作],0)),"")</f>
        <v/>
      </c>
      <c r="O2776" s="13" t="s" ph="1">
        <v>9184</v>
      </c>
      <c r="R2776" s="16" t="s" ph="1">
        <v>966</v>
      </c>
      <c r="S2776" s="13" t="s" ph="1">
        <v>9171</v>
      </c>
      <c r="T2776" s="13" t="s" ph="1">
        <v>3988</v>
      </c>
      <c r="U2776" s="16" ph="1">
        <v>38963</v>
      </c>
      <c r="V2776" s="17" ph="1">
        <f t="shared" si="19"/>
        <v>892.5</v>
      </c>
      <c r="W2776" s="17" ph="1">
        <f t="shared" si="19"/>
        <v>892.5</v>
      </c>
      <c r="X2776" s="13" t="s" ph="1">
        <v>3802</v>
      </c>
    </row>
    <row r="2777" spans="1:24" ht="22.5" customHeight="1" ph="1" x14ac:dyDescent="0.35">
      <c r="A2777" s="106" t="s" ph="1">
        <v>1949</v>
      </c>
      <c r="B2777" s="5" t="s" ph="1">
        <v>1944</v>
      </c>
      <c r="C2777" s="13" t="s" ph="1">
        <v>707</v>
      </c>
      <c r="D2777" s="123" ph="1">
        <v>3</v>
      </c>
      <c r="E2777" s="123" ph="1">
        <v>3</v>
      </c>
      <c r="G2777" s="13" t="s" ph="1">
        <v>1933</v>
      </c>
      <c r="H2777" s="13" t="s" ph="1">
        <v>716</v>
      </c>
      <c r="I2777" s="13" t="s" ph="1">
        <v>10305</v>
      </c>
      <c r="J2777" s="13" t="s" ph="1">
        <v>9185</v>
      </c>
      <c r="K2777" s="13" t="s" ph="1">
        <v>9183</v>
      </c>
      <c r="L2777" s="13" t="s">
        <v>9169</v>
      </c>
      <c r="M2777" s="14" t="str" ph="1">
        <f>IFERROR(INDEX([1]!_born[生没年],
MATCH(I2777,[1]!_born[作],0)),"")</f>
        <v/>
      </c>
      <c r="N2777" s="14" t="str" ph="1">
        <f>IFERROR(INDEX([1]!_born[生没年],
MATCH(K2777,[1]!_born[作],0)),"")</f>
        <v/>
      </c>
      <c r="O2777" s="13" t="s" ph="1">
        <v>9186</v>
      </c>
      <c r="R2777" s="16" t="s" ph="1">
        <v>966</v>
      </c>
      <c r="S2777" s="13" t="s" ph="1">
        <v>9171</v>
      </c>
      <c r="T2777" s="13" t="s" ph="1">
        <v>3988</v>
      </c>
      <c r="U2777" s="16" ph="1">
        <v>38963</v>
      </c>
      <c r="V2777" s="17" ph="1">
        <f t="shared" si="19"/>
        <v>892.5</v>
      </c>
      <c r="W2777" s="17" ph="1">
        <f t="shared" si="19"/>
        <v>892.5</v>
      </c>
      <c r="X2777" s="13" t="s" ph="1">
        <v>3802</v>
      </c>
    </row>
    <row r="2778" spans="1:24" ht="22.5" customHeight="1" ph="1" x14ac:dyDescent="0.35">
      <c r="A2778" s="106" t="s" ph="1">
        <v>1950</v>
      </c>
      <c r="B2778" s="5" t="s" ph="1">
        <v>1944</v>
      </c>
      <c r="C2778" s="13" t="s" ph="1">
        <v>707</v>
      </c>
      <c r="D2778" s="123" ph="1">
        <v>1</v>
      </c>
      <c r="E2778" s="123" ph="1">
        <v>3</v>
      </c>
      <c r="G2778" s="13" t="s" ph="1">
        <v>1933</v>
      </c>
      <c r="H2778" s="13" t="s" ph="1">
        <v>716</v>
      </c>
      <c r="I2778" s="13" t="s" ph="1">
        <v>9187</v>
      </c>
      <c r="J2778" s="13" t="s" ph="1">
        <v>9188</v>
      </c>
      <c r="K2778" s="13" t="s" ph="1">
        <v>9180</v>
      </c>
      <c r="L2778" s="13" t="s">
        <v>9169</v>
      </c>
      <c r="M2778" s="14" t="str" ph="1">
        <f>IFERROR(INDEX([1]!_born[生没年],
MATCH(I2778,[1]!_born[作],0)),"")</f>
        <v/>
      </c>
      <c r="N2778" s="14" t="str" ph="1">
        <f>IFERROR(INDEX([1]!_born[生没年],
MATCH(K2778,[1]!_born[作],0)),"")</f>
        <v/>
      </c>
      <c r="O2778" s="13" t="s" ph="1">
        <v>9189</v>
      </c>
      <c r="R2778" s="16" t="s" ph="1">
        <v>958</v>
      </c>
      <c r="S2778" s="13" t="s" ph="1">
        <v>9171</v>
      </c>
      <c r="T2778" s="13" t="s" ph="1">
        <v>3988</v>
      </c>
      <c r="U2778" s="16" ph="1">
        <v>38963</v>
      </c>
      <c r="V2778" s="17" ph="1">
        <f t="shared" si="19"/>
        <v>892.5</v>
      </c>
      <c r="W2778" s="17" ph="1">
        <f t="shared" si="19"/>
        <v>892.5</v>
      </c>
      <c r="X2778" s="13" t="s" ph="1">
        <v>3802</v>
      </c>
    </row>
    <row r="2779" spans="1:24" ht="22.5" customHeight="1" ph="1" x14ac:dyDescent="0.35">
      <c r="A2779" s="106" t="s" ph="1">
        <v>1951</v>
      </c>
      <c r="B2779" s="5" t="s" ph="1">
        <v>1944</v>
      </c>
      <c r="C2779" s="13" t="s" ph="1">
        <v>707</v>
      </c>
      <c r="D2779" s="123" ph="1">
        <v>2</v>
      </c>
      <c r="E2779" s="123" ph="1">
        <v>3</v>
      </c>
      <c r="G2779" s="13" t="s" ph="1">
        <v>1933</v>
      </c>
      <c r="H2779" s="13" t="s" ph="1">
        <v>716</v>
      </c>
      <c r="I2779" s="13" t="s" ph="1">
        <v>10304</v>
      </c>
      <c r="J2779" s="13" t="s" ph="1">
        <v>9182</v>
      </c>
      <c r="K2779" s="13" t="s" ph="1">
        <v>9183</v>
      </c>
      <c r="L2779" s="13" t="s">
        <v>9169</v>
      </c>
      <c r="M2779" s="14" t="str" ph="1">
        <f>IFERROR(INDEX([1]!_born[生没年],
MATCH(I2779,[1]!_born[作],0)),"")</f>
        <v/>
      </c>
      <c r="N2779" s="14" t="str" ph="1">
        <f>IFERROR(INDEX([1]!_born[生没年],
MATCH(K2779,[1]!_born[作],0)),"")</f>
        <v/>
      </c>
      <c r="O2779" s="13" t="s" ph="1">
        <v>9190</v>
      </c>
      <c r="R2779" s="16" t="s" ph="1">
        <v>958</v>
      </c>
      <c r="S2779" s="13" t="s" ph="1">
        <v>9171</v>
      </c>
      <c r="T2779" s="13" t="s" ph="1">
        <v>3988</v>
      </c>
      <c r="U2779" s="16" ph="1">
        <v>39015</v>
      </c>
      <c r="V2779" s="17" ph="1">
        <f t="shared" si="19"/>
        <v>892.5</v>
      </c>
      <c r="W2779" s="17" ph="1">
        <f t="shared" si="19"/>
        <v>892.5</v>
      </c>
      <c r="X2779" s="13" t="s" ph="1">
        <v>3802</v>
      </c>
    </row>
    <row r="2780" spans="1:24" ht="22.5" customHeight="1" ph="1" x14ac:dyDescent="0.35">
      <c r="A2780" s="106" t="s" ph="1">
        <v>1952</v>
      </c>
      <c r="B2780" s="5" t="s" ph="1">
        <v>1944</v>
      </c>
      <c r="C2780" s="13" t="s" ph="1">
        <v>707</v>
      </c>
      <c r="D2780" s="123" ph="1">
        <v>3</v>
      </c>
      <c r="E2780" s="123" ph="1">
        <v>3</v>
      </c>
      <c r="G2780" s="13" t="s" ph="1">
        <v>1933</v>
      </c>
      <c r="H2780" s="13" t="s" ph="1">
        <v>716</v>
      </c>
      <c r="I2780" s="13" t="s" ph="1">
        <v>10305</v>
      </c>
      <c r="J2780" s="13" t="s" ph="1">
        <v>9185</v>
      </c>
      <c r="K2780" s="13" t="s" ph="1">
        <v>9191</v>
      </c>
      <c r="L2780" s="13" t="s">
        <v>9169</v>
      </c>
      <c r="M2780" s="14" t="str" ph="1">
        <f>IFERROR(INDEX([1]!_born[生没年],
MATCH(I2780,[1]!_born[作],0)),"")</f>
        <v/>
      </c>
      <c r="N2780" s="14" t="str" ph="1">
        <f>IFERROR(INDEX([1]!_born[生没年],
MATCH(K2780,[1]!_born[作],0)),"")</f>
        <v/>
      </c>
      <c r="O2780" s="13" t="s" ph="1">
        <v>9192</v>
      </c>
      <c r="R2780" s="16" t="s" ph="1">
        <v>958</v>
      </c>
      <c r="S2780" s="13" t="s" ph="1">
        <v>9171</v>
      </c>
      <c r="T2780" s="13" t="s" ph="1">
        <v>3988</v>
      </c>
      <c r="U2780" s="16" ph="1">
        <v>39015</v>
      </c>
      <c r="V2780" s="17" ph="1">
        <f t="shared" si="19"/>
        <v>892.5</v>
      </c>
      <c r="W2780" s="17" ph="1">
        <f t="shared" si="19"/>
        <v>892.5</v>
      </c>
      <c r="X2780" s="13" t="s" ph="1">
        <v>3802</v>
      </c>
    </row>
    <row r="2781" spans="1:24" ht="22.5" customHeight="1" ph="1" x14ac:dyDescent="0.35">
      <c r="A2781" s="106" t="s" ph="1">
        <v>1953</v>
      </c>
      <c r="B2781" s="5" t="s" ph="1">
        <v>1944</v>
      </c>
      <c r="C2781" s="13" t="s" ph="1">
        <v>707</v>
      </c>
      <c r="G2781" s="13" t="s" ph="1">
        <v>1933</v>
      </c>
      <c r="H2781" s="13" t="s" ph="1">
        <v>716</v>
      </c>
      <c r="I2781" s="13" t="s" ph="1">
        <v>10306</v>
      </c>
      <c r="J2781" s="13" t="s" ph="1">
        <v>9185</v>
      </c>
      <c r="K2781" s="13" t="s" ph="1">
        <v>9168</v>
      </c>
      <c r="L2781" s="13" t="s">
        <v>9169</v>
      </c>
      <c r="M2781" s="14" t="str" ph="1">
        <f>IFERROR(INDEX([1]!_born[生没年],
MATCH(I2781,[1]!_born[作],0)),"")</f>
        <v/>
      </c>
      <c r="N2781" s="14" t="str" ph="1">
        <f>IFERROR(INDEX([1]!_born[生没年],
MATCH(K2781,[1]!_born[作],0)),"")</f>
        <v/>
      </c>
      <c r="O2781" s="13" t="s" ph="1">
        <v>9193</v>
      </c>
      <c r="R2781" s="16" t="s" ph="1">
        <v>915</v>
      </c>
      <c r="S2781" s="13" t="s" ph="1">
        <v>9194</v>
      </c>
      <c r="T2781" s="13" t="s" ph="1">
        <v>3988</v>
      </c>
      <c r="V2781" s="17" ph="1">
        <v>580</v>
      </c>
      <c r="W2781" s="17" ph="1">
        <f>100*1.05</f>
        <v>105</v>
      </c>
    </row>
    <row r="2782" spans="1:24" ht="22.5" customHeight="1" ph="1" x14ac:dyDescent="0.35">
      <c r="A2782" s="106" t="s" ph="1">
        <v>1954</v>
      </c>
      <c r="B2782" s="5" t="s" ph="1">
        <v>1955</v>
      </c>
      <c r="C2782" s="13" t="s" ph="1">
        <v>707</v>
      </c>
      <c r="G2782" s="13" t="s" ph="1">
        <v>1933</v>
      </c>
      <c r="H2782" s="13" t="s" ph="1">
        <v>716</v>
      </c>
      <c r="I2782" s="13" t="s" ph="1">
        <v>9195</v>
      </c>
      <c r="J2782" s="13" t="s" ph="1">
        <v>9196</v>
      </c>
      <c r="K2782" s="13" t="s" ph="1">
        <v>9197</v>
      </c>
      <c r="L2782" s="13" t="s">
        <v>5284</v>
      </c>
      <c r="M2782" s="14" t="str" ph="1">
        <f>IFERROR(INDEX([1]!_born[生没年],
MATCH(I2782,[1]!_born[作],0)),"")</f>
        <v/>
      </c>
      <c r="N2782" s="14" t="str" ph="1">
        <f>IFERROR(INDEX([1]!_born[生没年],
MATCH(K2782,[1]!_born[作],0)),"")</f>
        <v/>
      </c>
      <c r="O2782" s="13" t="s" ph="1">
        <v>9198</v>
      </c>
      <c r="R2782" s="16" t="s" ph="1">
        <v>966</v>
      </c>
      <c r="S2782" s="13" t="s" ph="1">
        <v>9199</v>
      </c>
      <c r="T2782" s="13" t="s" ph="1">
        <v>3988</v>
      </c>
      <c r="U2782" s="16" ph="1">
        <v>39032</v>
      </c>
      <c r="V2782" s="17" ph="1">
        <f>760*1.05</f>
        <v>798</v>
      </c>
      <c r="W2782" s="17" ph="1">
        <v>250</v>
      </c>
      <c r="X2782" s="13" t="s" ph="1">
        <v>3792</v>
      </c>
    </row>
    <row r="2783" spans="1:24" ht="22.5" customHeight="1" ph="1" x14ac:dyDescent="0.35">
      <c r="A2783" s="106" t="s" ph="1">
        <v>1956</v>
      </c>
      <c r="B2783" s="5" t="s" ph="1">
        <v>1957</v>
      </c>
      <c r="C2783" s="13" t="s" ph="1">
        <v>707</v>
      </c>
      <c r="G2783" s="13" t="s" ph="1">
        <v>1933</v>
      </c>
      <c r="H2783" s="13" t="s" ph="1">
        <v>716</v>
      </c>
      <c r="I2783" s="13" t="s" ph="1">
        <v>9195</v>
      </c>
      <c r="J2783" s="13" t="s" ph="1">
        <v>9196</v>
      </c>
      <c r="K2783" s="13" t="s" ph="1">
        <v>9197</v>
      </c>
      <c r="L2783" s="13" t="s">
        <v>5284</v>
      </c>
      <c r="M2783" s="14" t="str" ph="1">
        <f>IFERROR(INDEX([1]!_born[生没年],
MATCH(I2783,[1]!_born[作],0)),"")</f>
        <v/>
      </c>
      <c r="N2783" s="14" t="str" ph="1">
        <f>IFERROR(INDEX([1]!_born[生没年],
MATCH(K2783,[1]!_born[作],0)),"")</f>
        <v/>
      </c>
      <c r="O2783" s="13" t="s" ph="1">
        <v>9200</v>
      </c>
      <c r="R2783" s="16" t="s" ph="1">
        <v>743</v>
      </c>
      <c r="S2783" s="13" t="s" ph="1">
        <v>9199</v>
      </c>
      <c r="T2783" s="13" t="s" ph="1">
        <v>3988</v>
      </c>
      <c r="U2783" s="16" ph="1">
        <v>39186</v>
      </c>
      <c r="V2783" s="17" ph="1">
        <f>760*1.05</f>
        <v>798</v>
      </c>
      <c r="W2783" s="17" ph="1">
        <f>760*1.05</f>
        <v>798</v>
      </c>
      <c r="X2783" s="13" t="s" ph="1">
        <v>9201</v>
      </c>
    </row>
    <row r="2784" spans="1:24" ht="22.5" customHeight="1" ph="1" x14ac:dyDescent="0.35">
      <c r="A2784" s="106" t="s" ph="1">
        <v>1958</v>
      </c>
      <c r="B2784" s="5" t="s" ph="1">
        <v>1959</v>
      </c>
      <c r="C2784" s="13" t="s" ph="1">
        <v>707</v>
      </c>
      <c r="G2784" s="13" t="s" ph="1">
        <v>1933</v>
      </c>
      <c r="H2784" s="13" t="s" ph="1">
        <v>716</v>
      </c>
      <c r="I2784" s="13" t="s" ph="1">
        <v>9202</v>
      </c>
      <c r="J2784" s="13" t="s" ph="1">
        <v>9203</v>
      </c>
      <c r="M2784" s="14" t="str" ph="1">
        <f>IFERROR(INDEX([1]!_born[生没年],
MATCH(I2784,[1]!_born[作],0)),"")</f>
        <v/>
      </c>
      <c r="N2784" s="14" t="str" ph="1">
        <f>IFERROR(INDEX([1]!_born[生没年],
MATCH(K2784,[1]!_born[作],0)),"")</f>
        <v/>
      </c>
      <c r="O2784" s="13" t="s" ph="1">
        <v>9204</v>
      </c>
      <c r="R2784" s="16" t="s" ph="1">
        <v>1960</v>
      </c>
      <c r="S2784" s="13" t="s" ph="1">
        <v>9199</v>
      </c>
      <c r="T2784" s="13" t="s" ph="1">
        <v>3988</v>
      </c>
      <c r="U2784" s="16" t="s" ph="1">
        <v>861</v>
      </c>
      <c r="V2784" s="17" ph="1">
        <f>760*1.05</f>
        <v>798</v>
      </c>
      <c r="W2784" s="17" ph="1">
        <f>760*1.05</f>
        <v>798</v>
      </c>
      <c r="X2784" s="13" t="s" ph="1">
        <v>3802</v>
      </c>
    </row>
    <row r="2785" spans="1:25" ht="22.5" customHeight="1" ph="1" x14ac:dyDescent="0.35">
      <c r="C2785" s="13" t="s" ph="1">
        <v>707</v>
      </c>
      <c r="D2785" s="123" ph="1">
        <v>10</v>
      </c>
      <c r="E2785" s="123" ph="1">
        <v>12</v>
      </c>
      <c r="G2785" s="13" t="s" ph="1">
        <v>1933</v>
      </c>
      <c r="H2785" s="13" t="s" ph="1">
        <v>716</v>
      </c>
      <c r="I2785" s="13" t="s" ph="1">
        <v>9205</v>
      </c>
      <c r="J2785" s="13" t="s" ph="1">
        <v>9206</v>
      </c>
      <c r="K2785" s="13" t="s" ph="1">
        <v>9207</v>
      </c>
      <c r="L2785" s="13" t="s" ph="1">
        <v>9208</v>
      </c>
      <c r="M2785" s="14" t="str" ph="1">
        <f>IFERROR(INDEX([1]!_born[生没年],
MATCH(I2785,[1]!_born[作],0)),"")</f>
        <v/>
      </c>
      <c r="N2785" s="14" t="str" ph="1">
        <f>IFERROR(INDEX([1]!_born[生没年],
MATCH(K2785,[1]!_born[作],0)),"")</f>
        <v/>
      </c>
      <c r="O2785" s="13" t="s" ph="1">
        <v>9209</v>
      </c>
      <c r="R2785" s="16" t="s">
        <v>1961</v>
      </c>
      <c r="S2785" s="13" t="s" ph="1">
        <v>9210</v>
      </c>
      <c r="T2785" s="13" t="s" ph="1">
        <v>4626</v>
      </c>
      <c r="V2785" s="17" ph="1">
        <v>290</v>
      </c>
      <c r="W2785" s="17" ph="1">
        <v>290</v>
      </c>
      <c r="Y2785" s="13" t="s" ph="1">
        <v>9211</v>
      </c>
    </row>
    <row r="2786" spans="1:25" ht="22.5" customHeight="1" ph="1" x14ac:dyDescent="0.35">
      <c r="A2786" s="106" t="s" ph="1">
        <v>1962</v>
      </c>
      <c r="C2786" s="13" t="s" ph="1">
        <v>707</v>
      </c>
      <c r="D2786" s="123" ph="1">
        <v>11</v>
      </c>
      <c r="E2786" s="123" ph="1">
        <v>12</v>
      </c>
      <c r="G2786" s="13" t="s" ph="1">
        <v>1933</v>
      </c>
      <c r="H2786" s="13" t="s" ph="1">
        <v>716</v>
      </c>
      <c r="I2786" s="13" t="s" ph="1">
        <v>9205</v>
      </c>
      <c r="J2786" s="13" t="s" ph="1">
        <v>9206</v>
      </c>
      <c r="K2786" s="13" t="s" ph="1">
        <v>9212</v>
      </c>
      <c r="L2786" s="13" t="s" ph="1">
        <v>9208</v>
      </c>
      <c r="M2786" s="14" t="str" ph="1">
        <f>IFERROR(INDEX([1]!_born[生没年],
MATCH(I2786,[1]!_born[作],0)),"")</f>
        <v/>
      </c>
      <c r="N2786" s="14" t="str" ph="1">
        <f>IFERROR(INDEX([1]!_born[生没年],
MATCH(K2786,[1]!_born[作],0)),"")</f>
        <v/>
      </c>
      <c r="O2786" s="13" t="s" ph="1">
        <v>9213</v>
      </c>
      <c r="R2786" s="16" t="s">
        <v>1961</v>
      </c>
      <c r="S2786" s="13" t="s" ph="1">
        <v>9210</v>
      </c>
      <c r="T2786" s="13" t="s" ph="1">
        <v>4626</v>
      </c>
      <c r="V2786" s="17" ph="1">
        <v>290</v>
      </c>
      <c r="W2786" s="17" ph="1">
        <v>290</v>
      </c>
      <c r="Y2786" s="13" t="s" ph="1">
        <v>4724</v>
      </c>
    </row>
    <row r="2787" spans="1:25" ht="22.5" customHeight="1" ph="1" x14ac:dyDescent="0.35">
      <c r="C2787" s="13" t="s" ph="1">
        <v>707</v>
      </c>
      <c r="D2787" s="123" ph="1">
        <v>13</v>
      </c>
      <c r="E2787" s="123" ph="1">
        <v>12</v>
      </c>
      <c r="G2787" s="13" t="s" ph="1">
        <v>1933</v>
      </c>
      <c r="H2787" s="13" t="s" ph="1">
        <v>716</v>
      </c>
      <c r="I2787" s="13" t="s" ph="1">
        <v>9205</v>
      </c>
      <c r="J2787" s="13" t="s" ph="1">
        <v>9206</v>
      </c>
      <c r="K2787" s="13" t="s" ph="1">
        <v>9207</v>
      </c>
      <c r="L2787" s="13" t="s" ph="1">
        <v>9208</v>
      </c>
      <c r="M2787" s="14" t="str" ph="1">
        <f>IFERROR(INDEX([1]!_born[生没年],
MATCH(I2787,[1]!_born[作],0)),"")</f>
        <v/>
      </c>
      <c r="N2787" s="14" t="str" ph="1">
        <f>IFERROR(INDEX([1]!_born[生没年],
MATCH(K2787,[1]!_born[作],0)),"")</f>
        <v/>
      </c>
      <c r="O2787" s="13" t="s" ph="1">
        <v>9214</v>
      </c>
      <c r="R2787" s="16" t="s">
        <v>1961</v>
      </c>
      <c r="S2787" s="13" t="s" ph="1">
        <v>9210</v>
      </c>
      <c r="T2787" s="13" t="s" ph="1">
        <v>4626</v>
      </c>
      <c r="V2787" s="17" ph="1">
        <v>290</v>
      </c>
      <c r="W2787" s="17" ph="1">
        <v>290</v>
      </c>
      <c r="Y2787" s="13" t="s" ph="1">
        <v>9211</v>
      </c>
    </row>
    <row r="2788" spans="1:25" ht="22.5" customHeight="1" ph="1" x14ac:dyDescent="0.35">
      <c r="A2788" s="106" t="s" ph="1">
        <v>1962</v>
      </c>
      <c r="C2788" s="13" t="s" ph="1">
        <v>707</v>
      </c>
      <c r="D2788" s="123" ph="1">
        <v>1</v>
      </c>
      <c r="E2788" s="123" ph="1">
        <v>4</v>
      </c>
      <c r="G2788" s="13" t="s" ph="1">
        <v>1933</v>
      </c>
      <c r="H2788" s="13" t="s" ph="1">
        <v>716</v>
      </c>
      <c r="I2788" s="13" t="s" ph="1">
        <v>9215</v>
      </c>
      <c r="J2788" s="13" t="s" ph="1">
        <v>9216</v>
      </c>
      <c r="K2788" s="13" t="s" ph="1">
        <v>9217</v>
      </c>
      <c r="L2788" s="13" t="s" ph="1">
        <v>9208</v>
      </c>
      <c r="M2788" s="14" t="str" ph="1">
        <f>IFERROR(INDEX([1]!_born[生没年],
MATCH(I2788,[1]!_born[作],0)),"")</f>
        <v/>
      </c>
      <c r="N2788" s="14" t="str" ph="1">
        <f>IFERROR(INDEX([1]!_born[生没年],
MATCH(K2788,[1]!_born[作],0)),"")</f>
        <v/>
      </c>
      <c r="O2788" s="13" t="s" ph="1">
        <v>9218</v>
      </c>
      <c r="R2788" s="16" t="s">
        <v>785</v>
      </c>
      <c r="S2788" s="13" t="s" ph="1">
        <v>9219</v>
      </c>
      <c r="T2788" s="13" t="s" ph="1">
        <v>4626</v>
      </c>
      <c r="V2788" s="17" ph="1">
        <v>380</v>
      </c>
      <c r="W2788" s="17" ph="1">
        <v>380</v>
      </c>
      <c r="Y2788" s="13" t="s" ph="1">
        <v>4724</v>
      </c>
    </row>
    <row r="2789" spans="1:25" ht="22.5" customHeight="1" ph="1" x14ac:dyDescent="0.35">
      <c r="C2789" s="13" t="s" ph="1">
        <v>9220</v>
      </c>
      <c r="G2789" s="13" t="s" ph="1">
        <v>699</v>
      </c>
      <c r="H2789" s="13" t="s" ph="1">
        <v>4423</v>
      </c>
      <c r="I2789" s="13" t="s" ph="1">
        <v>9221</v>
      </c>
      <c r="M2789" s="14" t="str" ph="1">
        <f>IFERROR(INDEX([1]!_born[生没年],
MATCH(I2789,[1]!_born[作],0)),"")</f>
        <v/>
      </c>
      <c r="N2789" s="14" t="str" ph="1">
        <f>IFERROR(INDEX([1]!_born[生没年],
MATCH(K2789,[1]!_born[作],0)),"")</f>
        <v/>
      </c>
      <c r="O2789" s="13" t="s" ph="1">
        <v>9222</v>
      </c>
      <c r="R2789" s="16">
        <v>45017</v>
      </c>
      <c r="T2789" s="13" t="s" ph="1">
        <v>6194</v>
      </c>
      <c r="U2789" s="16" ph="1">
        <v>45108</v>
      </c>
      <c r="V2789" s="17" ph="1">
        <v>0</v>
      </c>
      <c r="W2789" s="17" ph="1">
        <v>0</v>
      </c>
      <c r="Y2789" s="13" t="s" ph="1">
        <v>6179</v>
      </c>
    </row>
    <row r="2790" spans="1:25" ht="22.5" customHeight="1" ph="1" x14ac:dyDescent="0.35">
      <c r="C2790" s="13" t="s" ph="1">
        <v>9220</v>
      </c>
      <c r="G2790" s="13" t="s" ph="1">
        <v>1574</v>
      </c>
      <c r="H2790" s="13" t="s" ph="1">
        <v>4423</v>
      </c>
      <c r="I2790" s="13" t="s" ph="1">
        <v>9223</v>
      </c>
      <c r="M2790" s="14" t="str" ph="1">
        <f>IFERROR(INDEX([1]!_born[生没年],
MATCH(I2790,[1]!_born[作],0)),"")</f>
        <v/>
      </c>
      <c r="N2790" s="14" t="str" ph="1">
        <f>IFERROR(INDEX([1]!_born[生没年],
MATCH(K2790,[1]!_born[作],0)),"")</f>
        <v/>
      </c>
    </row>
    <row r="2791" spans="1:25" ht="22.5" customHeight="1" ph="1" x14ac:dyDescent="0.35">
      <c r="C2791" s="13" t="s" ph="1">
        <v>9220</v>
      </c>
      <c r="G2791" s="13" t="s" ph="1">
        <v>1574</v>
      </c>
      <c r="H2791" s="13" t="s" ph="1">
        <v>4423</v>
      </c>
      <c r="I2791" s="13" t="s" ph="1">
        <v>684</v>
      </c>
      <c r="M2791" s="14" t="str" ph="1">
        <f>IFERROR(INDEX([1]!_born[生没年],
MATCH(I2791,[1]!_born[作],0)),"")</f>
        <v/>
      </c>
      <c r="N2791" s="14" t="str" ph="1">
        <f>IFERROR(INDEX([1]!_born[生没年],
MATCH(K2791,[1]!_born[作],0)),"")</f>
        <v/>
      </c>
    </row>
    <row r="2792" spans="1:25" ht="22.5" customHeight="1" ph="1" x14ac:dyDescent="0.35">
      <c r="C2792" s="13" t="s" ph="1">
        <v>9224</v>
      </c>
      <c r="G2792" s="13" t="s" ph="1">
        <v>1574</v>
      </c>
      <c r="H2792" s="13" t="s" ph="1">
        <v>4423</v>
      </c>
      <c r="I2792" s="13" t="s" ph="1">
        <v>9225</v>
      </c>
      <c r="M2792" s="14" t="str" ph="1">
        <f>IFERROR(INDEX([1]!_born[生没年],
MATCH(I2792,[1]!_born[作],0)),"")</f>
        <v/>
      </c>
      <c r="N2792" s="14" t="str" ph="1">
        <f>IFERROR(INDEX([1]!_born[生没年],
MATCH(K2792,[1]!_born[作],0)),"")</f>
        <v/>
      </c>
    </row>
    <row r="2793" spans="1:25" s="7" customFormat="1" ht="22.5" customHeight="1" ph="1" x14ac:dyDescent="0.35">
      <c r="A2793" s="106" ph="1"/>
      <c r="B2793" s="5" ph="1"/>
      <c r="C2793" s="9" t="s" ph="1">
        <v>5828</v>
      </c>
      <c r="D2793" s="122" ph="1"/>
      <c r="E2793" s="122" ph="1"/>
      <c r="G2793" s="8" t="s" ph="1">
        <v>1574</v>
      </c>
      <c r="H2793" s="9" ph="1"/>
      <c r="M2793" s="7" t="str" ph="1">
        <f>IFERROR(INDEX([1]!_born[生没年],
MATCH(I2793,[1]!_born[作],0)),"")</f>
        <v/>
      </c>
      <c r="N2793" s="7" t="str" ph="1">
        <f>IFERROR(INDEX([1]!_born[生没年],
MATCH(K2793,[1]!_born[作],0)),"")</f>
        <v/>
      </c>
      <c r="R2793" s="10" ph="1"/>
      <c r="U2793" s="10" ph="1"/>
      <c r="V2793" s="11" ph="1"/>
      <c r="W2793" s="11" ph="1"/>
    </row>
    <row r="2794" spans="1:25" ht="22.5" customHeight="1" ph="1" x14ac:dyDescent="0.35">
      <c r="A2794" s="106" t="s" ph="1">
        <v>1597</v>
      </c>
      <c r="B2794" s="5" t="s" ph="1">
        <v>1596</v>
      </c>
      <c r="C2794" s="13" t="s" ph="1">
        <v>5828</v>
      </c>
      <c r="D2794" s="123" ph="1">
        <v>1</v>
      </c>
      <c r="E2794" s="123" ph="1">
        <v>2</v>
      </c>
      <c r="G2794" s="13" t="s" ph="1">
        <v>1574</v>
      </c>
      <c r="H2794" s="13" t="s" ph="1">
        <v>2987</v>
      </c>
      <c r="I2794" s="13" t="s" ph="1">
        <v>9226</v>
      </c>
      <c r="M2794" s="14" t="str" ph="1">
        <f>IFERROR(INDEX([1]!_born[生没年],
MATCH(I2794,[1]!_born[作],0)),"")</f>
        <v/>
      </c>
      <c r="N2794" s="14" t="str" ph="1">
        <f>IFERROR(INDEX([1]!_born[生没年],
MATCH(K2794,[1]!_born[作],0)),"")</f>
        <v/>
      </c>
      <c r="O2794" s="13" t="s" ph="1">
        <v>9227</v>
      </c>
      <c r="T2794" s="13" t="s" ph="1">
        <v>4405</v>
      </c>
      <c r="U2794" s="16" t="s" ph="1">
        <v>1598</v>
      </c>
      <c r="V2794" s="17" ph="1">
        <f>400*1.05</f>
        <v>420</v>
      </c>
      <c r="W2794" s="17" ph="1">
        <f>400*1.05</f>
        <v>420</v>
      </c>
    </row>
    <row r="2795" spans="1:25" ht="22.5" customHeight="1" ph="1" x14ac:dyDescent="0.35">
      <c r="A2795" s="106" t="s" ph="1">
        <v>1599</v>
      </c>
      <c r="B2795" s="5" t="s" ph="1">
        <v>1596</v>
      </c>
      <c r="C2795" s="13" t="s" ph="1">
        <v>5828</v>
      </c>
      <c r="D2795" s="123" ph="1">
        <v>2</v>
      </c>
      <c r="E2795" s="123" ph="1">
        <v>2</v>
      </c>
      <c r="G2795" s="13" t="s" ph="1">
        <v>1574</v>
      </c>
      <c r="H2795" s="13" t="s" ph="1">
        <v>2987</v>
      </c>
      <c r="I2795" s="13" t="s" ph="1">
        <v>9226</v>
      </c>
      <c r="M2795" s="14" t="str" ph="1">
        <f>IFERROR(INDEX([1]!_born[生没年],
MATCH(I2795,[1]!_born[作],0)),"")</f>
        <v/>
      </c>
      <c r="N2795" s="14" t="str" ph="1">
        <f>IFERROR(INDEX([1]!_born[生没年],
MATCH(K2795,[1]!_born[作],0)),"")</f>
        <v/>
      </c>
      <c r="O2795" s="13" t="s" ph="1">
        <v>9227</v>
      </c>
      <c r="T2795" s="13" t="s" ph="1">
        <v>4405</v>
      </c>
      <c r="U2795" s="16" t="s" ph="1">
        <v>1598</v>
      </c>
      <c r="V2795" s="17" ph="1">
        <f>400*1.05</f>
        <v>420</v>
      </c>
      <c r="W2795" s="17" ph="1">
        <f>400*1.05</f>
        <v>420</v>
      </c>
    </row>
    <row r="2796" spans="1:25" s="19" customFormat="1" ht="22.5" customHeight="1" ph="1" x14ac:dyDescent="0.35">
      <c r="A2796" s="107" ph="1"/>
      <c r="B2796" s="18" ph="1"/>
      <c r="C2796" s="19" t="s" ph="1">
        <v>7451</v>
      </c>
      <c r="D2796" s="124" ph="1">
        <v>1</v>
      </c>
      <c r="E2796" s="124" ph="1">
        <v>8</v>
      </c>
      <c r="G2796" s="19" t="s" ph="1">
        <v>1574</v>
      </c>
      <c r="H2796" s="19" t="s" ph="1">
        <v>2987</v>
      </c>
      <c r="I2796" s="19" t="s" ph="1">
        <v>9228</v>
      </c>
      <c r="M2796" s="27" t="str" ph="1">
        <f>IFERROR(INDEX([1]!_born[生没年],
MATCH(I2796,[1]!_born[作],0)),"")</f>
        <v/>
      </c>
      <c r="N2796" s="27" t="str" ph="1">
        <f>IFERROR(INDEX([1]!_born[生没年],
MATCH(K2796,[1]!_born[作],0)),"")</f>
        <v/>
      </c>
      <c r="O2796" s="23" t="s" ph="1">
        <v>9229</v>
      </c>
      <c r="R2796" s="20" ph="1"/>
      <c r="S2796" s="19" t="s" ph="1">
        <v>4617</v>
      </c>
      <c r="U2796" s="20" ph="1"/>
      <c r="V2796" s="21" ph="1"/>
      <c r="W2796" s="21" ph="1"/>
    </row>
    <row r="2797" spans="1:25" s="19" customFormat="1" ht="22.5" customHeight="1" ph="1" x14ac:dyDescent="0.35">
      <c r="A2797" s="107" ph="1"/>
      <c r="B2797" s="18" ph="1"/>
      <c r="C2797" s="19" t="s" ph="1">
        <v>7451</v>
      </c>
      <c r="D2797" s="124" ph="1">
        <v>2</v>
      </c>
      <c r="E2797" s="124" ph="1">
        <v>8</v>
      </c>
      <c r="G2797" s="19" t="s" ph="1">
        <v>1574</v>
      </c>
      <c r="H2797" s="19" t="s" ph="1">
        <v>2987</v>
      </c>
      <c r="I2797" s="19" t="s" ph="1">
        <v>9228</v>
      </c>
      <c r="M2797" s="27" t="str" ph="1">
        <f>IFERROR(INDEX([1]!_born[生没年],
MATCH(I2797,[1]!_born[作],0)),"")</f>
        <v/>
      </c>
      <c r="N2797" s="27" t="str" ph="1">
        <f>IFERROR(INDEX([1]!_born[生没年],
MATCH(K2797,[1]!_born[作],0)),"")</f>
        <v/>
      </c>
      <c r="O2797" s="23" t="s" ph="1">
        <v>9229</v>
      </c>
      <c r="R2797" s="20" ph="1"/>
      <c r="S2797" s="19" t="s" ph="1">
        <v>4617</v>
      </c>
      <c r="U2797" s="20" ph="1"/>
      <c r="V2797" s="21" ph="1"/>
      <c r="W2797" s="21" ph="1"/>
    </row>
    <row r="2798" spans="1:25" s="19" customFormat="1" ht="22.5" customHeight="1" ph="1" x14ac:dyDescent="0.35">
      <c r="A2798" s="107" ph="1"/>
      <c r="B2798" s="18" ph="1"/>
      <c r="C2798" s="19" t="s" ph="1">
        <v>7451</v>
      </c>
      <c r="D2798" s="124" ph="1">
        <v>3</v>
      </c>
      <c r="E2798" s="124" ph="1">
        <v>8</v>
      </c>
      <c r="G2798" s="19" t="s" ph="1">
        <v>1574</v>
      </c>
      <c r="H2798" s="19" t="s" ph="1">
        <v>2987</v>
      </c>
      <c r="I2798" s="19" t="s" ph="1">
        <v>9228</v>
      </c>
      <c r="M2798" s="27" t="str" ph="1">
        <f>IFERROR(INDEX([1]!_born[生没年],
MATCH(I2798,[1]!_born[作],0)),"")</f>
        <v/>
      </c>
      <c r="N2798" s="27" t="str" ph="1">
        <f>IFERROR(INDEX([1]!_born[生没年],
MATCH(K2798,[1]!_born[作],0)),"")</f>
        <v/>
      </c>
      <c r="O2798" s="23" t="s" ph="1">
        <v>9229</v>
      </c>
      <c r="R2798" s="20" ph="1"/>
      <c r="S2798" s="19" t="s" ph="1">
        <v>4617</v>
      </c>
      <c r="U2798" s="20" ph="1"/>
      <c r="V2798" s="21" ph="1"/>
      <c r="W2798" s="21" ph="1"/>
    </row>
    <row r="2799" spans="1:25" s="19" customFormat="1" ht="22.5" customHeight="1" ph="1" x14ac:dyDescent="0.35">
      <c r="A2799" s="107" ph="1"/>
      <c r="B2799" s="18" ph="1"/>
      <c r="C2799" s="19" t="s" ph="1">
        <v>7451</v>
      </c>
      <c r="D2799" s="124" ph="1">
        <v>4</v>
      </c>
      <c r="E2799" s="124" ph="1">
        <v>8</v>
      </c>
      <c r="G2799" s="19" t="s" ph="1">
        <v>1574</v>
      </c>
      <c r="H2799" s="19" t="s" ph="1">
        <v>2987</v>
      </c>
      <c r="I2799" s="19" t="s" ph="1">
        <v>9228</v>
      </c>
      <c r="M2799" s="27" t="str" ph="1">
        <f>IFERROR(INDEX([1]!_born[生没年],
MATCH(I2799,[1]!_born[作],0)),"")</f>
        <v/>
      </c>
      <c r="N2799" s="27" t="str" ph="1">
        <f>IFERROR(INDEX([1]!_born[生没年],
MATCH(K2799,[1]!_born[作],0)),"")</f>
        <v/>
      </c>
      <c r="O2799" s="23" t="s" ph="1">
        <v>9229</v>
      </c>
      <c r="R2799" s="20" ph="1"/>
      <c r="S2799" s="19" t="s" ph="1">
        <v>4617</v>
      </c>
      <c r="U2799" s="20" ph="1"/>
      <c r="V2799" s="21" ph="1"/>
      <c r="W2799" s="21" ph="1"/>
    </row>
    <row r="2800" spans="1:25" s="19" customFormat="1" ht="22.5" customHeight="1" ph="1" x14ac:dyDescent="0.35">
      <c r="A2800" s="107" ph="1"/>
      <c r="B2800" s="18" ph="1"/>
      <c r="C2800" s="19" t="s" ph="1">
        <v>7451</v>
      </c>
      <c r="D2800" s="124" ph="1">
        <v>5</v>
      </c>
      <c r="E2800" s="124" ph="1">
        <v>8</v>
      </c>
      <c r="G2800" s="19" t="s" ph="1">
        <v>1574</v>
      </c>
      <c r="H2800" s="19" t="s" ph="1">
        <v>2987</v>
      </c>
      <c r="I2800" s="19" t="s" ph="1">
        <v>9228</v>
      </c>
      <c r="M2800" s="27" t="str" ph="1">
        <f>IFERROR(INDEX([1]!_born[生没年],
MATCH(I2800,[1]!_born[作],0)),"")</f>
        <v/>
      </c>
      <c r="N2800" s="27" t="str" ph="1">
        <f>IFERROR(INDEX([1]!_born[生没年],
MATCH(K2800,[1]!_born[作],0)),"")</f>
        <v/>
      </c>
      <c r="O2800" s="23" t="s" ph="1">
        <v>9229</v>
      </c>
      <c r="R2800" s="20" ph="1"/>
      <c r="S2800" s="19" t="s" ph="1">
        <v>4617</v>
      </c>
      <c r="U2800" s="20" ph="1"/>
      <c r="V2800" s="21" ph="1"/>
      <c r="W2800" s="21" ph="1"/>
    </row>
    <row r="2801" spans="1:25" s="19" customFormat="1" ht="22.5" customHeight="1" ph="1" x14ac:dyDescent="0.35">
      <c r="A2801" s="107" ph="1"/>
      <c r="B2801" s="18" ph="1"/>
      <c r="C2801" s="19" t="s" ph="1">
        <v>7451</v>
      </c>
      <c r="D2801" s="124" ph="1">
        <v>6</v>
      </c>
      <c r="E2801" s="124" ph="1">
        <v>8</v>
      </c>
      <c r="G2801" s="19" t="s" ph="1">
        <v>1574</v>
      </c>
      <c r="H2801" s="19" t="s" ph="1">
        <v>2987</v>
      </c>
      <c r="I2801" s="19" t="s" ph="1">
        <v>9228</v>
      </c>
      <c r="M2801" s="27" t="str" ph="1">
        <f>IFERROR(INDEX([1]!_born[生没年],
MATCH(I2801,[1]!_born[作],0)),"")</f>
        <v/>
      </c>
      <c r="N2801" s="27" t="str" ph="1">
        <f>IFERROR(INDEX([1]!_born[生没年],
MATCH(K2801,[1]!_born[作],0)),"")</f>
        <v/>
      </c>
      <c r="O2801" s="23" t="s" ph="1">
        <v>9229</v>
      </c>
      <c r="R2801" s="20" ph="1"/>
      <c r="S2801" s="19" t="s" ph="1">
        <v>4617</v>
      </c>
      <c r="U2801" s="20" ph="1"/>
      <c r="V2801" s="21" ph="1"/>
      <c r="W2801" s="21" ph="1"/>
    </row>
    <row r="2802" spans="1:25" s="19" customFormat="1" ht="22.5" customHeight="1" ph="1" x14ac:dyDescent="0.35">
      <c r="A2802" s="107" ph="1"/>
      <c r="B2802" s="18" ph="1"/>
      <c r="C2802" s="19" t="s" ph="1">
        <v>7451</v>
      </c>
      <c r="D2802" s="124" ph="1">
        <v>7</v>
      </c>
      <c r="E2802" s="124" ph="1">
        <v>8</v>
      </c>
      <c r="G2802" s="19" t="s" ph="1">
        <v>1574</v>
      </c>
      <c r="H2802" s="19" t="s" ph="1">
        <v>2987</v>
      </c>
      <c r="I2802" s="19" t="s" ph="1">
        <v>9228</v>
      </c>
      <c r="M2802" s="27" t="str" ph="1">
        <f>IFERROR(INDEX([1]!_born[生没年],
MATCH(I2802,[1]!_born[作],0)),"")</f>
        <v/>
      </c>
      <c r="N2802" s="27" t="str" ph="1">
        <f>IFERROR(INDEX([1]!_born[生没年],
MATCH(K2802,[1]!_born[作],0)),"")</f>
        <v/>
      </c>
      <c r="O2802" s="23" t="s" ph="1">
        <v>9229</v>
      </c>
      <c r="R2802" s="20" ph="1"/>
      <c r="S2802" s="19" t="s" ph="1">
        <v>4617</v>
      </c>
      <c r="U2802" s="20" ph="1"/>
      <c r="V2802" s="21" ph="1"/>
      <c r="W2802" s="21" ph="1"/>
    </row>
    <row r="2803" spans="1:25" s="19" customFormat="1" ht="22.5" customHeight="1" ph="1" x14ac:dyDescent="0.35">
      <c r="A2803" s="107" ph="1"/>
      <c r="B2803" s="18" ph="1"/>
      <c r="C2803" s="19" t="s" ph="1">
        <v>7451</v>
      </c>
      <c r="D2803" s="124" ph="1">
        <v>8</v>
      </c>
      <c r="E2803" s="124" ph="1">
        <v>8</v>
      </c>
      <c r="G2803" s="19" t="s" ph="1">
        <v>1574</v>
      </c>
      <c r="H2803" s="19" t="s" ph="1">
        <v>2987</v>
      </c>
      <c r="I2803" s="19" t="s" ph="1">
        <v>9228</v>
      </c>
      <c r="M2803" s="27" t="str" ph="1">
        <f>IFERROR(INDEX([1]!_born[生没年],
MATCH(I2803,[1]!_born[作],0)),"")</f>
        <v/>
      </c>
      <c r="N2803" s="27" t="str" ph="1">
        <f>IFERROR(INDEX([1]!_born[生没年],
MATCH(K2803,[1]!_born[作],0)),"")</f>
        <v/>
      </c>
      <c r="O2803" s="23" t="s" ph="1">
        <v>9229</v>
      </c>
      <c r="R2803" s="20" ph="1"/>
      <c r="S2803" s="19" t="s" ph="1">
        <v>4617</v>
      </c>
      <c r="U2803" s="20" ph="1"/>
      <c r="V2803" s="21" ph="1"/>
      <c r="W2803" s="21" ph="1"/>
    </row>
    <row r="2804" spans="1:25" ht="22.5" customHeight="1" ph="1" x14ac:dyDescent="0.35">
      <c r="A2804" s="106" t="s" ph="1">
        <v>1615</v>
      </c>
      <c r="B2804" s="5" t="s" ph="1">
        <v>1613</v>
      </c>
      <c r="C2804" s="13" t="s" ph="1">
        <v>5828</v>
      </c>
      <c r="G2804" s="13" t="s" ph="1">
        <v>1574</v>
      </c>
      <c r="H2804" s="13" t="s" ph="1">
        <v>2987</v>
      </c>
      <c r="I2804" s="13" t="s" ph="1">
        <v>9230</v>
      </c>
      <c r="M2804" s="14" t="str" ph="1">
        <f>IFERROR(INDEX([1]!_born[生没年],
MATCH(I2804,[1]!_born[作],0)),"")</f>
        <v/>
      </c>
      <c r="N2804" s="14" t="str" ph="1">
        <f>IFERROR(INDEX([1]!_born[生没年],
MATCH(K2804,[1]!_born[作],0)),"")</f>
        <v/>
      </c>
      <c r="O2804" s="13" t="s" ph="1">
        <v>9231</v>
      </c>
      <c r="R2804" s="16" t="s" ph="1">
        <v>1614</v>
      </c>
      <c r="S2804" s="13" t="s" ph="1">
        <v>9232</v>
      </c>
      <c r="T2804" s="13" t="s" ph="1">
        <v>9233</v>
      </c>
      <c r="U2804" s="16" t="s" ph="1">
        <v>1571</v>
      </c>
      <c r="V2804" s="17" ph="1">
        <f>359*1.03</f>
        <v>369.77</v>
      </c>
      <c r="W2804" s="17" ph="1">
        <v>0</v>
      </c>
      <c r="X2804" s="13" t="s" ph="1">
        <v>9070</v>
      </c>
      <c r="Y2804" s="13" t="s" ph="1">
        <v>9234</v>
      </c>
    </row>
    <row r="2805" spans="1:25" s="19" customFormat="1" ht="22.5" customHeight="1" ph="1" x14ac:dyDescent="0.35">
      <c r="A2805" s="107" ph="1"/>
      <c r="B2805" s="18" ph="1"/>
      <c r="C2805" s="19" t="s" ph="1">
        <v>7451</v>
      </c>
      <c r="D2805" s="124" ph="1"/>
      <c r="E2805" s="124" ph="1"/>
      <c r="G2805" s="19" t="s" ph="1">
        <v>1574</v>
      </c>
      <c r="H2805" s="19" t="s" ph="1">
        <v>2987</v>
      </c>
      <c r="I2805" s="19" t="s" ph="1">
        <v>9235</v>
      </c>
      <c r="M2805" s="27" t="str" ph="1">
        <f>IFERROR(INDEX([1]!_born[生没年],
MATCH(I2805,[1]!_born[作],0)),"")</f>
        <v/>
      </c>
      <c r="N2805" s="27" t="str" ph="1">
        <f>IFERROR(INDEX([1]!_born[生没年],
MATCH(K2805,[1]!_born[作],0)),"")</f>
        <v/>
      </c>
      <c r="O2805" s="19" t="s" ph="1">
        <v>9236</v>
      </c>
      <c r="R2805" s="20" ph="1"/>
      <c r="S2805" s="19" t="s" ph="1">
        <v>4617</v>
      </c>
      <c r="U2805" s="20" t="s" ph="1">
        <v>1612</v>
      </c>
      <c r="V2805" s="21" ph="1"/>
      <c r="W2805" s="21" ph="1"/>
    </row>
    <row r="2806" spans="1:25" ht="22.5" customHeight="1" ph="1" x14ac:dyDescent="0.35">
      <c r="A2806" s="106" t="s" ph="1">
        <v>1602</v>
      </c>
      <c r="B2806" s="5" t="s" ph="1">
        <v>1596</v>
      </c>
      <c r="C2806" s="13" t="s" ph="1">
        <v>5828</v>
      </c>
      <c r="D2806" s="123" ph="1">
        <v>1</v>
      </c>
      <c r="E2806" s="123" t="s" ph="1">
        <v>3145</v>
      </c>
      <c r="G2806" s="13" t="s" ph="1">
        <v>1574</v>
      </c>
      <c r="H2806" s="13" t="s" ph="1">
        <v>2987</v>
      </c>
      <c r="I2806" s="13" t="s" ph="1">
        <v>9237</v>
      </c>
      <c r="M2806" s="14" t="str" ph="1">
        <f>IFERROR(INDEX([1]!_born[生没年],
MATCH(I2806,[1]!_born[作],0)),"")</f>
        <v/>
      </c>
      <c r="N2806" s="14" t="str" ph="1">
        <f>IFERROR(INDEX([1]!_born[生没年],
MATCH(K2806,[1]!_born[作],0)),"")</f>
        <v/>
      </c>
      <c r="O2806" s="13" t="s" ph="1">
        <v>9238</v>
      </c>
      <c r="S2806" s="13" t="s" ph="1">
        <v>9239</v>
      </c>
      <c r="T2806" s="13" t="s" ph="1">
        <v>3988</v>
      </c>
      <c r="V2806" s="17" ph="1">
        <f t="shared" ref="V2806:W2821" si="20">390*1.05</f>
        <v>409.5</v>
      </c>
      <c r="W2806" s="17" ph="1">
        <f t="shared" si="20"/>
        <v>409.5</v>
      </c>
    </row>
    <row r="2807" spans="1:25" ht="22.5" customHeight="1" ph="1" x14ac:dyDescent="0.35">
      <c r="A2807" s="106" t="s" ph="1">
        <v>1603</v>
      </c>
      <c r="B2807" s="5" t="s" ph="1">
        <v>1596</v>
      </c>
      <c r="C2807" s="13" t="s" ph="1">
        <v>5828</v>
      </c>
      <c r="D2807" s="123" ph="1">
        <v>2</v>
      </c>
      <c r="E2807" s="123" t="s" ph="1">
        <v>3145</v>
      </c>
      <c r="G2807" s="13" t="s" ph="1">
        <v>1574</v>
      </c>
      <c r="H2807" s="13" t="s" ph="1">
        <v>2987</v>
      </c>
      <c r="I2807" s="13" t="s" ph="1">
        <v>9237</v>
      </c>
      <c r="M2807" s="14" t="str" ph="1">
        <f>IFERROR(INDEX([1]!_born[生没年],
MATCH(I2807,[1]!_born[作],0)),"")</f>
        <v/>
      </c>
      <c r="N2807" s="14" t="str" ph="1">
        <f>IFERROR(INDEX([1]!_born[生没年],
MATCH(K2807,[1]!_born[作],0)),"")</f>
        <v/>
      </c>
      <c r="O2807" s="13" t="s" ph="1">
        <v>9238</v>
      </c>
      <c r="S2807" s="13" t="s" ph="1">
        <v>9239</v>
      </c>
      <c r="T2807" s="13" t="s" ph="1">
        <v>3988</v>
      </c>
      <c r="V2807" s="17" ph="1">
        <f t="shared" si="20"/>
        <v>409.5</v>
      </c>
      <c r="W2807" s="17" ph="1">
        <f t="shared" si="20"/>
        <v>409.5</v>
      </c>
    </row>
    <row r="2808" spans="1:25" ht="22.5" customHeight="1" ph="1" x14ac:dyDescent="0.35">
      <c r="A2808" s="106" t="s" ph="1">
        <v>1604</v>
      </c>
      <c r="B2808" s="5" t="s" ph="1">
        <v>1596</v>
      </c>
      <c r="C2808" s="13" t="s" ph="1">
        <v>5828</v>
      </c>
      <c r="D2808" s="123" ph="1">
        <v>3</v>
      </c>
      <c r="E2808" s="123" t="s" ph="1">
        <v>3145</v>
      </c>
      <c r="G2808" s="13" t="s" ph="1">
        <v>1574</v>
      </c>
      <c r="H2808" s="13" t="s" ph="1">
        <v>2987</v>
      </c>
      <c r="I2808" s="13" t="s" ph="1">
        <v>9237</v>
      </c>
      <c r="M2808" s="14" t="str" ph="1">
        <f>IFERROR(INDEX([1]!_born[生没年],
MATCH(I2808,[1]!_born[作],0)),"")</f>
        <v/>
      </c>
      <c r="N2808" s="14" t="str" ph="1">
        <f>IFERROR(INDEX([1]!_born[生没年],
MATCH(K2808,[1]!_born[作],0)),"")</f>
        <v/>
      </c>
      <c r="O2808" s="13" t="s" ph="1">
        <v>9238</v>
      </c>
      <c r="S2808" s="13" t="s" ph="1">
        <v>9239</v>
      </c>
      <c r="T2808" s="13" t="s" ph="1">
        <v>3988</v>
      </c>
      <c r="V2808" s="17" ph="1">
        <f t="shared" si="20"/>
        <v>409.5</v>
      </c>
      <c r="W2808" s="17" ph="1">
        <f t="shared" si="20"/>
        <v>409.5</v>
      </c>
    </row>
    <row r="2809" spans="1:25" ht="22.5" customHeight="1" ph="1" x14ac:dyDescent="0.35">
      <c r="B2809" s="5" t="s" ph="1">
        <v>1596</v>
      </c>
      <c r="C2809" s="13" t="s" ph="1">
        <v>5828</v>
      </c>
      <c r="D2809" s="123" ph="1">
        <v>4</v>
      </c>
      <c r="E2809" s="123" t="s" ph="1">
        <v>3145</v>
      </c>
      <c r="G2809" s="13" t="s" ph="1">
        <v>1574</v>
      </c>
      <c r="H2809" s="13" t="s" ph="1">
        <v>2987</v>
      </c>
      <c r="I2809" s="13" t="s" ph="1">
        <v>9237</v>
      </c>
      <c r="M2809" s="14" t="str" ph="1">
        <f>IFERROR(INDEX([1]!_born[生没年],
MATCH(I2809,[1]!_born[作],0)),"")</f>
        <v/>
      </c>
      <c r="N2809" s="14" t="str" ph="1">
        <f>IFERROR(INDEX([1]!_born[生没年],
MATCH(K2809,[1]!_born[作],0)),"")</f>
        <v/>
      </c>
      <c r="O2809" s="13" t="s" ph="1">
        <v>9238</v>
      </c>
      <c r="S2809" s="13" t="s" ph="1">
        <v>9239</v>
      </c>
      <c r="T2809" s="13" t="s" ph="1">
        <v>3988</v>
      </c>
      <c r="U2809" s="16" ph="1">
        <v>36471</v>
      </c>
      <c r="V2809" s="17" ph="1">
        <f t="shared" si="20"/>
        <v>409.5</v>
      </c>
      <c r="W2809" s="17" ph="1">
        <f t="shared" si="20"/>
        <v>409.5</v>
      </c>
    </row>
    <row r="2810" spans="1:25" ht="22.5" customHeight="1" ph="1" x14ac:dyDescent="0.35">
      <c r="B2810" s="5" t="s" ph="1">
        <v>1596</v>
      </c>
      <c r="C2810" s="13" t="s" ph="1">
        <v>5828</v>
      </c>
      <c r="D2810" s="123" ph="1">
        <v>5</v>
      </c>
      <c r="E2810" s="123" t="s" ph="1">
        <v>3145</v>
      </c>
      <c r="G2810" s="13" t="s" ph="1">
        <v>1574</v>
      </c>
      <c r="H2810" s="13" t="s" ph="1">
        <v>2987</v>
      </c>
      <c r="I2810" s="13" t="s" ph="1">
        <v>9237</v>
      </c>
      <c r="M2810" s="14" t="str" ph="1">
        <f>IFERROR(INDEX([1]!_born[生没年],
MATCH(I2810,[1]!_born[作],0)),"")</f>
        <v/>
      </c>
      <c r="N2810" s="14" t="str" ph="1">
        <f>IFERROR(INDEX([1]!_born[生没年],
MATCH(K2810,[1]!_born[作],0)),"")</f>
        <v/>
      </c>
      <c r="O2810" s="13" t="s" ph="1">
        <v>9238</v>
      </c>
      <c r="S2810" s="13" t="s" ph="1">
        <v>9239</v>
      </c>
      <c r="T2810" s="13" t="s" ph="1">
        <v>3988</v>
      </c>
      <c r="U2810" s="16" ph="1">
        <v>36471</v>
      </c>
      <c r="V2810" s="17" ph="1">
        <f t="shared" si="20"/>
        <v>409.5</v>
      </c>
      <c r="W2810" s="17" ph="1">
        <f t="shared" si="20"/>
        <v>409.5</v>
      </c>
    </row>
    <row r="2811" spans="1:25" ht="22.5" customHeight="1" ph="1" x14ac:dyDescent="0.35">
      <c r="A2811" s="106" t="s" ph="1">
        <v>1605</v>
      </c>
      <c r="B2811" s="5" t="s" ph="1">
        <v>1596</v>
      </c>
      <c r="C2811" s="13" t="s" ph="1">
        <v>5828</v>
      </c>
      <c r="D2811" s="123" ph="1">
        <v>6</v>
      </c>
      <c r="E2811" s="123" t="s" ph="1">
        <v>3145</v>
      </c>
      <c r="G2811" s="13" t="s" ph="1">
        <v>1574</v>
      </c>
      <c r="H2811" s="13" t="s" ph="1">
        <v>2987</v>
      </c>
      <c r="I2811" s="13" t="s" ph="1">
        <v>9237</v>
      </c>
      <c r="M2811" s="14" t="str" ph="1">
        <f>IFERROR(INDEX([1]!_born[生没年],
MATCH(I2811,[1]!_born[作],0)),"")</f>
        <v/>
      </c>
      <c r="N2811" s="14" t="str" ph="1">
        <f>IFERROR(INDEX([1]!_born[生没年],
MATCH(K2811,[1]!_born[作],0)),"")</f>
        <v/>
      </c>
      <c r="O2811" s="13" t="s" ph="1">
        <v>9238</v>
      </c>
      <c r="S2811" s="13" t="s" ph="1">
        <v>9239</v>
      </c>
      <c r="T2811" s="13" t="s" ph="1">
        <v>3988</v>
      </c>
      <c r="V2811" s="17" ph="1">
        <f t="shared" si="20"/>
        <v>409.5</v>
      </c>
      <c r="W2811" s="17" ph="1">
        <f t="shared" si="20"/>
        <v>409.5</v>
      </c>
    </row>
    <row r="2812" spans="1:25" ht="22.5" customHeight="1" ph="1" x14ac:dyDescent="0.35">
      <c r="A2812" s="106" t="s" ph="1">
        <v>1606</v>
      </c>
      <c r="B2812" s="5" t="s" ph="1">
        <v>1596</v>
      </c>
      <c r="C2812" s="13" t="s" ph="1">
        <v>5828</v>
      </c>
      <c r="D2812" s="123" ph="1">
        <v>7</v>
      </c>
      <c r="E2812" s="123" t="s" ph="1">
        <v>3145</v>
      </c>
      <c r="G2812" s="13" t="s" ph="1">
        <v>1574</v>
      </c>
      <c r="H2812" s="13" t="s" ph="1">
        <v>2987</v>
      </c>
      <c r="I2812" s="13" t="s" ph="1">
        <v>9237</v>
      </c>
      <c r="M2812" s="14" t="str" ph="1">
        <f>IFERROR(INDEX([1]!_born[生没年],
MATCH(I2812,[1]!_born[作],0)),"")</f>
        <v/>
      </c>
      <c r="N2812" s="14" t="str" ph="1">
        <f>IFERROR(INDEX([1]!_born[生没年],
MATCH(K2812,[1]!_born[作],0)),"")</f>
        <v/>
      </c>
      <c r="O2812" s="13" t="s" ph="1">
        <v>9238</v>
      </c>
      <c r="S2812" s="13" t="s" ph="1">
        <v>9239</v>
      </c>
      <c r="T2812" s="13" t="s" ph="1">
        <v>3988</v>
      </c>
      <c r="V2812" s="17" ph="1">
        <f t="shared" si="20"/>
        <v>409.5</v>
      </c>
      <c r="W2812" s="17" ph="1">
        <f t="shared" si="20"/>
        <v>409.5</v>
      </c>
    </row>
    <row r="2813" spans="1:25" s="19" customFormat="1" ht="22.5" customHeight="1" ph="1" x14ac:dyDescent="0.35">
      <c r="A2813" s="107" t="s" ph="1">
        <v>1600</v>
      </c>
      <c r="B2813" s="18" t="s" ph="1">
        <v>1596</v>
      </c>
      <c r="C2813" s="19" t="s" ph="1">
        <v>7451</v>
      </c>
      <c r="D2813" s="124" ph="1">
        <v>1</v>
      </c>
      <c r="E2813" s="124" t="s" ph="1">
        <v>2304</v>
      </c>
      <c r="G2813" s="19" t="s" ph="1">
        <v>1574</v>
      </c>
      <c r="H2813" s="19" t="s" ph="1">
        <v>2987</v>
      </c>
      <c r="I2813" s="19" t="s" ph="1">
        <v>9240</v>
      </c>
      <c r="M2813" s="27" t="str" ph="1">
        <f>IFERROR(INDEX([1]!_born[生没年],
MATCH(I2813,[1]!_born[作],0)),"")</f>
        <v/>
      </c>
      <c r="N2813" s="27" t="str" ph="1">
        <f>IFERROR(INDEX([1]!_born[生没年],
MATCH(K2813,[1]!_born[作],0)),"")</f>
        <v/>
      </c>
      <c r="O2813" s="19" t="s" ph="1">
        <v>9241</v>
      </c>
      <c r="R2813" s="20" ph="1"/>
      <c r="S2813" s="19" t="s" ph="1">
        <v>9242</v>
      </c>
      <c r="T2813" s="19" t="s" ph="1">
        <v>5795</v>
      </c>
      <c r="U2813" s="20" ph="1">
        <v>38963</v>
      </c>
      <c r="V2813" s="21" ph="1">
        <f t="shared" si="20"/>
        <v>409.5</v>
      </c>
      <c r="W2813" s="21" ph="1">
        <f t="shared" si="20"/>
        <v>409.5</v>
      </c>
      <c r="X2813" s="19" t="s" ph="1">
        <v>7036</v>
      </c>
      <c r="Y2813" s="19" t="s" ph="1">
        <v>9243</v>
      </c>
    </row>
    <row r="2814" spans="1:25" s="19" customFormat="1" ht="22.5" customHeight="1" ph="1" x14ac:dyDescent="0.35">
      <c r="A2814" s="107" t="s" ph="1">
        <v>1601</v>
      </c>
      <c r="B2814" s="18" t="s" ph="1">
        <v>1596</v>
      </c>
      <c r="C2814" s="19" t="s" ph="1">
        <v>7451</v>
      </c>
      <c r="D2814" s="124" ph="1">
        <v>2</v>
      </c>
      <c r="E2814" s="124" t="s" ph="1">
        <v>2304</v>
      </c>
      <c r="G2814" s="19" t="s" ph="1">
        <v>1574</v>
      </c>
      <c r="H2814" s="19" t="s" ph="1">
        <v>2987</v>
      </c>
      <c r="I2814" s="19" t="s" ph="1">
        <v>9240</v>
      </c>
      <c r="M2814" s="27" t="str" ph="1">
        <f>IFERROR(INDEX([1]!_born[生没年],
MATCH(I2814,[1]!_born[作],0)),"")</f>
        <v/>
      </c>
      <c r="N2814" s="27" t="str" ph="1">
        <f>IFERROR(INDEX([1]!_born[生没年],
MATCH(K2814,[1]!_born[作],0)),"")</f>
        <v/>
      </c>
      <c r="O2814" s="19" t="s" ph="1">
        <v>9241</v>
      </c>
      <c r="R2814" s="20" ph="1"/>
      <c r="S2814" s="19" t="s" ph="1">
        <v>9242</v>
      </c>
      <c r="T2814" s="19" t="s" ph="1">
        <v>5795</v>
      </c>
      <c r="U2814" s="20" ph="1">
        <v>38963</v>
      </c>
      <c r="V2814" s="21" ph="1">
        <f t="shared" si="20"/>
        <v>409.5</v>
      </c>
      <c r="W2814" s="21" ph="1">
        <f t="shared" si="20"/>
        <v>409.5</v>
      </c>
      <c r="X2814" s="19" t="s" ph="1">
        <v>7036</v>
      </c>
      <c r="Y2814" s="19" t="s" ph="1">
        <v>9243</v>
      </c>
    </row>
    <row r="2815" spans="1:25" ht="22.5" customHeight="1" ph="1" x14ac:dyDescent="0.35">
      <c r="A2815" s="106" t="s" ph="1">
        <v>1600</v>
      </c>
      <c r="B2815" s="5" t="s" ph="1">
        <v>1596</v>
      </c>
      <c r="C2815" s="13" t="s" ph="1">
        <v>5828</v>
      </c>
      <c r="D2815" s="123" ph="1">
        <v>1</v>
      </c>
      <c r="E2815" s="123" t="s" ph="1">
        <v>2304</v>
      </c>
      <c r="G2815" s="13" t="s" ph="1">
        <v>699</v>
      </c>
      <c r="H2815" s="13" t="s" ph="1">
        <v>2987</v>
      </c>
      <c r="I2815" s="13" t="s" ph="1">
        <v>9237</v>
      </c>
      <c r="M2815" s="14" t="str" ph="1">
        <f>IFERROR(INDEX([1]!_born[生没年],
MATCH(I2815,[1]!_born[作],0)),"")</f>
        <v/>
      </c>
      <c r="N2815" s="14" t="str" ph="1">
        <f>IFERROR(INDEX([1]!_born[生没年],
MATCH(K2815,[1]!_born[作],0)),"")</f>
        <v/>
      </c>
      <c r="O2815" s="13" t="s" ph="1">
        <v>9244</v>
      </c>
      <c r="S2815" s="19" t="s" ph="1">
        <v>9242</v>
      </c>
      <c r="T2815" s="19" t="s" ph="1">
        <v>5795</v>
      </c>
      <c r="U2815" s="16" t="s" ph="1">
        <v>9245</v>
      </c>
      <c r="V2815" s="17" ph="1">
        <f t="shared" si="20"/>
        <v>409.5</v>
      </c>
      <c r="Y2815" s="13" t="s" ph="1">
        <v>9246</v>
      </c>
    </row>
    <row r="2816" spans="1:25" ht="22.5" customHeight="1" ph="1" x14ac:dyDescent="0.35">
      <c r="A2816" s="106" t="s" ph="1">
        <v>1601</v>
      </c>
      <c r="B2816" s="5" t="s" ph="1">
        <v>1596</v>
      </c>
      <c r="C2816" s="13" t="s" ph="1">
        <v>5828</v>
      </c>
      <c r="D2816" s="123" ph="1">
        <v>2</v>
      </c>
      <c r="E2816" s="123" t="s" ph="1">
        <v>2304</v>
      </c>
      <c r="G2816" s="13" t="s" ph="1">
        <v>699</v>
      </c>
      <c r="H2816" s="13" t="s" ph="1">
        <v>2987</v>
      </c>
      <c r="I2816" s="13" t="s" ph="1">
        <v>9237</v>
      </c>
      <c r="M2816" s="14" t="str" ph="1">
        <f>IFERROR(INDEX([1]!_born[生没年],
MATCH(I2816,[1]!_born[作],0)),"")</f>
        <v/>
      </c>
      <c r="N2816" s="14" t="str" ph="1">
        <f>IFERROR(INDEX([1]!_born[生没年],
MATCH(K2816,[1]!_born[作],0)),"")</f>
        <v/>
      </c>
      <c r="O2816" s="13" t="s" ph="1">
        <v>9244</v>
      </c>
      <c r="S2816" s="19" t="s" ph="1">
        <v>9242</v>
      </c>
      <c r="T2816" s="19" t="s" ph="1">
        <v>5795</v>
      </c>
      <c r="U2816" s="16" t="s" ph="1">
        <v>9245</v>
      </c>
      <c r="V2816" s="17" ph="1">
        <f t="shared" si="20"/>
        <v>409.5</v>
      </c>
      <c r="Y2816" s="13" t="s" ph="1">
        <v>9246</v>
      </c>
    </row>
    <row r="2817" spans="2:25" ht="22.5" customHeight="1" ph="1" x14ac:dyDescent="0.35">
      <c r="B2817" s="5" t="s" ph="1">
        <v>1596</v>
      </c>
      <c r="C2817" s="13" t="s" ph="1">
        <v>5828</v>
      </c>
      <c r="D2817" s="123" ph="1">
        <v>3</v>
      </c>
      <c r="E2817" s="123" t="s" ph="1">
        <v>2304</v>
      </c>
      <c r="G2817" s="13" t="s" ph="1">
        <v>699</v>
      </c>
      <c r="H2817" s="13" t="s" ph="1">
        <v>2987</v>
      </c>
      <c r="I2817" s="13" t="s" ph="1">
        <v>9237</v>
      </c>
      <c r="M2817" s="14" t="str" ph="1">
        <f>IFERROR(INDEX([1]!_born[生没年],
MATCH(I2817,[1]!_born[作],0)),"")</f>
        <v/>
      </c>
      <c r="N2817" s="14" t="str" ph="1">
        <f>IFERROR(INDEX([1]!_born[生没年],
MATCH(K2817,[1]!_born[作],0)),"")</f>
        <v/>
      </c>
      <c r="O2817" s="13" t="s" ph="1">
        <v>9244</v>
      </c>
      <c r="S2817" s="19" t="s" ph="1">
        <v>9242</v>
      </c>
      <c r="T2817" s="19" t="s" ph="1">
        <v>5795</v>
      </c>
      <c r="U2817" s="16" t="s" ph="1">
        <v>9245</v>
      </c>
      <c r="V2817" s="17" ph="1">
        <f t="shared" si="20"/>
        <v>409.5</v>
      </c>
      <c r="Y2817" s="13" t="s" ph="1">
        <v>9246</v>
      </c>
    </row>
    <row r="2818" spans="2:25" ht="22.5" customHeight="1" ph="1" x14ac:dyDescent="0.35">
      <c r="B2818" s="5" t="s" ph="1">
        <v>1596</v>
      </c>
      <c r="C2818" s="13" t="s" ph="1">
        <v>5828</v>
      </c>
      <c r="D2818" s="123" ph="1">
        <v>4</v>
      </c>
      <c r="E2818" s="123" t="s" ph="1">
        <v>2304</v>
      </c>
      <c r="G2818" s="13" t="s" ph="1">
        <v>699</v>
      </c>
      <c r="H2818" s="13" t="s" ph="1">
        <v>2987</v>
      </c>
      <c r="I2818" s="13" t="s" ph="1">
        <v>9237</v>
      </c>
      <c r="M2818" s="14" t="str" ph="1">
        <f>IFERROR(INDEX([1]!_born[生没年],
MATCH(I2818,[1]!_born[作],0)),"")</f>
        <v/>
      </c>
      <c r="N2818" s="14" t="str" ph="1">
        <f>IFERROR(INDEX([1]!_born[生没年],
MATCH(K2818,[1]!_born[作],0)),"")</f>
        <v/>
      </c>
      <c r="O2818" s="13" t="s" ph="1">
        <v>9244</v>
      </c>
      <c r="S2818" s="19" t="s" ph="1">
        <v>9242</v>
      </c>
      <c r="T2818" s="19" t="s" ph="1">
        <v>5795</v>
      </c>
      <c r="U2818" s="16" t="s" ph="1">
        <v>9245</v>
      </c>
      <c r="V2818" s="17" ph="1">
        <f t="shared" si="20"/>
        <v>409.5</v>
      </c>
      <c r="Y2818" s="13" t="s" ph="1">
        <v>9246</v>
      </c>
    </row>
    <row r="2819" spans="2:25" ht="22.5" customHeight="1" ph="1" x14ac:dyDescent="0.35">
      <c r="B2819" s="5" t="s" ph="1">
        <v>1596</v>
      </c>
      <c r="C2819" s="13" t="s" ph="1">
        <v>5828</v>
      </c>
      <c r="D2819" s="123" ph="1">
        <v>5</v>
      </c>
      <c r="E2819" s="123" t="s" ph="1">
        <v>2304</v>
      </c>
      <c r="G2819" s="13" t="s" ph="1">
        <v>699</v>
      </c>
      <c r="H2819" s="13" t="s" ph="1">
        <v>2987</v>
      </c>
      <c r="I2819" s="13" t="s" ph="1">
        <v>9237</v>
      </c>
      <c r="M2819" s="14" t="str" ph="1">
        <f>IFERROR(INDEX([1]!_born[生没年],
MATCH(I2819,[1]!_born[作],0)),"")</f>
        <v/>
      </c>
      <c r="N2819" s="14" t="str" ph="1">
        <f>IFERROR(INDEX([1]!_born[生没年],
MATCH(K2819,[1]!_born[作],0)),"")</f>
        <v/>
      </c>
      <c r="O2819" s="13" t="s" ph="1">
        <v>9244</v>
      </c>
      <c r="S2819" s="19" t="s" ph="1">
        <v>9242</v>
      </c>
      <c r="T2819" s="19" t="s" ph="1">
        <v>5795</v>
      </c>
      <c r="U2819" s="16" t="s" ph="1">
        <v>9245</v>
      </c>
      <c r="V2819" s="17" ph="1">
        <f t="shared" si="20"/>
        <v>409.5</v>
      </c>
      <c r="Y2819" s="13" t="s" ph="1">
        <v>9246</v>
      </c>
    </row>
    <row r="2820" spans="2:25" ht="22.5" customHeight="1" ph="1" x14ac:dyDescent="0.35">
      <c r="B2820" s="5" t="s" ph="1">
        <v>1596</v>
      </c>
      <c r="C2820" s="13" t="s" ph="1">
        <v>5828</v>
      </c>
      <c r="D2820" s="123" ph="1">
        <v>6</v>
      </c>
      <c r="E2820" s="123" t="s" ph="1">
        <v>2304</v>
      </c>
      <c r="G2820" s="13" t="s" ph="1">
        <v>699</v>
      </c>
      <c r="H2820" s="13" t="s" ph="1">
        <v>2987</v>
      </c>
      <c r="I2820" s="13" t="s" ph="1">
        <v>9237</v>
      </c>
      <c r="M2820" s="14" t="str" ph="1">
        <f>IFERROR(INDEX([1]!_born[生没年],
MATCH(I2820,[1]!_born[作],0)),"")</f>
        <v/>
      </c>
      <c r="N2820" s="14" t="str" ph="1">
        <f>IFERROR(INDEX([1]!_born[生没年],
MATCH(K2820,[1]!_born[作],0)),"")</f>
        <v/>
      </c>
      <c r="O2820" s="13" t="s" ph="1">
        <v>9244</v>
      </c>
      <c r="S2820" s="19" t="s" ph="1">
        <v>9242</v>
      </c>
      <c r="T2820" s="19" t="s" ph="1">
        <v>5795</v>
      </c>
      <c r="U2820" s="16" t="s" ph="1">
        <v>9245</v>
      </c>
      <c r="V2820" s="17" ph="1">
        <f t="shared" si="20"/>
        <v>409.5</v>
      </c>
      <c r="Y2820" s="13" t="s" ph="1">
        <v>9246</v>
      </c>
    </row>
    <row r="2821" spans="2:25" ht="22.5" customHeight="1" ph="1" x14ac:dyDescent="0.35">
      <c r="B2821" s="5" t="s" ph="1">
        <v>1596</v>
      </c>
      <c r="C2821" s="13" t="s" ph="1">
        <v>5828</v>
      </c>
      <c r="D2821" s="123" ph="1">
        <v>7</v>
      </c>
      <c r="E2821" s="123" t="s" ph="1">
        <v>2304</v>
      </c>
      <c r="G2821" s="13" t="s" ph="1">
        <v>699</v>
      </c>
      <c r="H2821" s="13" t="s" ph="1">
        <v>2987</v>
      </c>
      <c r="I2821" s="13" t="s" ph="1">
        <v>9237</v>
      </c>
      <c r="M2821" s="14" t="str" ph="1">
        <f>IFERROR(INDEX([1]!_born[生没年],
MATCH(I2821,[1]!_born[作],0)),"")</f>
        <v/>
      </c>
      <c r="N2821" s="14" t="str" ph="1">
        <f>IFERROR(INDEX([1]!_born[生没年],
MATCH(K2821,[1]!_born[作],0)),"")</f>
        <v/>
      </c>
      <c r="O2821" s="13" t="s" ph="1">
        <v>9244</v>
      </c>
      <c r="S2821" s="19" t="s" ph="1">
        <v>9242</v>
      </c>
      <c r="T2821" s="19" t="s" ph="1">
        <v>5795</v>
      </c>
      <c r="U2821" s="16" t="s" ph="1">
        <v>9245</v>
      </c>
      <c r="V2821" s="17" ph="1">
        <f t="shared" si="20"/>
        <v>409.5</v>
      </c>
      <c r="Y2821" s="13" t="s" ph="1">
        <v>9246</v>
      </c>
    </row>
    <row r="2822" spans="2:25" ht="22.5" customHeight="1" ph="1" x14ac:dyDescent="0.35">
      <c r="B2822" s="5" t="s" ph="1">
        <v>1596</v>
      </c>
      <c r="C2822" s="13" t="s" ph="1">
        <v>5828</v>
      </c>
      <c r="D2822" s="123" ph="1">
        <v>8</v>
      </c>
      <c r="E2822" s="123" t="s" ph="1">
        <v>2304</v>
      </c>
      <c r="G2822" s="13" t="s" ph="1">
        <v>699</v>
      </c>
      <c r="H2822" s="13" t="s" ph="1">
        <v>2987</v>
      </c>
      <c r="I2822" s="13" t="s" ph="1">
        <v>9237</v>
      </c>
      <c r="M2822" s="14" t="str" ph="1">
        <f>IFERROR(INDEX([1]!_born[生没年],
MATCH(I2822,[1]!_born[作],0)),"")</f>
        <v/>
      </c>
      <c r="N2822" s="14" t="str" ph="1">
        <f>IFERROR(INDEX([1]!_born[生没年],
MATCH(K2822,[1]!_born[作],0)),"")</f>
        <v/>
      </c>
      <c r="O2822" s="13" t="s" ph="1">
        <v>9244</v>
      </c>
      <c r="S2822" s="19" t="s" ph="1">
        <v>9242</v>
      </c>
      <c r="T2822" s="19" t="s" ph="1">
        <v>5795</v>
      </c>
      <c r="U2822" s="16" t="s" ph="1">
        <v>9245</v>
      </c>
      <c r="V2822" s="17" ph="1">
        <f t="shared" ref="V2822:V2844" si="21">390*1.05</f>
        <v>409.5</v>
      </c>
      <c r="Y2822" s="13" t="s" ph="1">
        <v>9246</v>
      </c>
    </row>
    <row r="2823" spans="2:25" ht="22.5" customHeight="1" ph="1" x14ac:dyDescent="0.35">
      <c r="B2823" s="5" t="s" ph="1">
        <v>1596</v>
      </c>
      <c r="C2823" s="13" t="s" ph="1">
        <v>5828</v>
      </c>
      <c r="D2823" s="123" ph="1">
        <v>9</v>
      </c>
      <c r="E2823" s="123" t="s" ph="1">
        <v>2304</v>
      </c>
      <c r="G2823" s="13" t="s" ph="1">
        <v>699</v>
      </c>
      <c r="H2823" s="13" t="s" ph="1">
        <v>2987</v>
      </c>
      <c r="I2823" s="13" t="s" ph="1">
        <v>9237</v>
      </c>
      <c r="M2823" s="14" t="str" ph="1">
        <f>IFERROR(INDEX([1]!_born[生没年],
MATCH(I2823,[1]!_born[作],0)),"")</f>
        <v/>
      </c>
      <c r="N2823" s="14" t="str" ph="1">
        <f>IFERROR(INDEX([1]!_born[生没年],
MATCH(K2823,[1]!_born[作],0)),"")</f>
        <v/>
      </c>
      <c r="O2823" s="13" t="s" ph="1">
        <v>9244</v>
      </c>
      <c r="S2823" s="19" t="s" ph="1">
        <v>9242</v>
      </c>
      <c r="T2823" s="19" t="s" ph="1">
        <v>5795</v>
      </c>
      <c r="U2823" s="16" t="s" ph="1">
        <v>9245</v>
      </c>
      <c r="V2823" s="17" ph="1">
        <f t="shared" si="21"/>
        <v>409.5</v>
      </c>
      <c r="Y2823" s="13" t="s" ph="1">
        <v>9246</v>
      </c>
    </row>
    <row r="2824" spans="2:25" ht="22.5" customHeight="1" ph="1" x14ac:dyDescent="0.35">
      <c r="B2824" s="5" t="s" ph="1">
        <v>1596</v>
      </c>
      <c r="C2824" s="13" t="s" ph="1">
        <v>5828</v>
      </c>
      <c r="D2824" s="123" ph="1">
        <v>10</v>
      </c>
      <c r="E2824" s="123" t="s" ph="1">
        <v>2304</v>
      </c>
      <c r="G2824" s="13" t="s" ph="1">
        <v>699</v>
      </c>
      <c r="H2824" s="13" t="s" ph="1">
        <v>2987</v>
      </c>
      <c r="I2824" s="13" t="s" ph="1">
        <v>9237</v>
      </c>
      <c r="M2824" s="14" t="str" ph="1">
        <f>IFERROR(INDEX([1]!_born[生没年],
MATCH(I2824,[1]!_born[作],0)),"")</f>
        <v/>
      </c>
      <c r="N2824" s="14" t="str" ph="1">
        <f>IFERROR(INDEX([1]!_born[生没年],
MATCH(K2824,[1]!_born[作],0)),"")</f>
        <v/>
      </c>
      <c r="O2824" s="13" t="s" ph="1">
        <v>9244</v>
      </c>
      <c r="S2824" s="19" t="s" ph="1">
        <v>9242</v>
      </c>
      <c r="T2824" s="19" t="s" ph="1">
        <v>5795</v>
      </c>
      <c r="U2824" s="16" t="s" ph="1">
        <v>9245</v>
      </c>
      <c r="V2824" s="17" ph="1">
        <f t="shared" si="21"/>
        <v>409.5</v>
      </c>
      <c r="Y2824" s="13" t="s" ph="1">
        <v>9246</v>
      </c>
    </row>
    <row r="2825" spans="2:25" ht="22.5" customHeight="1" ph="1" x14ac:dyDescent="0.35">
      <c r="B2825" s="5" t="s" ph="1">
        <v>1596</v>
      </c>
      <c r="C2825" s="13" t="s" ph="1">
        <v>5828</v>
      </c>
      <c r="D2825" s="123" ph="1">
        <v>11</v>
      </c>
      <c r="E2825" s="123" t="s" ph="1">
        <v>2304</v>
      </c>
      <c r="G2825" s="13" t="s" ph="1">
        <v>699</v>
      </c>
      <c r="H2825" s="13" t="s" ph="1">
        <v>2987</v>
      </c>
      <c r="I2825" s="13" t="s" ph="1">
        <v>9237</v>
      </c>
      <c r="M2825" s="14" t="str" ph="1">
        <f>IFERROR(INDEX([1]!_born[生没年],
MATCH(I2825,[1]!_born[作],0)),"")</f>
        <v/>
      </c>
      <c r="N2825" s="14" t="str" ph="1">
        <f>IFERROR(INDEX([1]!_born[生没年],
MATCH(K2825,[1]!_born[作],0)),"")</f>
        <v/>
      </c>
      <c r="O2825" s="13" t="s" ph="1">
        <v>9244</v>
      </c>
      <c r="S2825" s="19" t="s" ph="1">
        <v>9242</v>
      </c>
      <c r="T2825" s="19" t="s" ph="1">
        <v>5795</v>
      </c>
      <c r="U2825" s="16" t="s" ph="1">
        <v>9245</v>
      </c>
      <c r="V2825" s="17" ph="1">
        <f t="shared" si="21"/>
        <v>409.5</v>
      </c>
      <c r="Y2825" s="13" t="s" ph="1">
        <v>9246</v>
      </c>
    </row>
    <row r="2826" spans="2:25" ht="22.5" customHeight="1" ph="1" x14ac:dyDescent="0.35">
      <c r="B2826" s="5" t="s" ph="1">
        <v>1596</v>
      </c>
      <c r="C2826" s="13" t="s" ph="1">
        <v>5828</v>
      </c>
      <c r="D2826" s="123" ph="1">
        <v>12</v>
      </c>
      <c r="E2826" s="123" t="s" ph="1">
        <v>2304</v>
      </c>
      <c r="G2826" s="13" t="s" ph="1">
        <v>699</v>
      </c>
      <c r="H2826" s="13" t="s" ph="1">
        <v>2987</v>
      </c>
      <c r="I2826" s="13" t="s" ph="1">
        <v>9237</v>
      </c>
      <c r="M2826" s="14" t="str" ph="1">
        <f>IFERROR(INDEX([1]!_born[生没年],
MATCH(I2826,[1]!_born[作],0)),"")</f>
        <v/>
      </c>
      <c r="N2826" s="14" t="str" ph="1">
        <f>IFERROR(INDEX([1]!_born[生没年],
MATCH(K2826,[1]!_born[作],0)),"")</f>
        <v/>
      </c>
      <c r="O2826" s="13" t="s" ph="1">
        <v>9244</v>
      </c>
      <c r="S2826" s="19" t="s" ph="1">
        <v>9242</v>
      </c>
      <c r="T2826" s="19" t="s" ph="1">
        <v>5795</v>
      </c>
      <c r="U2826" s="16" t="s" ph="1">
        <v>9245</v>
      </c>
      <c r="V2826" s="17" ph="1">
        <f t="shared" si="21"/>
        <v>409.5</v>
      </c>
      <c r="Y2826" s="13" t="s" ph="1">
        <v>9246</v>
      </c>
    </row>
    <row r="2827" spans="2:25" ht="22.5" customHeight="1" ph="1" x14ac:dyDescent="0.35">
      <c r="B2827" s="5" t="s" ph="1">
        <v>1596</v>
      </c>
      <c r="C2827" s="13" t="s" ph="1">
        <v>5828</v>
      </c>
      <c r="D2827" s="123" ph="1">
        <v>13</v>
      </c>
      <c r="E2827" s="123" t="s" ph="1">
        <v>2304</v>
      </c>
      <c r="G2827" s="13" t="s" ph="1">
        <v>699</v>
      </c>
      <c r="H2827" s="13" t="s" ph="1">
        <v>2987</v>
      </c>
      <c r="I2827" s="13" t="s" ph="1">
        <v>9237</v>
      </c>
      <c r="M2827" s="14" t="str" ph="1">
        <f>IFERROR(INDEX([1]!_born[生没年],
MATCH(I2827,[1]!_born[作],0)),"")</f>
        <v/>
      </c>
      <c r="N2827" s="14" t="str" ph="1">
        <f>IFERROR(INDEX([1]!_born[生没年],
MATCH(K2827,[1]!_born[作],0)),"")</f>
        <v/>
      </c>
      <c r="O2827" s="13" t="s" ph="1">
        <v>9244</v>
      </c>
      <c r="S2827" s="19" t="s" ph="1">
        <v>9242</v>
      </c>
      <c r="T2827" s="19" t="s" ph="1">
        <v>5795</v>
      </c>
      <c r="U2827" s="16" t="s" ph="1">
        <v>9245</v>
      </c>
      <c r="V2827" s="17" ph="1">
        <f t="shared" si="21"/>
        <v>409.5</v>
      </c>
      <c r="Y2827" s="13" t="s" ph="1">
        <v>9246</v>
      </c>
    </row>
    <row r="2828" spans="2:25" ht="22.5" customHeight="1" ph="1" x14ac:dyDescent="0.35">
      <c r="B2828" s="5" t="s" ph="1">
        <v>1596</v>
      </c>
      <c r="C2828" s="13" t="s" ph="1">
        <v>5828</v>
      </c>
      <c r="D2828" s="123" ph="1">
        <v>14</v>
      </c>
      <c r="E2828" s="123" t="s" ph="1">
        <v>2304</v>
      </c>
      <c r="G2828" s="13" t="s" ph="1">
        <v>699</v>
      </c>
      <c r="H2828" s="13" t="s" ph="1">
        <v>2987</v>
      </c>
      <c r="I2828" s="13" t="s" ph="1">
        <v>9237</v>
      </c>
      <c r="M2828" s="14" t="str" ph="1">
        <f>IFERROR(INDEX([1]!_born[生没年],
MATCH(I2828,[1]!_born[作],0)),"")</f>
        <v/>
      </c>
      <c r="N2828" s="14" t="str" ph="1">
        <f>IFERROR(INDEX([1]!_born[生没年],
MATCH(K2828,[1]!_born[作],0)),"")</f>
        <v/>
      </c>
      <c r="O2828" s="13" t="s" ph="1">
        <v>9244</v>
      </c>
      <c r="S2828" s="19" t="s" ph="1">
        <v>9242</v>
      </c>
      <c r="T2828" s="19" t="s" ph="1">
        <v>5795</v>
      </c>
      <c r="U2828" s="16" t="s" ph="1">
        <v>9245</v>
      </c>
      <c r="V2828" s="17" ph="1">
        <f t="shared" si="21"/>
        <v>409.5</v>
      </c>
      <c r="Y2828" s="13" t="s" ph="1">
        <v>9246</v>
      </c>
    </row>
    <row r="2829" spans="2:25" ht="22.5" customHeight="1" ph="1" x14ac:dyDescent="0.35">
      <c r="B2829" s="5" t="s" ph="1">
        <v>1596</v>
      </c>
      <c r="C2829" s="13" t="s" ph="1">
        <v>5828</v>
      </c>
      <c r="D2829" s="123" ph="1">
        <v>15</v>
      </c>
      <c r="E2829" s="123" t="s" ph="1">
        <v>2304</v>
      </c>
      <c r="G2829" s="13" t="s" ph="1">
        <v>699</v>
      </c>
      <c r="H2829" s="13" t="s" ph="1">
        <v>2987</v>
      </c>
      <c r="I2829" s="13" t="s" ph="1">
        <v>9237</v>
      </c>
      <c r="M2829" s="14" t="str" ph="1">
        <f>IFERROR(INDEX([1]!_born[生没年],
MATCH(I2829,[1]!_born[作],0)),"")</f>
        <v/>
      </c>
      <c r="N2829" s="14" t="str" ph="1">
        <f>IFERROR(INDEX([1]!_born[生没年],
MATCH(K2829,[1]!_born[作],0)),"")</f>
        <v/>
      </c>
      <c r="O2829" s="13" t="s" ph="1">
        <v>9244</v>
      </c>
      <c r="S2829" s="19" t="s" ph="1">
        <v>9242</v>
      </c>
      <c r="T2829" s="19" t="s" ph="1">
        <v>5795</v>
      </c>
      <c r="U2829" s="16" t="s" ph="1">
        <v>9245</v>
      </c>
      <c r="V2829" s="17" ph="1">
        <f t="shared" si="21"/>
        <v>409.5</v>
      </c>
      <c r="Y2829" s="13" t="s" ph="1">
        <v>9246</v>
      </c>
    </row>
    <row r="2830" spans="2:25" ht="22.5" customHeight="1" ph="1" x14ac:dyDescent="0.35">
      <c r="B2830" s="5" t="s" ph="1">
        <v>1596</v>
      </c>
      <c r="C2830" s="13" t="s" ph="1">
        <v>5828</v>
      </c>
      <c r="D2830" s="123" ph="1">
        <v>16</v>
      </c>
      <c r="E2830" s="123" t="s" ph="1">
        <v>2304</v>
      </c>
      <c r="G2830" s="13" t="s" ph="1">
        <v>699</v>
      </c>
      <c r="H2830" s="13" t="s" ph="1">
        <v>2987</v>
      </c>
      <c r="I2830" s="13" t="s" ph="1">
        <v>9237</v>
      </c>
      <c r="M2830" s="14" t="str" ph="1">
        <f>IFERROR(INDEX([1]!_born[生没年],
MATCH(I2830,[1]!_born[作],0)),"")</f>
        <v/>
      </c>
      <c r="N2830" s="14" t="str" ph="1">
        <f>IFERROR(INDEX([1]!_born[生没年],
MATCH(K2830,[1]!_born[作],0)),"")</f>
        <v/>
      </c>
      <c r="O2830" s="13" t="s" ph="1">
        <v>9244</v>
      </c>
      <c r="S2830" s="19" t="s" ph="1">
        <v>9242</v>
      </c>
      <c r="T2830" s="19" t="s" ph="1">
        <v>5795</v>
      </c>
      <c r="U2830" s="16" t="s" ph="1">
        <v>9245</v>
      </c>
      <c r="V2830" s="17" ph="1">
        <f t="shared" si="21"/>
        <v>409.5</v>
      </c>
      <c r="Y2830" s="13" t="s" ph="1">
        <v>9246</v>
      </c>
    </row>
    <row r="2831" spans="2:25" ht="22.5" customHeight="1" ph="1" x14ac:dyDescent="0.35">
      <c r="B2831" s="5" t="s" ph="1">
        <v>1596</v>
      </c>
      <c r="C2831" s="13" t="s" ph="1">
        <v>5828</v>
      </c>
      <c r="D2831" s="123" ph="1">
        <v>17</v>
      </c>
      <c r="E2831" s="123" t="s" ph="1">
        <v>2304</v>
      </c>
      <c r="G2831" s="13" t="s" ph="1">
        <v>699</v>
      </c>
      <c r="H2831" s="13" t="s" ph="1">
        <v>2987</v>
      </c>
      <c r="I2831" s="13" t="s" ph="1">
        <v>9237</v>
      </c>
      <c r="M2831" s="14" t="str" ph="1">
        <f>IFERROR(INDEX([1]!_born[生没年],
MATCH(I2831,[1]!_born[作],0)),"")</f>
        <v/>
      </c>
      <c r="N2831" s="14" t="str" ph="1">
        <f>IFERROR(INDEX([1]!_born[生没年],
MATCH(K2831,[1]!_born[作],0)),"")</f>
        <v/>
      </c>
      <c r="O2831" s="13" t="s" ph="1">
        <v>9244</v>
      </c>
      <c r="S2831" s="19" t="s" ph="1">
        <v>9242</v>
      </c>
      <c r="T2831" s="19" t="s" ph="1">
        <v>5795</v>
      </c>
      <c r="U2831" s="16" t="s" ph="1">
        <v>9245</v>
      </c>
      <c r="V2831" s="17" ph="1">
        <f t="shared" si="21"/>
        <v>409.5</v>
      </c>
      <c r="Y2831" s="13" t="s" ph="1">
        <v>9246</v>
      </c>
    </row>
    <row r="2832" spans="2:25" ht="22.5" customHeight="1" ph="1" x14ac:dyDescent="0.35">
      <c r="B2832" s="5" t="s" ph="1">
        <v>1596</v>
      </c>
      <c r="C2832" s="13" t="s" ph="1">
        <v>5828</v>
      </c>
      <c r="D2832" s="123" ph="1">
        <v>18</v>
      </c>
      <c r="E2832" s="123" t="s" ph="1">
        <v>2304</v>
      </c>
      <c r="G2832" s="13" t="s" ph="1">
        <v>699</v>
      </c>
      <c r="H2832" s="13" t="s" ph="1">
        <v>2987</v>
      </c>
      <c r="I2832" s="13" t="s" ph="1">
        <v>9237</v>
      </c>
      <c r="M2832" s="14" t="str" ph="1">
        <f>IFERROR(INDEX([1]!_born[生没年],
MATCH(I2832,[1]!_born[作],0)),"")</f>
        <v/>
      </c>
      <c r="N2832" s="14" t="str" ph="1">
        <f>IFERROR(INDEX([1]!_born[生没年],
MATCH(K2832,[1]!_born[作],0)),"")</f>
        <v/>
      </c>
      <c r="O2832" s="13" t="s" ph="1">
        <v>9244</v>
      </c>
      <c r="S2832" s="19" t="s" ph="1">
        <v>9242</v>
      </c>
      <c r="T2832" s="19" t="s" ph="1">
        <v>5795</v>
      </c>
      <c r="U2832" s="16" t="s" ph="1">
        <v>9245</v>
      </c>
      <c r="V2832" s="17" ph="1">
        <f t="shared" si="21"/>
        <v>409.5</v>
      </c>
      <c r="Y2832" s="13" t="s" ph="1">
        <v>9246</v>
      </c>
    </row>
    <row r="2833" spans="1:25" ht="22.5" customHeight="1" ph="1" x14ac:dyDescent="0.35">
      <c r="B2833" s="5" t="s" ph="1">
        <v>1596</v>
      </c>
      <c r="C2833" s="13" t="s" ph="1">
        <v>5828</v>
      </c>
      <c r="D2833" s="123" ph="1">
        <v>19</v>
      </c>
      <c r="E2833" s="123" t="s" ph="1">
        <v>2304</v>
      </c>
      <c r="G2833" s="13" t="s" ph="1">
        <v>699</v>
      </c>
      <c r="H2833" s="13" t="s" ph="1">
        <v>2987</v>
      </c>
      <c r="I2833" s="13" t="s" ph="1">
        <v>9237</v>
      </c>
      <c r="M2833" s="14" t="str" ph="1">
        <f>IFERROR(INDEX([1]!_born[生没年],
MATCH(I2833,[1]!_born[作],0)),"")</f>
        <v/>
      </c>
      <c r="N2833" s="14" t="str" ph="1">
        <f>IFERROR(INDEX([1]!_born[生没年],
MATCH(K2833,[1]!_born[作],0)),"")</f>
        <v/>
      </c>
      <c r="O2833" s="13" t="s" ph="1">
        <v>9244</v>
      </c>
      <c r="S2833" s="19" t="s" ph="1">
        <v>9242</v>
      </c>
      <c r="T2833" s="19" t="s" ph="1">
        <v>5795</v>
      </c>
      <c r="U2833" s="16" t="s" ph="1">
        <v>9245</v>
      </c>
      <c r="V2833" s="17" ph="1">
        <f t="shared" si="21"/>
        <v>409.5</v>
      </c>
      <c r="Y2833" s="13" t="s" ph="1">
        <v>9246</v>
      </c>
    </row>
    <row r="2834" spans="1:25" ht="22.5" customHeight="1" ph="1" x14ac:dyDescent="0.35">
      <c r="B2834" s="5" t="s" ph="1">
        <v>1596</v>
      </c>
      <c r="C2834" s="13" t="s" ph="1">
        <v>5828</v>
      </c>
      <c r="D2834" s="123" ph="1">
        <v>20</v>
      </c>
      <c r="E2834" s="123" t="s" ph="1">
        <v>2304</v>
      </c>
      <c r="G2834" s="13" t="s" ph="1">
        <v>699</v>
      </c>
      <c r="H2834" s="13" t="s" ph="1">
        <v>2987</v>
      </c>
      <c r="I2834" s="13" t="s" ph="1">
        <v>9237</v>
      </c>
      <c r="M2834" s="14" t="str" ph="1">
        <f>IFERROR(INDEX([1]!_born[生没年],
MATCH(I2834,[1]!_born[作],0)),"")</f>
        <v/>
      </c>
      <c r="N2834" s="14" t="str" ph="1">
        <f>IFERROR(INDEX([1]!_born[生没年],
MATCH(K2834,[1]!_born[作],0)),"")</f>
        <v/>
      </c>
      <c r="O2834" s="13" t="s" ph="1">
        <v>9244</v>
      </c>
      <c r="S2834" s="19" t="s" ph="1">
        <v>9242</v>
      </c>
      <c r="T2834" s="19" t="s" ph="1">
        <v>5795</v>
      </c>
      <c r="U2834" s="16" t="s" ph="1">
        <v>9245</v>
      </c>
      <c r="V2834" s="17" ph="1">
        <f t="shared" si="21"/>
        <v>409.5</v>
      </c>
      <c r="Y2834" s="13" t="s" ph="1">
        <v>9246</v>
      </c>
    </row>
    <row r="2835" spans="1:25" ht="22.5" customHeight="1" ph="1" x14ac:dyDescent="0.35">
      <c r="B2835" s="5" t="s" ph="1">
        <v>1596</v>
      </c>
      <c r="C2835" s="13" t="s" ph="1">
        <v>5828</v>
      </c>
      <c r="D2835" s="123" ph="1">
        <v>21</v>
      </c>
      <c r="E2835" s="123" t="s" ph="1">
        <v>2304</v>
      </c>
      <c r="G2835" s="13" t="s" ph="1">
        <v>699</v>
      </c>
      <c r="H2835" s="13" t="s" ph="1">
        <v>2987</v>
      </c>
      <c r="I2835" s="13" t="s" ph="1">
        <v>9237</v>
      </c>
      <c r="M2835" s="14" t="str" ph="1">
        <f>IFERROR(INDEX([1]!_born[生没年],
MATCH(I2835,[1]!_born[作],0)),"")</f>
        <v/>
      </c>
      <c r="N2835" s="14" t="str" ph="1">
        <f>IFERROR(INDEX([1]!_born[生没年],
MATCH(K2835,[1]!_born[作],0)),"")</f>
        <v/>
      </c>
      <c r="O2835" s="13" t="s" ph="1">
        <v>9244</v>
      </c>
      <c r="S2835" s="19" t="s" ph="1">
        <v>9242</v>
      </c>
      <c r="T2835" s="19" t="s" ph="1">
        <v>5795</v>
      </c>
      <c r="U2835" s="16" t="s" ph="1">
        <v>9245</v>
      </c>
      <c r="V2835" s="17" ph="1">
        <f t="shared" si="21"/>
        <v>409.5</v>
      </c>
      <c r="Y2835" s="13" t="s" ph="1">
        <v>9246</v>
      </c>
    </row>
    <row r="2836" spans="1:25" ht="22.5" customHeight="1" ph="1" x14ac:dyDescent="0.35">
      <c r="B2836" s="5" t="s" ph="1">
        <v>1596</v>
      </c>
      <c r="C2836" s="13" t="s" ph="1">
        <v>5828</v>
      </c>
      <c r="D2836" s="123" ph="1">
        <v>22</v>
      </c>
      <c r="E2836" s="123" t="s" ph="1">
        <v>2304</v>
      </c>
      <c r="G2836" s="13" t="s" ph="1">
        <v>699</v>
      </c>
      <c r="H2836" s="13" t="s" ph="1">
        <v>2987</v>
      </c>
      <c r="I2836" s="13" t="s" ph="1">
        <v>9237</v>
      </c>
      <c r="M2836" s="14" t="str" ph="1">
        <f>IFERROR(INDEX([1]!_born[生没年],
MATCH(I2836,[1]!_born[作],0)),"")</f>
        <v/>
      </c>
      <c r="N2836" s="14" t="str" ph="1">
        <f>IFERROR(INDEX([1]!_born[生没年],
MATCH(K2836,[1]!_born[作],0)),"")</f>
        <v/>
      </c>
      <c r="O2836" s="13" t="s" ph="1">
        <v>9244</v>
      </c>
      <c r="S2836" s="19" t="s" ph="1">
        <v>9242</v>
      </c>
      <c r="T2836" s="19" t="s" ph="1">
        <v>5795</v>
      </c>
      <c r="U2836" s="16" t="s" ph="1">
        <v>9245</v>
      </c>
      <c r="V2836" s="17" ph="1">
        <f t="shared" si="21"/>
        <v>409.5</v>
      </c>
      <c r="Y2836" s="13" t="s" ph="1">
        <v>9246</v>
      </c>
    </row>
    <row r="2837" spans="1:25" ht="22.5" customHeight="1" ph="1" x14ac:dyDescent="0.35">
      <c r="B2837" s="5" t="s" ph="1">
        <v>1596</v>
      </c>
      <c r="C2837" s="13" t="s" ph="1">
        <v>5828</v>
      </c>
      <c r="D2837" s="123" ph="1">
        <v>23</v>
      </c>
      <c r="E2837" s="123" t="s" ph="1">
        <v>2304</v>
      </c>
      <c r="G2837" s="13" t="s" ph="1">
        <v>699</v>
      </c>
      <c r="H2837" s="13" t="s" ph="1">
        <v>2987</v>
      </c>
      <c r="I2837" s="13" t="s" ph="1">
        <v>9237</v>
      </c>
      <c r="M2837" s="14" t="str" ph="1">
        <f>IFERROR(INDEX([1]!_born[生没年],
MATCH(I2837,[1]!_born[作],0)),"")</f>
        <v/>
      </c>
      <c r="N2837" s="14" t="str" ph="1">
        <f>IFERROR(INDEX([1]!_born[生没年],
MATCH(K2837,[1]!_born[作],0)),"")</f>
        <v/>
      </c>
      <c r="O2837" s="13" t="s" ph="1">
        <v>9244</v>
      </c>
      <c r="S2837" s="19" t="s" ph="1">
        <v>9242</v>
      </c>
      <c r="T2837" s="19" t="s" ph="1">
        <v>5795</v>
      </c>
      <c r="U2837" s="16" t="s" ph="1">
        <v>9245</v>
      </c>
      <c r="V2837" s="17" ph="1">
        <f t="shared" si="21"/>
        <v>409.5</v>
      </c>
      <c r="Y2837" s="13" t="s" ph="1">
        <v>9246</v>
      </c>
    </row>
    <row r="2838" spans="1:25" ht="22.5" customHeight="1" ph="1" x14ac:dyDescent="0.35">
      <c r="B2838" s="5" t="s" ph="1">
        <v>1596</v>
      </c>
      <c r="C2838" s="13" t="s" ph="1">
        <v>5828</v>
      </c>
      <c r="D2838" s="123" ph="1">
        <v>24</v>
      </c>
      <c r="E2838" s="123" t="s" ph="1">
        <v>2304</v>
      </c>
      <c r="G2838" s="13" t="s" ph="1">
        <v>699</v>
      </c>
      <c r="H2838" s="13" t="s" ph="1">
        <v>2987</v>
      </c>
      <c r="I2838" s="13" t="s" ph="1">
        <v>9237</v>
      </c>
      <c r="M2838" s="14" t="str" ph="1">
        <f>IFERROR(INDEX([1]!_born[生没年],
MATCH(I2838,[1]!_born[作],0)),"")</f>
        <v/>
      </c>
      <c r="N2838" s="14" t="str" ph="1">
        <f>IFERROR(INDEX([1]!_born[生没年],
MATCH(K2838,[1]!_born[作],0)),"")</f>
        <v/>
      </c>
      <c r="O2838" s="13" t="s" ph="1">
        <v>9244</v>
      </c>
      <c r="S2838" s="19" t="s" ph="1">
        <v>9242</v>
      </c>
      <c r="T2838" s="19" t="s" ph="1">
        <v>5795</v>
      </c>
      <c r="U2838" s="16" t="s" ph="1">
        <v>9245</v>
      </c>
      <c r="V2838" s="17" ph="1">
        <f t="shared" si="21"/>
        <v>409.5</v>
      </c>
      <c r="Y2838" s="13" t="s" ph="1">
        <v>9246</v>
      </c>
    </row>
    <row r="2839" spans="1:25" ht="22.5" customHeight="1" ph="1" x14ac:dyDescent="0.35">
      <c r="B2839" s="5" t="s" ph="1">
        <v>1596</v>
      </c>
      <c r="C2839" s="13" t="s" ph="1">
        <v>5828</v>
      </c>
      <c r="D2839" s="123" ph="1">
        <v>25</v>
      </c>
      <c r="E2839" s="123" t="s" ph="1">
        <v>2304</v>
      </c>
      <c r="G2839" s="13" t="s" ph="1">
        <v>699</v>
      </c>
      <c r="H2839" s="13" t="s" ph="1">
        <v>2987</v>
      </c>
      <c r="I2839" s="13" t="s" ph="1">
        <v>9237</v>
      </c>
      <c r="M2839" s="14" t="str" ph="1">
        <f>IFERROR(INDEX([1]!_born[生没年],
MATCH(I2839,[1]!_born[作],0)),"")</f>
        <v/>
      </c>
      <c r="N2839" s="14" t="str" ph="1">
        <f>IFERROR(INDEX([1]!_born[生没年],
MATCH(K2839,[1]!_born[作],0)),"")</f>
        <v/>
      </c>
      <c r="O2839" s="13" t="s" ph="1">
        <v>9244</v>
      </c>
      <c r="S2839" s="19" t="s" ph="1">
        <v>9242</v>
      </c>
      <c r="T2839" s="19" t="s" ph="1">
        <v>5795</v>
      </c>
      <c r="U2839" s="16" t="s" ph="1">
        <v>9245</v>
      </c>
      <c r="V2839" s="17" ph="1">
        <f t="shared" si="21"/>
        <v>409.5</v>
      </c>
      <c r="Y2839" s="13" t="s" ph="1">
        <v>9246</v>
      </c>
    </row>
    <row r="2840" spans="1:25" ht="22.5" customHeight="1" ph="1" x14ac:dyDescent="0.35">
      <c r="B2840" s="5" t="s" ph="1">
        <v>1596</v>
      </c>
      <c r="C2840" s="13" t="s" ph="1">
        <v>5828</v>
      </c>
      <c r="D2840" s="123" ph="1">
        <v>26</v>
      </c>
      <c r="E2840" s="123" t="s" ph="1">
        <v>2304</v>
      </c>
      <c r="G2840" s="13" t="s" ph="1">
        <v>699</v>
      </c>
      <c r="H2840" s="13" t="s" ph="1">
        <v>2987</v>
      </c>
      <c r="I2840" s="13" t="s" ph="1">
        <v>9237</v>
      </c>
      <c r="M2840" s="14" t="str" ph="1">
        <f>IFERROR(INDEX([1]!_born[生没年],
MATCH(I2840,[1]!_born[作],0)),"")</f>
        <v/>
      </c>
      <c r="N2840" s="14" t="str" ph="1">
        <f>IFERROR(INDEX([1]!_born[生没年],
MATCH(K2840,[1]!_born[作],0)),"")</f>
        <v/>
      </c>
      <c r="O2840" s="13" t="s" ph="1">
        <v>9244</v>
      </c>
      <c r="S2840" s="19" t="s" ph="1">
        <v>9242</v>
      </c>
      <c r="T2840" s="19" t="s" ph="1">
        <v>5795</v>
      </c>
      <c r="U2840" s="16" t="s" ph="1">
        <v>9245</v>
      </c>
      <c r="V2840" s="17" ph="1">
        <f t="shared" si="21"/>
        <v>409.5</v>
      </c>
      <c r="Y2840" s="13" t="s" ph="1">
        <v>9246</v>
      </c>
    </row>
    <row r="2841" spans="1:25" ht="22.5" customHeight="1" ph="1" x14ac:dyDescent="0.35">
      <c r="B2841" s="5" t="s" ph="1">
        <v>1596</v>
      </c>
      <c r="C2841" s="13" t="s" ph="1">
        <v>5828</v>
      </c>
      <c r="D2841" s="123" ph="1">
        <v>27</v>
      </c>
      <c r="E2841" s="123" t="s" ph="1">
        <v>2304</v>
      </c>
      <c r="G2841" s="13" t="s" ph="1">
        <v>699</v>
      </c>
      <c r="H2841" s="13" t="s" ph="1">
        <v>2987</v>
      </c>
      <c r="I2841" s="13" t="s" ph="1">
        <v>9237</v>
      </c>
      <c r="M2841" s="14" t="str" ph="1">
        <f>IFERROR(INDEX([1]!_born[生没年],
MATCH(I2841,[1]!_born[作],0)),"")</f>
        <v/>
      </c>
      <c r="N2841" s="14" t="str" ph="1">
        <f>IFERROR(INDEX([1]!_born[生没年],
MATCH(K2841,[1]!_born[作],0)),"")</f>
        <v/>
      </c>
      <c r="O2841" s="13" t="s" ph="1">
        <v>9244</v>
      </c>
      <c r="S2841" s="19" t="s" ph="1">
        <v>9242</v>
      </c>
      <c r="T2841" s="19" t="s" ph="1">
        <v>5795</v>
      </c>
      <c r="U2841" s="16" t="s" ph="1">
        <v>9245</v>
      </c>
      <c r="V2841" s="17" ph="1">
        <f t="shared" si="21"/>
        <v>409.5</v>
      </c>
      <c r="Y2841" s="13" t="s" ph="1">
        <v>9246</v>
      </c>
    </row>
    <row r="2842" spans="1:25" ht="22.5" customHeight="1" ph="1" x14ac:dyDescent="0.35">
      <c r="B2842" s="5" t="s" ph="1">
        <v>1596</v>
      </c>
      <c r="C2842" s="13" t="s" ph="1">
        <v>5828</v>
      </c>
      <c r="D2842" s="123" ph="1">
        <v>28</v>
      </c>
      <c r="E2842" s="123" t="s" ph="1">
        <v>2304</v>
      </c>
      <c r="G2842" s="13" t="s" ph="1">
        <v>699</v>
      </c>
      <c r="H2842" s="13" t="s" ph="1">
        <v>2987</v>
      </c>
      <c r="I2842" s="13" t="s" ph="1">
        <v>9237</v>
      </c>
      <c r="M2842" s="14" t="str" ph="1">
        <f>IFERROR(INDEX([1]!_born[生没年],
MATCH(I2842,[1]!_born[作],0)),"")</f>
        <v/>
      </c>
      <c r="N2842" s="14" t="str" ph="1">
        <f>IFERROR(INDEX([1]!_born[生没年],
MATCH(K2842,[1]!_born[作],0)),"")</f>
        <v/>
      </c>
      <c r="O2842" s="13" t="s" ph="1">
        <v>9244</v>
      </c>
      <c r="S2842" s="19" t="s" ph="1">
        <v>9242</v>
      </c>
      <c r="T2842" s="19" t="s" ph="1">
        <v>5795</v>
      </c>
      <c r="U2842" s="16" t="s" ph="1">
        <v>9245</v>
      </c>
      <c r="V2842" s="17" ph="1">
        <f t="shared" si="21"/>
        <v>409.5</v>
      </c>
      <c r="Y2842" s="13" t="s" ph="1">
        <v>9246</v>
      </c>
    </row>
    <row r="2843" spans="1:25" ht="22.5" customHeight="1" ph="1" x14ac:dyDescent="0.35">
      <c r="B2843" s="5" t="s" ph="1">
        <v>1596</v>
      </c>
      <c r="C2843" s="13" t="s" ph="1">
        <v>5828</v>
      </c>
      <c r="D2843" s="123" ph="1">
        <v>29</v>
      </c>
      <c r="E2843" s="123" t="s" ph="1">
        <v>2304</v>
      </c>
      <c r="G2843" s="13" t="s" ph="1">
        <v>699</v>
      </c>
      <c r="H2843" s="13" t="s" ph="1">
        <v>2987</v>
      </c>
      <c r="I2843" s="13" t="s" ph="1">
        <v>9237</v>
      </c>
      <c r="M2843" s="14" t="str" ph="1">
        <f>IFERROR(INDEX([1]!_born[生没年],
MATCH(I2843,[1]!_born[作],0)),"")</f>
        <v/>
      </c>
      <c r="N2843" s="14" t="str" ph="1">
        <f>IFERROR(INDEX([1]!_born[生没年],
MATCH(K2843,[1]!_born[作],0)),"")</f>
        <v/>
      </c>
      <c r="O2843" s="13" t="s" ph="1">
        <v>9244</v>
      </c>
      <c r="S2843" s="19" t="s" ph="1">
        <v>9242</v>
      </c>
      <c r="T2843" s="19" t="s" ph="1">
        <v>5795</v>
      </c>
      <c r="U2843" s="16" t="s" ph="1">
        <v>9245</v>
      </c>
      <c r="V2843" s="17" ph="1">
        <f t="shared" si="21"/>
        <v>409.5</v>
      </c>
      <c r="Y2843" s="13" t="s" ph="1">
        <v>9246</v>
      </c>
    </row>
    <row r="2844" spans="1:25" ht="22.5" customHeight="1" ph="1" x14ac:dyDescent="0.35">
      <c r="B2844" s="5" t="s" ph="1">
        <v>1596</v>
      </c>
      <c r="C2844" s="13" t="s" ph="1">
        <v>5828</v>
      </c>
      <c r="D2844" s="123" ph="1">
        <v>30</v>
      </c>
      <c r="E2844" s="123" t="s" ph="1">
        <v>2304</v>
      </c>
      <c r="G2844" s="13" t="s" ph="1">
        <v>699</v>
      </c>
      <c r="H2844" s="13" t="s" ph="1">
        <v>2987</v>
      </c>
      <c r="I2844" s="13" t="s" ph="1">
        <v>9237</v>
      </c>
      <c r="M2844" s="14" t="str" ph="1">
        <f>IFERROR(INDEX([1]!_born[生没年],
MATCH(I2844,[1]!_born[作],0)),"")</f>
        <v/>
      </c>
      <c r="N2844" s="14" t="str" ph="1">
        <f>IFERROR(INDEX([1]!_born[生没年],
MATCH(K2844,[1]!_born[作],0)),"")</f>
        <v/>
      </c>
      <c r="O2844" s="13" t="s" ph="1">
        <v>9244</v>
      </c>
      <c r="S2844" s="19" t="s" ph="1">
        <v>9242</v>
      </c>
      <c r="T2844" s="19" t="s" ph="1">
        <v>5795</v>
      </c>
      <c r="U2844" s="16" t="s" ph="1">
        <v>9245</v>
      </c>
      <c r="V2844" s="17" ph="1">
        <f t="shared" si="21"/>
        <v>409.5</v>
      </c>
      <c r="Y2844" s="13" t="s" ph="1">
        <v>9246</v>
      </c>
    </row>
    <row r="2845" spans="1:25" ht="22.5" customHeight="1" ph="1" x14ac:dyDescent="0.35">
      <c r="A2845" s="106" t="s" ph="1">
        <v>1607</v>
      </c>
      <c r="B2845" s="5" t="s" ph="1">
        <v>1596</v>
      </c>
      <c r="C2845" s="13" t="s" ph="1">
        <v>5828</v>
      </c>
      <c r="D2845" s="123" ph="1">
        <v>1</v>
      </c>
      <c r="E2845" s="123" ph="1">
        <v>5</v>
      </c>
      <c r="G2845" s="13" t="s" ph="1">
        <v>1574</v>
      </c>
      <c r="H2845" s="13" t="s" ph="1">
        <v>2987</v>
      </c>
      <c r="I2845" s="13" t="s" ph="1">
        <v>9237</v>
      </c>
      <c r="M2845" s="14" t="str" ph="1">
        <f>IFERROR(INDEX([1]!_born[生没年],
MATCH(I2845,[1]!_born[作],0)),"")</f>
        <v/>
      </c>
      <c r="N2845" s="14" t="str" ph="1">
        <f>IFERROR(INDEX([1]!_born[生没年],
MATCH(K2845,[1]!_born[作],0)),"")</f>
        <v/>
      </c>
      <c r="O2845" s="13" t="s" ph="1">
        <v>9247</v>
      </c>
      <c r="S2845" s="13" t="s" ph="1">
        <v>9239</v>
      </c>
      <c r="T2845" s="13" t="s" ph="1">
        <v>3988</v>
      </c>
    </row>
    <row r="2846" spans="1:25" ht="22.5" customHeight="1" ph="1" x14ac:dyDescent="0.35">
      <c r="A2846" s="106" t="s" ph="1">
        <v>1608</v>
      </c>
      <c r="B2846" s="5" t="s" ph="1">
        <v>1596</v>
      </c>
      <c r="C2846" s="13" t="s" ph="1">
        <v>5828</v>
      </c>
      <c r="D2846" s="123" ph="1">
        <v>2</v>
      </c>
      <c r="E2846" s="123" ph="1">
        <v>5</v>
      </c>
      <c r="G2846" s="13" t="s" ph="1">
        <v>1574</v>
      </c>
      <c r="H2846" s="13" t="s" ph="1">
        <v>2987</v>
      </c>
      <c r="I2846" s="13" t="s" ph="1">
        <v>9237</v>
      </c>
      <c r="M2846" s="14" t="str" ph="1">
        <f>IFERROR(INDEX([1]!_born[生没年],
MATCH(I2846,[1]!_born[作],0)),"")</f>
        <v/>
      </c>
      <c r="N2846" s="14" t="str" ph="1">
        <f>IFERROR(INDEX([1]!_born[生没年],
MATCH(K2846,[1]!_born[作],0)),"")</f>
        <v/>
      </c>
      <c r="O2846" s="13" t="s" ph="1">
        <v>9247</v>
      </c>
      <c r="S2846" s="13" t="s" ph="1">
        <v>9239</v>
      </c>
      <c r="T2846" s="13" t="s" ph="1">
        <v>3988</v>
      </c>
    </row>
    <row r="2847" spans="1:25" ht="22.5" customHeight="1" ph="1" x14ac:dyDescent="0.35">
      <c r="A2847" s="106" t="s" ph="1">
        <v>1609</v>
      </c>
      <c r="B2847" s="5" t="s" ph="1">
        <v>1596</v>
      </c>
      <c r="C2847" s="13" t="s" ph="1">
        <v>5828</v>
      </c>
      <c r="D2847" s="123" ph="1">
        <v>3</v>
      </c>
      <c r="E2847" s="123" ph="1">
        <v>5</v>
      </c>
      <c r="G2847" s="13" t="s" ph="1">
        <v>1574</v>
      </c>
      <c r="H2847" s="13" t="s" ph="1">
        <v>2987</v>
      </c>
      <c r="I2847" s="13" t="s" ph="1">
        <v>9237</v>
      </c>
      <c r="M2847" s="14" t="str" ph="1">
        <f>IFERROR(INDEX([1]!_born[生没年],
MATCH(I2847,[1]!_born[作],0)),"")</f>
        <v/>
      </c>
      <c r="N2847" s="14" t="str" ph="1">
        <f>IFERROR(INDEX([1]!_born[生没年],
MATCH(K2847,[1]!_born[作],0)),"")</f>
        <v/>
      </c>
      <c r="O2847" s="13" t="s" ph="1">
        <v>9247</v>
      </c>
      <c r="S2847" s="13" t="s" ph="1">
        <v>9239</v>
      </c>
      <c r="T2847" s="13" t="s" ph="1">
        <v>3988</v>
      </c>
    </row>
    <row r="2848" spans="1:25" ht="22.5" customHeight="1" ph="1" x14ac:dyDescent="0.35">
      <c r="A2848" s="106" t="s" ph="1">
        <v>1610</v>
      </c>
      <c r="B2848" s="5" t="s" ph="1">
        <v>1596</v>
      </c>
      <c r="C2848" s="13" t="s" ph="1">
        <v>5828</v>
      </c>
      <c r="D2848" s="123" ph="1">
        <v>4</v>
      </c>
      <c r="E2848" s="123" ph="1">
        <v>5</v>
      </c>
      <c r="G2848" s="13" t="s" ph="1">
        <v>1574</v>
      </c>
      <c r="H2848" s="13" t="s" ph="1">
        <v>2987</v>
      </c>
      <c r="I2848" s="13" t="s" ph="1">
        <v>9237</v>
      </c>
      <c r="M2848" s="14" t="str" ph="1">
        <f>IFERROR(INDEX([1]!_born[生没年],
MATCH(I2848,[1]!_born[作],0)),"")</f>
        <v/>
      </c>
      <c r="N2848" s="14" t="str" ph="1">
        <f>IFERROR(INDEX([1]!_born[生没年],
MATCH(K2848,[1]!_born[作],0)),"")</f>
        <v/>
      </c>
      <c r="O2848" s="13" t="s" ph="1">
        <v>9247</v>
      </c>
      <c r="S2848" s="13" t="s" ph="1">
        <v>9239</v>
      </c>
      <c r="T2848" s="13" t="s" ph="1">
        <v>3988</v>
      </c>
    </row>
    <row r="2849" spans="1:25" ht="22.5" customHeight="1" ph="1" x14ac:dyDescent="0.35">
      <c r="A2849" s="106" t="s" ph="1">
        <v>1611</v>
      </c>
      <c r="B2849" s="5" t="s" ph="1">
        <v>1596</v>
      </c>
      <c r="C2849" s="13" t="s" ph="1">
        <v>5828</v>
      </c>
      <c r="D2849" s="123" ph="1">
        <v>5</v>
      </c>
      <c r="E2849" s="123" ph="1">
        <v>5</v>
      </c>
      <c r="G2849" s="13" t="s" ph="1">
        <v>1574</v>
      </c>
      <c r="H2849" s="13" t="s" ph="1">
        <v>2987</v>
      </c>
      <c r="I2849" s="13" t="s" ph="1">
        <v>9237</v>
      </c>
      <c r="M2849" s="14" t="str" ph="1">
        <f>IFERROR(INDEX([1]!_born[生没年],
MATCH(I2849,[1]!_born[作],0)),"")</f>
        <v/>
      </c>
      <c r="N2849" s="14" t="str" ph="1">
        <f>IFERROR(INDEX([1]!_born[生没年],
MATCH(K2849,[1]!_born[作],0)),"")</f>
        <v/>
      </c>
      <c r="O2849" s="13" t="s" ph="1">
        <v>9247</v>
      </c>
      <c r="S2849" s="13" t="s" ph="1">
        <v>9239</v>
      </c>
      <c r="T2849" s="13" t="s" ph="1">
        <v>3988</v>
      </c>
    </row>
    <row r="2850" spans="1:25" ht="22.5" customHeight="1" ph="1" x14ac:dyDescent="0.35">
      <c r="C2850" s="13" t="s" ph="1">
        <v>5828</v>
      </c>
      <c r="D2850" s="123" ph="1">
        <v>1</v>
      </c>
      <c r="E2850" s="123" ph="1">
        <v>12</v>
      </c>
      <c r="G2850" s="13" t="s" ph="1">
        <v>1574</v>
      </c>
      <c r="H2850" s="13" t="s" ph="1">
        <v>2987</v>
      </c>
      <c r="I2850" s="13" t="s" ph="1">
        <v>9248</v>
      </c>
      <c r="M2850" s="14" t="str" ph="1">
        <f>IFERROR(INDEX([1]!_born[生没年],
MATCH(I2850,[1]!_born[作],0)),"")</f>
        <v/>
      </c>
      <c r="N2850" s="14" t="str" ph="1">
        <f>IFERROR(INDEX([1]!_born[生没年],
MATCH(K2850,[1]!_born[作],0)),"")</f>
        <v/>
      </c>
      <c r="O2850" s="13" t="s" ph="1">
        <v>9249</v>
      </c>
      <c r="S2850" s="13" t="s" ph="1">
        <v>9250</v>
      </c>
      <c r="U2850" s="16" t="s" ph="1">
        <v>1612</v>
      </c>
    </row>
    <row r="2851" spans="1:25" ht="22.5" customHeight="1" ph="1" x14ac:dyDescent="0.35">
      <c r="C2851" s="13" t="s" ph="1">
        <v>5828</v>
      </c>
      <c r="D2851" s="123" ph="1">
        <v>2</v>
      </c>
      <c r="E2851" s="123" ph="1">
        <v>12</v>
      </c>
      <c r="G2851" s="13" t="s" ph="1">
        <v>1574</v>
      </c>
      <c r="H2851" s="13" t="s" ph="1">
        <v>2987</v>
      </c>
      <c r="I2851" s="13" t="s" ph="1">
        <v>9248</v>
      </c>
      <c r="M2851" s="14" t="str" ph="1">
        <f>IFERROR(INDEX([1]!_born[生没年],
MATCH(I2851,[1]!_born[作],0)),"")</f>
        <v/>
      </c>
      <c r="N2851" s="14" t="str" ph="1">
        <f>IFERROR(INDEX([1]!_born[生没年],
MATCH(K2851,[1]!_born[作],0)),"")</f>
        <v/>
      </c>
      <c r="O2851" s="13" t="s" ph="1">
        <v>9249</v>
      </c>
      <c r="S2851" s="13" t="s" ph="1">
        <v>9250</v>
      </c>
      <c r="U2851" s="16" t="s" ph="1">
        <v>1612</v>
      </c>
    </row>
    <row r="2852" spans="1:25" ht="22.5" customHeight="1" ph="1" x14ac:dyDescent="0.35">
      <c r="C2852" s="13" t="s" ph="1">
        <v>5828</v>
      </c>
      <c r="D2852" s="123" ph="1">
        <v>3</v>
      </c>
      <c r="E2852" s="123" ph="1">
        <v>12</v>
      </c>
      <c r="G2852" s="13" t="s" ph="1">
        <v>1574</v>
      </c>
      <c r="H2852" s="13" t="s" ph="1">
        <v>2987</v>
      </c>
      <c r="I2852" s="13" t="s" ph="1">
        <v>9248</v>
      </c>
      <c r="M2852" s="14" t="str" ph="1">
        <f>IFERROR(INDEX([1]!_born[生没年],
MATCH(I2852,[1]!_born[作],0)),"")</f>
        <v/>
      </c>
      <c r="N2852" s="14" t="str" ph="1">
        <f>IFERROR(INDEX([1]!_born[生没年],
MATCH(K2852,[1]!_born[作],0)),"")</f>
        <v/>
      </c>
      <c r="O2852" s="13" t="s" ph="1">
        <v>9249</v>
      </c>
      <c r="S2852" s="13" t="s" ph="1">
        <v>9250</v>
      </c>
      <c r="U2852" s="16" t="s" ph="1">
        <v>1612</v>
      </c>
    </row>
    <row r="2853" spans="1:25" ht="22.5" customHeight="1" ph="1" x14ac:dyDescent="0.35">
      <c r="C2853" s="13" t="s" ph="1">
        <v>5828</v>
      </c>
      <c r="D2853" s="123" ph="1">
        <v>4</v>
      </c>
      <c r="E2853" s="123" ph="1">
        <v>12</v>
      </c>
      <c r="G2853" s="13" t="s" ph="1">
        <v>1574</v>
      </c>
      <c r="H2853" s="13" t="s" ph="1">
        <v>2987</v>
      </c>
      <c r="I2853" s="13" t="s" ph="1">
        <v>9248</v>
      </c>
      <c r="M2853" s="14" t="str" ph="1">
        <f>IFERROR(INDEX([1]!_born[生没年],
MATCH(I2853,[1]!_born[作],0)),"")</f>
        <v/>
      </c>
      <c r="N2853" s="14" t="str" ph="1">
        <f>IFERROR(INDEX([1]!_born[生没年],
MATCH(K2853,[1]!_born[作],0)),"")</f>
        <v/>
      </c>
      <c r="O2853" s="13" t="s" ph="1">
        <v>9249</v>
      </c>
      <c r="S2853" s="13" t="s" ph="1">
        <v>9250</v>
      </c>
      <c r="U2853" s="16" t="s" ph="1">
        <v>1612</v>
      </c>
    </row>
    <row r="2854" spans="1:25" ht="22.5" customHeight="1" ph="1" x14ac:dyDescent="0.35">
      <c r="C2854" s="13" t="s" ph="1">
        <v>5828</v>
      </c>
      <c r="D2854" s="123" ph="1">
        <v>5</v>
      </c>
      <c r="E2854" s="123" ph="1">
        <v>12</v>
      </c>
      <c r="G2854" s="13" t="s" ph="1">
        <v>1574</v>
      </c>
      <c r="H2854" s="13" t="s" ph="1">
        <v>2987</v>
      </c>
      <c r="I2854" s="13" t="s" ph="1">
        <v>9248</v>
      </c>
      <c r="M2854" s="14" t="str" ph="1">
        <f>IFERROR(INDEX([1]!_born[生没年],
MATCH(I2854,[1]!_born[作],0)),"")</f>
        <v/>
      </c>
      <c r="N2854" s="14" t="str" ph="1">
        <f>IFERROR(INDEX([1]!_born[生没年],
MATCH(K2854,[1]!_born[作],0)),"")</f>
        <v/>
      </c>
      <c r="O2854" s="13" t="s" ph="1">
        <v>9249</v>
      </c>
      <c r="S2854" s="13" t="s" ph="1">
        <v>9250</v>
      </c>
      <c r="U2854" s="16" t="s" ph="1">
        <v>1612</v>
      </c>
    </row>
    <row r="2855" spans="1:25" ht="22.5" customHeight="1" ph="1" x14ac:dyDescent="0.35">
      <c r="C2855" s="13" t="s" ph="1">
        <v>5828</v>
      </c>
      <c r="D2855" s="123" ph="1">
        <v>6</v>
      </c>
      <c r="E2855" s="123" ph="1">
        <v>12</v>
      </c>
      <c r="G2855" s="13" t="s" ph="1">
        <v>1574</v>
      </c>
      <c r="H2855" s="13" t="s" ph="1">
        <v>2987</v>
      </c>
      <c r="I2855" s="13" t="s" ph="1">
        <v>9248</v>
      </c>
      <c r="M2855" s="14" t="str" ph="1">
        <f>IFERROR(INDEX([1]!_born[生没年],
MATCH(I2855,[1]!_born[作],0)),"")</f>
        <v/>
      </c>
      <c r="N2855" s="14" t="str" ph="1">
        <f>IFERROR(INDEX([1]!_born[生没年],
MATCH(K2855,[1]!_born[作],0)),"")</f>
        <v/>
      </c>
      <c r="O2855" s="13" t="s" ph="1">
        <v>9249</v>
      </c>
      <c r="S2855" s="13" t="s" ph="1">
        <v>9250</v>
      </c>
      <c r="U2855" s="16" t="s" ph="1">
        <v>1612</v>
      </c>
    </row>
    <row r="2856" spans="1:25" ht="22.5" customHeight="1" ph="1" x14ac:dyDescent="0.35">
      <c r="C2856" s="13" t="s" ph="1">
        <v>5828</v>
      </c>
      <c r="D2856" s="123" ph="1">
        <v>7</v>
      </c>
      <c r="E2856" s="123" ph="1">
        <v>12</v>
      </c>
      <c r="G2856" s="13" t="s" ph="1">
        <v>1574</v>
      </c>
      <c r="H2856" s="13" t="s" ph="1">
        <v>2987</v>
      </c>
      <c r="I2856" s="13" t="s" ph="1">
        <v>9248</v>
      </c>
      <c r="M2856" s="14" t="str" ph="1">
        <f>IFERROR(INDEX([1]!_born[生没年],
MATCH(I2856,[1]!_born[作],0)),"")</f>
        <v/>
      </c>
      <c r="N2856" s="14" t="str" ph="1">
        <f>IFERROR(INDEX([1]!_born[生没年],
MATCH(K2856,[1]!_born[作],0)),"")</f>
        <v/>
      </c>
      <c r="O2856" s="13" t="s" ph="1">
        <v>9249</v>
      </c>
      <c r="S2856" s="13" t="s" ph="1">
        <v>9250</v>
      </c>
      <c r="U2856" s="16" t="s" ph="1">
        <v>1612</v>
      </c>
    </row>
    <row r="2857" spans="1:25" ht="22.5" customHeight="1" ph="1" x14ac:dyDescent="0.35">
      <c r="C2857" s="13" t="s" ph="1">
        <v>5828</v>
      </c>
      <c r="D2857" s="123" ph="1">
        <v>8</v>
      </c>
      <c r="E2857" s="123" ph="1">
        <v>12</v>
      </c>
      <c r="G2857" s="13" t="s" ph="1">
        <v>1574</v>
      </c>
      <c r="H2857" s="13" t="s" ph="1">
        <v>2987</v>
      </c>
      <c r="I2857" s="13" t="s" ph="1">
        <v>9248</v>
      </c>
      <c r="M2857" s="14" t="str" ph="1">
        <f>IFERROR(INDEX([1]!_born[生没年],
MATCH(I2857,[1]!_born[作],0)),"")</f>
        <v/>
      </c>
      <c r="N2857" s="14" t="str" ph="1">
        <f>IFERROR(INDEX([1]!_born[生没年],
MATCH(K2857,[1]!_born[作],0)),"")</f>
        <v/>
      </c>
      <c r="O2857" s="13" t="s" ph="1">
        <v>9249</v>
      </c>
      <c r="S2857" s="13" t="s" ph="1">
        <v>9250</v>
      </c>
      <c r="U2857" s="16" t="s" ph="1">
        <v>1612</v>
      </c>
    </row>
    <row r="2858" spans="1:25" ht="22.5" customHeight="1" ph="1" x14ac:dyDescent="0.35">
      <c r="C2858" s="13" t="s" ph="1">
        <v>5828</v>
      </c>
      <c r="D2858" s="123" ph="1">
        <v>9</v>
      </c>
      <c r="E2858" s="123" ph="1">
        <v>12</v>
      </c>
      <c r="G2858" s="13" t="s" ph="1">
        <v>1574</v>
      </c>
      <c r="H2858" s="13" t="s" ph="1">
        <v>2987</v>
      </c>
      <c r="I2858" s="13" t="s" ph="1">
        <v>9248</v>
      </c>
      <c r="M2858" s="14" t="str" ph="1">
        <f>IFERROR(INDEX([1]!_born[生没年],
MATCH(I2858,[1]!_born[作],0)),"")</f>
        <v/>
      </c>
      <c r="N2858" s="14" t="str" ph="1">
        <f>IFERROR(INDEX([1]!_born[生没年],
MATCH(K2858,[1]!_born[作],0)),"")</f>
        <v/>
      </c>
      <c r="O2858" s="13" t="s" ph="1">
        <v>9249</v>
      </c>
      <c r="S2858" s="13" t="s" ph="1">
        <v>9250</v>
      </c>
      <c r="U2858" s="16" t="s" ph="1">
        <v>1612</v>
      </c>
    </row>
    <row r="2859" spans="1:25" ht="22.5" customHeight="1" ph="1" x14ac:dyDescent="0.35">
      <c r="C2859" s="13" t="s" ph="1">
        <v>5828</v>
      </c>
      <c r="D2859" s="123" ph="1">
        <v>10</v>
      </c>
      <c r="E2859" s="123" ph="1">
        <v>12</v>
      </c>
      <c r="G2859" s="13" t="s" ph="1">
        <v>1574</v>
      </c>
      <c r="H2859" s="13" t="s" ph="1">
        <v>2987</v>
      </c>
      <c r="I2859" s="13" t="s" ph="1">
        <v>9248</v>
      </c>
      <c r="M2859" s="14" t="str" ph="1">
        <f>IFERROR(INDEX([1]!_born[生没年],
MATCH(I2859,[1]!_born[作],0)),"")</f>
        <v/>
      </c>
      <c r="N2859" s="14" t="str" ph="1">
        <f>IFERROR(INDEX([1]!_born[生没年],
MATCH(K2859,[1]!_born[作],0)),"")</f>
        <v/>
      </c>
      <c r="O2859" s="13" t="s" ph="1">
        <v>9249</v>
      </c>
      <c r="S2859" s="13" t="s" ph="1">
        <v>9250</v>
      </c>
      <c r="U2859" s="16" t="s" ph="1">
        <v>1612</v>
      </c>
    </row>
    <row r="2860" spans="1:25" ht="22.5" customHeight="1" ph="1" x14ac:dyDescent="0.35">
      <c r="C2860" s="13" t="s" ph="1">
        <v>5828</v>
      </c>
      <c r="D2860" s="123" ph="1">
        <v>11</v>
      </c>
      <c r="E2860" s="123" ph="1">
        <v>12</v>
      </c>
      <c r="G2860" s="13" t="s" ph="1">
        <v>1574</v>
      </c>
      <c r="H2860" s="13" t="s" ph="1">
        <v>2987</v>
      </c>
      <c r="I2860" s="13" t="s" ph="1">
        <v>9248</v>
      </c>
      <c r="M2860" s="14" t="str" ph="1">
        <f>IFERROR(INDEX([1]!_born[生没年],
MATCH(I2860,[1]!_born[作],0)),"")</f>
        <v/>
      </c>
      <c r="N2860" s="14" t="str" ph="1">
        <f>IFERROR(INDEX([1]!_born[生没年],
MATCH(K2860,[1]!_born[作],0)),"")</f>
        <v/>
      </c>
      <c r="O2860" s="13" t="s" ph="1">
        <v>9249</v>
      </c>
      <c r="S2860" s="13" t="s" ph="1">
        <v>9250</v>
      </c>
      <c r="U2860" s="16" t="s" ph="1">
        <v>1612</v>
      </c>
    </row>
    <row r="2861" spans="1:25" ht="22.5" customHeight="1" ph="1" x14ac:dyDescent="0.35">
      <c r="C2861" s="13" t="s" ph="1">
        <v>5828</v>
      </c>
      <c r="D2861" s="123" ph="1">
        <v>12</v>
      </c>
      <c r="E2861" s="123" ph="1">
        <v>12</v>
      </c>
      <c r="G2861" s="13" t="s" ph="1">
        <v>1574</v>
      </c>
      <c r="H2861" s="13" t="s" ph="1">
        <v>2987</v>
      </c>
      <c r="I2861" s="13" t="s" ph="1">
        <v>9248</v>
      </c>
      <c r="M2861" s="14" t="str" ph="1">
        <f>IFERROR(INDEX([1]!_born[生没年],
MATCH(I2861,[1]!_born[作],0)),"")</f>
        <v/>
      </c>
      <c r="N2861" s="14" t="str" ph="1">
        <f>IFERROR(INDEX([1]!_born[生没年],
MATCH(K2861,[1]!_born[作],0)),"")</f>
        <v/>
      </c>
      <c r="O2861" s="13" t="s" ph="1">
        <v>9249</v>
      </c>
      <c r="S2861" s="13" t="s" ph="1">
        <v>9250</v>
      </c>
      <c r="U2861" s="16" t="s" ph="1">
        <v>1612</v>
      </c>
    </row>
    <row r="2862" spans="1:25" ht="22.5" customHeight="1" ph="1" x14ac:dyDescent="0.35">
      <c r="A2862" s="106" t="s" ph="1">
        <v>9251</v>
      </c>
      <c r="B2862" s="5" t="s" ph="1">
        <v>2433</v>
      </c>
      <c r="C2862" s="13" t="s" ph="1">
        <v>5828</v>
      </c>
      <c r="D2862" s="123" t="s" ph="1">
        <v>3196</v>
      </c>
      <c r="E2862" s="123" t="s" ph="1">
        <v>10073</v>
      </c>
      <c r="G2862" s="13" t="s" ph="1">
        <v>1933</v>
      </c>
      <c r="H2862" s="13" t="s" ph="1">
        <v>2987</v>
      </c>
      <c r="I2862" s="13" t="s" ph="1">
        <v>9252</v>
      </c>
      <c r="M2862" s="14" t="str" ph="1">
        <f>IFERROR(INDEX([1]!_born[生没年],
MATCH(I2862,[1]!_born[作],0)),"")</f>
        <v/>
      </c>
      <c r="N2862" s="14" t="str" ph="1">
        <f>IFERROR(INDEX([1]!_born[生没年],
MATCH(K2862,[1]!_born[作],0)),"")</f>
        <v/>
      </c>
      <c r="O2862" s="13" t="s" ph="1">
        <v>9253</v>
      </c>
      <c r="R2862" s="16" t="s" ph="1">
        <v>3179</v>
      </c>
      <c r="S2862" s="13" t="s" ph="1">
        <v>9254</v>
      </c>
      <c r="T2862" s="13" t="s" ph="1">
        <v>4110</v>
      </c>
      <c r="U2862" s="16" ph="1">
        <v>44926</v>
      </c>
      <c r="V2862" s="17" ph="1">
        <f>540*1.1*32</f>
        <v>19008</v>
      </c>
      <c r="W2862" s="17" t="s" ph="1">
        <v>1225</v>
      </c>
      <c r="X2862" s="13" t="s" ph="1">
        <v>9255</v>
      </c>
      <c r="Y2862" s="13" t="s" ph="1">
        <v>9256</v>
      </c>
    </row>
    <row r="2863" spans="1:25" ht="22.5" customHeight="1" ph="1" x14ac:dyDescent="0.35">
      <c r="A2863" s="106" t="s" ph="1">
        <v>3207</v>
      </c>
      <c r="B2863" s="5" t="s" ph="1">
        <v>2433</v>
      </c>
      <c r="C2863" s="13" t="s" ph="1">
        <v>5828</v>
      </c>
      <c r="D2863" s="123" t="s" ph="1">
        <v>3199</v>
      </c>
      <c r="E2863" s="123" ph="1">
        <v>36</v>
      </c>
      <c r="G2863" s="13" t="s" ph="1">
        <v>699</v>
      </c>
      <c r="H2863" s="13" t="s" ph="1">
        <v>2987</v>
      </c>
      <c r="I2863" s="13" t="s" ph="1">
        <v>9252</v>
      </c>
      <c r="J2863" s="13" t="s" ph="1">
        <v>9258</v>
      </c>
      <c r="M2863" s="14" t="str" ph="1">
        <f>IFERROR(INDEX([1]!_born[生没年],
MATCH(I2863,[1]!_born[作],0)),"")</f>
        <v/>
      </c>
      <c r="N2863" s="14" t="str" ph="1">
        <f>IFERROR(INDEX([1]!_born[生没年],
MATCH(K2863,[1]!_born[作],0)),"")</f>
        <v/>
      </c>
      <c r="O2863" s="13" t="s" ph="1">
        <v>9259</v>
      </c>
      <c r="R2863" s="16" ph="1">
        <v>40964</v>
      </c>
      <c r="S2863" s="13" t="s" ph="1">
        <v>3197</v>
      </c>
      <c r="T2863" s="13" t="s" ph="1">
        <v>4110</v>
      </c>
      <c r="U2863" s="16" ph="1">
        <v>45197</v>
      </c>
      <c r="V2863" s="17" ph="1">
        <f>780*1.1</f>
        <v>858.00000000000011</v>
      </c>
      <c r="W2863" s="17" t="s" ph="1">
        <v>1225</v>
      </c>
      <c r="X2863" s="13" t="s" ph="1">
        <v>9255</v>
      </c>
      <c r="Y2863" s="13" t="s" ph="1">
        <v>9256</v>
      </c>
    </row>
    <row r="2864" spans="1:25" ht="22.5" customHeight="1" ph="1" x14ac:dyDescent="0.35">
      <c r="A2864" s="106" t="s" ph="1">
        <v>3194</v>
      </c>
      <c r="B2864" s="5" t="s" ph="1">
        <v>2433</v>
      </c>
      <c r="C2864" s="13" t="s" ph="1">
        <v>5828</v>
      </c>
      <c r="D2864" s="123" ph="1">
        <v>33</v>
      </c>
      <c r="E2864" s="123" ph="1">
        <v>36</v>
      </c>
      <c r="G2864" s="13" t="s" ph="1">
        <v>699</v>
      </c>
      <c r="H2864" s="13" t="s" ph="1">
        <v>2987</v>
      </c>
      <c r="I2864" s="13" t="s" ph="1">
        <v>9252</v>
      </c>
      <c r="M2864" s="14" t="str" ph="1">
        <f>IFERROR(INDEX([1]!_born[生没年],
MATCH(I2864,[1]!_born[作],0)),"")</f>
        <v/>
      </c>
      <c r="N2864" s="14" t="str" ph="1">
        <f>IFERROR(INDEX([1]!_born[生没年],
MATCH(K2864,[1]!_born[作],0)),"")</f>
        <v/>
      </c>
      <c r="O2864" s="13" t="s" ph="1">
        <v>9257</v>
      </c>
      <c r="R2864" s="16" ph="1">
        <v>45072</v>
      </c>
      <c r="S2864" s="13" t="s" ph="1">
        <v>3198</v>
      </c>
      <c r="T2864" s="13" t="s" ph="1">
        <v>4110</v>
      </c>
      <c r="U2864" s="16" ph="1">
        <v>45078</v>
      </c>
      <c r="V2864" s="17" ph="1">
        <f>680*1.1</f>
        <v>748.00000000000011</v>
      </c>
      <c r="W2864" s="17" ph="1">
        <f>680*1.1</f>
        <v>748.00000000000011</v>
      </c>
      <c r="X2864" s="13" t="s" ph="1">
        <v>3011</v>
      </c>
    </row>
    <row r="2865" spans="1:25" ht="22.5" customHeight="1" ph="1" x14ac:dyDescent="0.35">
      <c r="A2865" s="106" t="s" ph="1">
        <v>10071</v>
      </c>
      <c r="B2865" s="5" t="s" ph="1">
        <v>2433</v>
      </c>
      <c r="C2865" s="13" t="s" ph="1">
        <v>5828</v>
      </c>
      <c r="D2865" s="123" ph="1">
        <v>34</v>
      </c>
      <c r="E2865" s="123" ph="1">
        <v>36</v>
      </c>
      <c r="G2865" s="13" t="s" ph="1">
        <v>699</v>
      </c>
      <c r="H2865" s="13" t="s" ph="1">
        <v>2987</v>
      </c>
      <c r="I2865" s="13" t="s" ph="1">
        <v>9252</v>
      </c>
      <c r="M2865" s="14" t="str" ph="1">
        <f>IFERROR(INDEX([1]!_born[生没年],
MATCH(I2865,[1]!_born[作],0)),"")</f>
        <v/>
      </c>
      <c r="N2865" s="14" t="str" ph="1">
        <f>IFERROR(INDEX([1]!_born[生没年],
MATCH(K2865,[1]!_born[作],0)),"")</f>
        <v/>
      </c>
      <c r="O2865" s="13" t="s" ph="1">
        <v>10072</v>
      </c>
      <c r="R2865" s="16" t="s" ph="1">
        <v>10074</v>
      </c>
      <c r="S2865" s="13" t="s" ph="1">
        <v>3198</v>
      </c>
      <c r="T2865" s="13" t="s" ph="1">
        <v>4110</v>
      </c>
      <c r="U2865" s="16" ph="1">
        <v>45583</v>
      </c>
      <c r="V2865" s="17" ph="1">
        <f>680*1.1</f>
        <v>748.00000000000011</v>
      </c>
      <c r="W2865" s="17" ph="1">
        <f>680*1.1</f>
        <v>748.00000000000011</v>
      </c>
      <c r="X2865" s="13" t="s" ph="1">
        <v>3011</v>
      </c>
    </row>
    <row r="2866" spans="1:25" ht="22.5" customHeight="1" ph="1" x14ac:dyDescent="0.35">
      <c r="A2866" s="106" t="s" ph="1">
        <v>3206</v>
      </c>
      <c r="B2866" s="5" t="s" ph="1">
        <v>2433</v>
      </c>
      <c r="C2866" s="13" t="s" ph="1">
        <v>5828</v>
      </c>
      <c r="D2866" s="123" t="s" ph="1">
        <v>3205</v>
      </c>
      <c r="E2866" s="123" t="s" ph="1">
        <v>1289</v>
      </c>
      <c r="G2866" s="13" t="s" ph="1">
        <v>699</v>
      </c>
      <c r="H2866" s="13" t="s" ph="1">
        <v>2987</v>
      </c>
      <c r="I2866" s="13" t="s" ph="1">
        <v>9252</v>
      </c>
      <c r="J2866" s="13" t="s" ph="1">
        <v>5759</v>
      </c>
      <c r="K2866" s="13" t="s" ph="1">
        <v>9260</v>
      </c>
      <c r="L2866" s="13" t="s" ph="1">
        <v>9208</v>
      </c>
      <c r="M2866" s="14" t="str" ph="1">
        <f>IFERROR(INDEX([1]!_born[生没年],
MATCH(I2866,[1]!_born[作],0)),"")</f>
        <v/>
      </c>
      <c r="N2866" s="14" t="str" ph="1">
        <f>IFERROR(INDEX([1]!_born[生没年],
MATCH(K2866,[1]!_born[作],0)),"")</f>
        <v/>
      </c>
      <c r="O2866" s="13" t="s" ph="1">
        <v>9261</v>
      </c>
      <c r="R2866" s="16" ph="1">
        <v>43610</v>
      </c>
      <c r="S2866" s="13" t="s" ph="1">
        <v>9262</v>
      </c>
      <c r="T2866" s="13" t="s" ph="1">
        <v>4110</v>
      </c>
      <c r="U2866" s="16" ph="1">
        <v>45197</v>
      </c>
      <c r="V2866" s="17" ph="1">
        <f>620*1.1</f>
        <v>682</v>
      </c>
      <c r="W2866" s="17" t="s" ph="1">
        <v>1225</v>
      </c>
      <c r="X2866" s="13" t="s" ph="1">
        <v>9255</v>
      </c>
      <c r="Y2866" s="13" t="s" ph="1">
        <v>9256</v>
      </c>
    </row>
    <row r="2867" spans="1:25" ht="22.5" customHeight="1" ph="1" x14ac:dyDescent="0.35">
      <c r="A2867" s="106" t="s" ph="1">
        <v>3208</v>
      </c>
      <c r="B2867" s="5" t="s" ph="1">
        <v>2433</v>
      </c>
      <c r="C2867" s="13" t="s" ph="1">
        <v>5828</v>
      </c>
      <c r="D2867" s="123" t="s" ph="1">
        <v>1289</v>
      </c>
      <c r="E2867" s="123" t="s" ph="1">
        <v>1289</v>
      </c>
      <c r="G2867" s="13" t="s" ph="1">
        <v>699</v>
      </c>
      <c r="H2867" s="13" t="s" ph="1">
        <v>2987</v>
      </c>
      <c r="I2867" s="13" t="s" ph="1">
        <v>9252</v>
      </c>
      <c r="J2867" s="13" t="s" ph="1">
        <v>5759</v>
      </c>
      <c r="K2867" s="13" t="s" ph="1">
        <v>9260</v>
      </c>
      <c r="L2867" s="13" t="s" ph="1">
        <v>9208</v>
      </c>
      <c r="M2867" s="14" t="str" ph="1">
        <f>IFERROR(INDEX([1]!_born[生没年],
MATCH(I2867,[1]!_born[作],0)),"")</f>
        <v/>
      </c>
      <c r="N2867" s="14" t="str" ph="1">
        <f>IFERROR(INDEX([1]!_born[生没年],
MATCH(K2867,[1]!_born[作],0)),"")</f>
        <v/>
      </c>
      <c r="O2867" s="13" t="s" ph="1">
        <v>9263</v>
      </c>
      <c r="R2867" s="16" ph="1">
        <v>43610</v>
      </c>
      <c r="S2867" s="13" t="s" ph="1">
        <v>9262</v>
      </c>
      <c r="T2867" s="13" t="s" ph="1">
        <v>4110</v>
      </c>
      <c r="U2867" s="16" ph="1">
        <v>45197</v>
      </c>
      <c r="V2867" s="17" ph="1">
        <f>620*1.1</f>
        <v>682</v>
      </c>
      <c r="W2867" s="17" t="s" ph="1">
        <v>1225</v>
      </c>
      <c r="X2867" s="13" t="s" ph="1">
        <v>9255</v>
      </c>
      <c r="Y2867" s="13" t="s" ph="1">
        <v>9256</v>
      </c>
    </row>
    <row r="2868" spans="1:25" ht="22.5" customHeight="1" ph="1" x14ac:dyDescent="0.35">
      <c r="A2868" s="106" t="s" ph="1">
        <v>3200</v>
      </c>
      <c r="B2868" s="5" t="s" ph="1">
        <v>3201</v>
      </c>
      <c r="C2868" s="13" t="s" ph="1">
        <v>5828</v>
      </c>
      <c r="G2868" s="13" t="s" ph="1">
        <v>699</v>
      </c>
      <c r="H2868" s="13" t="s" ph="1">
        <v>2987</v>
      </c>
      <c r="I2868" s="13" t="s" ph="1">
        <v>9252</v>
      </c>
      <c r="J2868" s="13" t="s" ph="1">
        <v>9264</v>
      </c>
      <c r="K2868" s="13" t="s" ph="1">
        <v>9265</v>
      </c>
      <c r="L2868" s="13" t="s" ph="1">
        <v>3664</v>
      </c>
      <c r="M2868" s="14" t="str" ph="1">
        <f>IFERROR(INDEX([1]!_born[生没年],
MATCH(I2868,[1]!_born[作],0)),"")</f>
        <v/>
      </c>
      <c r="N2868" s="14" t="str" ph="1">
        <f>IFERROR(INDEX([1]!_born[生没年],
MATCH(K2868,[1]!_born[作],0)),"")</f>
        <v/>
      </c>
      <c r="O2868" s="13" t="s" ph="1">
        <v>9266</v>
      </c>
      <c r="R2868" s="16" t="s" ph="1">
        <v>3202</v>
      </c>
      <c r="S2868" s="13" t="s" ph="1">
        <v>9267</v>
      </c>
      <c r="T2868" s="13" t="s" ph="1">
        <v>4110</v>
      </c>
      <c r="U2868" s="16" ph="1">
        <v>45197</v>
      </c>
      <c r="V2868" s="17" ph="1">
        <f>560*1.1</f>
        <v>616</v>
      </c>
      <c r="W2868" s="17" ph="1">
        <f>21+257</f>
        <v>278</v>
      </c>
      <c r="X2868" s="13" t="s" ph="1">
        <v>9255</v>
      </c>
      <c r="Y2868" s="13" t="s" ph="1">
        <v>9256</v>
      </c>
    </row>
    <row r="2869" spans="1:25" ht="22.5" customHeight="1" ph="1" x14ac:dyDescent="0.35">
      <c r="A2869" s="106" t="s" ph="1">
        <v>3203</v>
      </c>
      <c r="B2869" s="5" t="s" ph="1">
        <v>2518</v>
      </c>
      <c r="C2869" s="13" t="s" ph="1">
        <v>5828</v>
      </c>
      <c r="G2869" s="13" t="s" ph="1">
        <v>699</v>
      </c>
      <c r="H2869" s="13" t="s" ph="1">
        <v>2987</v>
      </c>
      <c r="I2869" s="13" t="s" ph="1">
        <v>9252</v>
      </c>
      <c r="J2869" s="13" t="s" ph="1">
        <v>5759</v>
      </c>
      <c r="K2869" s="13" t="s" ph="1">
        <v>9268</v>
      </c>
      <c r="L2869" s="13" t="s" ph="1">
        <v>3664</v>
      </c>
      <c r="M2869" s="14" t="str" ph="1">
        <f>IFERROR(INDEX([1]!_born[生没年],
MATCH(I2869,[1]!_born[作],0)),"")</f>
        <v/>
      </c>
      <c r="N2869" s="14" t="str" ph="1">
        <f>IFERROR(INDEX([1]!_born[生没年],
MATCH(K2869,[1]!_born[作],0)),"")</f>
        <v/>
      </c>
      <c r="O2869" s="13" t="s" ph="1">
        <v>9269</v>
      </c>
      <c r="R2869" s="16" ph="1">
        <v>39148</v>
      </c>
      <c r="S2869" s="13" t="s" ph="1">
        <v>9270</v>
      </c>
      <c r="T2869" s="13" t="s" ph="1">
        <v>4110</v>
      </c>
      <c r="U2869" s="16" ph="1">
        <v>45197</v>
      </c>
      <c r="V2869" s="17" ph="1">
        <f>540*1.1</f>
        <v>594</v>
      </c>
      <c r="W2869" s="17" ph="1">
        <f>251+257</f>
        <v>508</v>
      </c>
      <c r="X2869" s="13" t="s" ph="1">
        <v>9255</v>
      </c>
      <c r="Y2869" s="13" t="s" ph="1">
        <v>9256</v>
      </c>
    </row>
    <row r="2870" spans="1:25" ht="22.5" customHeight="1" ph="1" x14ac:dyDescent="0.35">
      <c r="A2870" s="106" t="s" ph="1">
        <v>3204</v>
      </c>
      <c r="B2870" s="5" t="s" ph="1">
        <v>2518</v>
      </c>
      <c r="C2870" s="13" t="s" ph="1">
        <v>5828</v>
      </c>
      <c r="G2870" s="13" t="s" ph="1">
        <v>699</v>
      </c>
      <c r="H2870" s="13" t="s" ph="1">
        <v>2987</v>
      </c>
      <c r="I2870" s="13" t="s" ph="1">
        <v>9252</v>
      </c>
      <c r="J2870" s="13" t="s" ph="1">
        <v>5759</v>
      </c>
      <c r="K2870" s="13" t="s" ph="1">
        <v>9268</v>
      </c>
      <c r="L2870" s="13" t="s" ph="1">
        <v>3664</v>
      </c>
      <c r="M2870" s="14" t="str" ph="1">
        <f>IFERROR(INDEX([1]!_born[生没年],
MATCH(I2870,[1]!_born[作],0)),"")</f>
        <v/>
      </c>
      <c r="N2870" s="14" t="str" ph="1">
        <f>IFERROR(INDEX([1]!_born[生没年],
MATCH(K2870,[1]!_born[作],0)),"")</f>
        <v/>
      </c>
      <c r="O2870" s="13" t="s" ph="1">
        <v>9271</v>
      </c>
      <c r="R2870" s="16" ph="1">
        <v>39517</v>
      </c>
      <c r="S2870" s="13" t="s" ph="1">
        <v>9270</v>
      </c>
      <c r="T2870" s="13" t="s" ph="1">
        <v>4110</v>
      </c>
      <c r="U2870" s="16" ph="1">
        <v>45197</v>
      </c>
      <c r="V2870" s="17" ph="1">
        <f>540*1.1</f>
        <v>594</v>
      </c>
      <c r="W2870" s="17" t="s" ph="1">
        <v>1225</v>
      </c>
      <c r="X2870" s="13" t="s" ph="1">
        <v>9255</v>
      </c>
      <c r="Y2870" s="13" t="s" ph="1">
        <v>9256</v>
      </c>
    </row>
    <row r="2871" spans="1:25" ht="22.5" customHeight="1" ph="1" x14ac:dyDescent="0.35">
      <c r="C2871" s="13" t="s" ph="1">
        <v>5828</v>
      </c>
      <c r="G2871" s="13" t="s" ph="1">
        <v>699</v>
      </c>
      <c r="H2871" s="13" t="s" ph="1">
        <v>2987</v>
      </c>
      <c r="I2871" s="13" t="s" ph="1">
        <v>9252</v>
      </c>
      <c r="M2871" s="14" t="str" ph="1">
        <f>IFERROR(INDEX([1]!_born[生没年],
MATCH(I2871,[1]!_born[作],0)),"")</f>
        <v/>
      </c>
      <c r="N2871" s="14" t="str" ph="1">
        <f>IFERROR(INDEX([1]!_born[生没年],
MATCH(K2871,[1]!_born[作],0)),"")</f>
        <v/>
      </c>
      <c r="O2871" s="13" t="s" ph="1">
        <v>10075</v>
      </c>
      <c r="R2871" s="16" t="s" ph="1">
        <v>831</v>
      </c>
      <c r="S2871" s="13" t="s" ph="1">
        <v>10076</v>
      </c>
      <c r="T2871" s="13" t="s" ph="1">
        <v>9273</v>
      </c>
      <c r="U2871" s="16" ph="1">
        <v>45610</v>
      </c>
      <c r="V2871" s="17" t="s" ph="1">
        <v>1225</v>
      </c>
      <c r="W2871" s="17" t="s" ph="1">
        <v>1225</v>
      </c>
      <c r="X2871" s="13" t="s" ph="1">
        <v>9255</v>
      </c>
      <c r="Y2871" s="13" t="s" ph="1">
        <v>9274</v>
      </c>
    </row>
    <row r="2872" spans="1:25" ht="22.5" customHeight="1" ph="1" x14ac:dyDescent="0.35">
      <c r="C2872" s="13" t="s" ph="1">
        <v>5828</v>
      </c>
      <c r="G2872" s="13" t="s" ph="1">
        <v>699</v>
      </c>
      <c r="H2872" s="13" t="s" ph="1">
        <v>2987</v>
      </c>
      <c r="I2872" s="13" t="s" ph="1">
        <v>9252</v>
      </c>
      <c r="M2872" s="14" t="str" ph="1">
        <f>IFERROR(INDEX([1]!_born[生没年],
MATCH(I2872,[1]!_born[作],0)),"")</f>
        <v/>
      </c>
      <c r="N2872" s="14" t="str" ph="1">
        <f>IFERROR(INDEX([1]!_born[生没年],
MATCH(K2872,[1]!_born[作],0)),"")</f>
        <v/>
      </c>
      <c r="O2872" s="13" t="s" ph="1">
        <v>9272</v>
      </c>
      <c r="R2872" s="16" t="s" ph="1">
        <v>1008</v>
      </c>
      <c r="S2872" s="13" t="s" ph="1">
        <v>3195</v>
      </c>
      <c r="T2872" s="13" t="s" ph="1">
        <v>9273</v>
      </c>
      <c r="U2872" s="16" ph="1">
        <v>45214</v>
      </c>
      <c r="V2872" s="17" t="s" ph="1">
        <v>1225</v>
      </c>
      <c r="W2872" s="17" t="s" ph="1">
        <v>1225</v>
      </c>
      <c r="X2872" s="13" t="s" ph="1">
        <v>9255</v>
      </c>
      <c r="Y2872" s="13" t="s" ph="1">
        <v>9274</v>
      </c>
    </row>
    <row r="2873" spans="1:25" s="19" customFormat="1" ht="22.5" customHeight="1" ph="1" x14ac:dyDescent="0.35">
      <c r="A2873" s="106" t="s" ph="1">
        <v>2577</v>
      </c>
      <c r="B2873" s="5" t="s" ph="1">
        <v>2578</v>
      </c>
      <c r="C2873" s="13" t="s" ph="1">
        <v>4106</v>
      </c>
      <c r="D2873" s="123" ph="1"/>
      <c r="E2873" s="123" ph="1"/>
      <c r="F2873" s="13" ph="1"/>
      <c r="G2873" s="13" t="s" ph="1">
        <v>699</v>
      </c>
      <c r="H2873" s="13" t="s" ph="1">
        <v>2987</v>
      </c>
      <c r="I2873" s="13" t="s" ph="1">
        <v>9275</v>
      </c>
      <c r="J2873" s="13" ph="1"/>
      <c r="K2873" s="13" ph="1"/>
      <c r="L2873" s="13" ph="1"/>
      <c r="M2873" s="14" t="str" ph="1">
        <f>IFERROR(INDEX([1]!_born[生没年],
MATCH(I2873,[1]!_born[作],0)),"")</f>
        <v/>
      </c>
      <c r="N2873" s="14" t="str" ph="1">
        <f>IFERROR(INDEX([1]!_born[生没年],
MATCH(K2873,[1]!_born[作],0)),"")</f>
        <v/>
      </c>
      <c r="O2873" s="13" t="s" ph="1">
        <v>9276</v>
      </c>
      <c r="P2873" s="13" ph="1"/>
      <c r="Q2873" s="13" ph="1"/>
      <c r="R2873" s="16" ph="1"/>
      <c r="S2873" s="13" t="s" ph="1">
        <v>9277</v>
      </c>
      <c r="T2873" s="13" t="s" ph="1">
        <v>9278</v>
      </c>
      <c r="U2873" s="16" t="s" ph="1">
        <v>2579</v>
      </c>
      <c r="V2873" s="17" ph="1">
        <v>1200</v>
      </c>
      <c r="W2873" s="17" ph="1">
        <v>100</v>
      </c>
      <c r="X2873" s="13" t="s" ph="1">
        <v>3792</v>
      </c>
      <c r="Y2873" s="13" ph="1"/>
    </row>
    <row r="2874" spans="1:25" s="19" customFormat="1" ht="22.5" customHeight="1" ph="1" x14ac:dyDescent="0.35">
      <c r="A2874" s="106" ph="1"/>
      <c r="B2874" s="5" ph="1"/>
      <c r="C2874" s="13" t="s" ph="1">
        <v>4106</v>
      </c>
      <c r="D2874" s="123" ph="1"/>
      <c r="E2874" s="123" ph="1"/>
      <c r="F2874" s="13" ph="1"/>
      <c r="G2874" s="13" t="s" ph="1">
        <v>699</v>
      </c>
      <c r="H2874" s="13" t="s" ph="1">
        <v>2446</v>
      </c>
      <c r="I2874" s="13" t="s" ph="1">
        <v>2447</v>
      </c>
      <c r="J2874" s="13" ph="1"/>
      <c r="K2874" s="13" ph="1"/>
      <c r="L2874" s="13"/>
      <c r="M2874" s="14" t="str" ph="1">
        <f>IFERROR(INDEX([1]!_born[生没年],
MATCH(I2874,[1]!_born[作],0)),"")</f>
        <v/>
      </c>
      <c r="N2874" s="14" t="str" ph="1">
        <f>IFERROR(INDEX([1]!_born[生没年],
MATCH(K2874,[1]!_born[作],0)),"")</f>
        <v/>
      </c>
      <c r="O2874" s="13" t="s" ph="1">
        <v>9279</v>
      </c>
      <c r="P2874" s="13" ph="1"/>
      <c r="Q2874" s="13" ph="1"/>
      <c r="R2874" s="16" t="s" ph="1">
        <v>2448</v>
      </c>
      <c r="S2874" s="13" ph="1"/>
      <c r="T2874" s="13" t="s" ph="1">
        <v>4839</v>
      </c>
      <c r="U2874" s="16" ph="1">
        <v>40019</v>
      </c>
      <c r="V2874" s="17" ph="1">
        <v>360</v>
      </c>
      <c r="W2874" s="17" ph="1">
        <v>500</v>
      </c>
      <c r="X2874" s="13" t="s" ph="1">
        <v>9280</v>
      </c>
      <c r="Y2874" s="13" ph="1"/>
    </row>
    <row r="2875" spans="1:25" s="19" customFormat="1" ht="22.5" customHeight="1" ph="1" x14ac:dyDescent="0.35">
      <c r="A2875" s="106" ph="1"/>
      <c r="B2875" s="5" ph="1"/>
      <c r="C2875" s="13" t="s" ph="1">
        <v>5828</v>
      </c>
      <c r="D2875" s="123" ph="1"/>
      <c r="E2875" s="123" ph="1"/>
      <c r="F2875" s="13" ph="1"/>
      <c r="G2875" s="13" t="s" ph="1">
        <v>1574</v>
      </c>
      <c r="H2875" s="13" t="s" ph="1">
        <v>2987</v>
      </c>
      <c r="I2875" s="13" t="s" ph="1">
        <v>9281</v>
      </c>
      <c r="J2875" s="13" ph="1"/>
      <c r="K2875" s="13" ph="1"/>
      <c r="L2875" s="13" ph="1"/>
      <c r="M2875" s="14" t="str" ph="1">
        <f>IFERROR(INDEX([1]!_born[生没年],
MATCH(I2875,[1]!_born[作],0)),"")</f>
        <v/>
      </c>
      <c r="N2875" s="14" t="str" ph="1">
        <f>IFERROR(INDEX([1]!_born[生没年],
MATCH(K2875,[1]!_born[作],0)),"")</f>
        <v/>
      </c>
      <c r="O2875" s="13" t="s" ph="1">
        <v>9282</v>
      </c>
      <c r="P2875" s="13" ph="1"/>
      <c r="Q2875" s="13" ph="1"/>
      <c r="R2875" s="16" ph="1"/>
      <c r="S2875" s="13" ph="1"/>
      <c r="T2875" s="13" ph="1"/>
      <c r="U2875" s="16" t="s" ph="1">
        <v>1612</v>
      </c>
      <c r="V2875" s="17" ph="1"/>
      <c r="W2875" s="17" ph="1"/>
      <c r="X2875" s="13" ph="1"/>
      <c r="Y2875" s="13" ph="1"/>
    </row>
    <row r="2876" spans="1:25" s="19" customFormat="1" ht="22.5" customHeight="1" ph="1" x14ac:dyDescent="0.35">
      <c r="A2876" s="106" ph="1"/>
      <c r="B2876" s="5" ph="1"/>
      <c r="C2876" s="13" t="s" ph="1">
        <v>5828</v>
      </c>
      <c r="D2876" s="123" ph="1">
        <v>1</v>
      </c>
      <c r="E2876" s="123" ph="1">
        <v>4</v>
      </c>
      <c r="F2876" s="13" ph="1"/>
      <c r="G2876" s="13" t="s" ph="1">
        <v>1574</v>
      </c>
      <c r="H2876" s="13" t="s" ph="1">
        <v>2987</v>
      </c>
      <c r="I2876" s="13" t="s" ph="1">
        <v>9281</v>
      </c>
      <c r="J2876" s="13" ph="1"/>
      <c r="K2876" s="13" ph="1"/>
      <c r="L2876" s="13" ph="1"/>
      <c r="M2876" s="14" t="str" ph="1">
        <f>IFERROR(INDEX([1]!_born[生没年],
MATCH(I2876,[1]!_born[作],0)),"")</f>
        <v/>
      </c>
      <c r="N2876" s="14" t="str" ph="1">
        <f>IFERROR(INDEX([1]!_born[生没年],
MATCH(K2876,[1]!_born[作],0)),"")</f>
        <v/>
      </c>
      <c r="O2876" s="13" t="s" ph="1">
        <v>9283</v>
      </c>
      <c r="P2876" s="13" ph="1"/>
      <c r="Q2876" s="13" ph="1"/>
      <c r="R2876" s="16" ph="1"/>
      <c r="S2876" s="13" ph="1"/>
      <c r="T2876" s="13" ph="1"/>
      <c r="U2876" s="16" t="s" ph="1">
        <v>1612</v>
      </c>
      <c r="V2876" s="17" ph="1"/>
      <c r="W2876" s="17" ph="1"/>
      <c r="X2876" s="13" ph="1"/>
      <c r="Y2876" s="13" ph="1"/>
    </row>
    <row r="2877" spans="1:25" s="19" customFormat="1" ht="22.5" customHeight="1" ph="1" x14ac:dyDescent="0.35">
      <c r="A2877" s="106" ph="1"/>
      <c r="B2877" s="5" ph="1"/>
      <c r="C2877" s="13" t="s" ph="1">
        <v>5828</v>
      </c>
      <c r="D2877" s="123" ph="1">
        <v>2</v>
      </c>
      <c r="E2877" s="123" ph="1">
        <v>4</v>
      </c>
      <c r="F2877" s="13" ph="1"/>
      <c r="G2877" s="13" t="s" ph="1">
        <v>1574</v>
      </c>
      <c r="H2877" s="13" t="s" ph="1">
        <v>2987</v>
      </c>
      <c r="I2877" s="13" t="s" ph="1">
        <v>9281</v>
      </c>
      <c r="J2877" s="13" ph="1"/>
      <c r="K2877" s="13" ph="1"/>
      <c r="L2877" s="13" ph="1"/>
      <c r="M2877" s="14" t="str" ph="1">
        <f>IFERROR(INDEX([1]!_born[生没年],
MATCH(I2877,[1]!_born[作],0)),"")</f>
        <v/>
      </c>
      <c r="N2877" s="14" t="str" ph="1">
        <f>IFERROR(INDEX([1]!_born[生没年],
MATCH(K2877,[1]!_born[作],0)),"")</f>
        <v/>
      </c>
      <c r="O2877" s="13" t="s" ph="1">
        <v>9283</v>
      </c>
      <c r="P2877" s="13" ph="1"/>
      <c r="Q2877" s="13" ph="1"/>
      <c r="R2877" s="16" ph="1"/>
      <c r="S2877" s="13" ph="1"/>
      <c r="T2877" s="13" ph="1"/>
      <c r="U2877" s="16" t="s" ph="1">
        <v>1612</v>
      </c>
      <c r="V2877" s="17" ph="1"/>
      <c r="W2877" s="17" ph="1"/>
      <c r="X2877" s="13" ph="1"/>
      <c r="Y2877" s="13" ph="1"/>
    </row>
    <row r="2878" spans="1:25" s="19" customFormat="1" ht="22.5" customHeight="1" ph="1" x14ac:dyDescent="0.35">
      <c r="A2878" s="106" ph="1"/>
      <c r="B2878" s="5" ph="1"/>
      <c r="C2878" s="13" t="s" ph="1">
        <v>5828</v>
      </c>
      <c r="D2878" s="123" ph="1">
        <v>3</v>
      </c>
      <c r="E2878" s="123" ph="1">
        <v>4</v>
      </c>
      <c r="F2878" s="13" ph="1"/>
      <c r="G2878" s="13" t="s" ph="1">
        <v>1574</v>
      </c>
      <c r="H2878" s="13" t="s" ph="1">
        <v>2987</v>
      </c>
      <c r="I2878" s="13" t="s" ph="1">
        <v>9281</v>
      </c>
      <c r="J2878" s="13" ph="1"/>
      <c r="K2878" s="13" ph="1"/>
      <c r="L2878" s="13" ph="1"/>
      <c r="M2878" s="14" t="str" ph="1">
        <f>IFERROR(INDEX([1]!_born[生没年],
MATCH(I2878,[1]!_born[作],0)),"")</f>
        <v/>
      </c>
      <c r="N2878" s="14" t="str" ph="1">
        <f>IFERROR(INDEX([1]!_born[生没年],
MATCH(K2878,[1]!_born[作],0)),"")</f>
        <v/>
      </c>
      <c r="O2878" s="13" t="s" ph="1">
        <v>9283</v>
      </c>
      <c r="P2878" s="13" ph="1"/>
      <c r="Q2878" s="13" ph="1"/>
      <c r="R2878" s="16" ph="1"/>
      <c r="S2878" s="13" ph="1"/>
      <c r="T2878" s="13" ph="1"/>
      <c r="U2878" s="16" t="s" ph="1">
        <v>1612</v>
      </c>
      <c r="V2878" s="17" ph="1"/>
      <c r="W2878" s="17" ph="1"/>
      <c r="X2878" s="13" ph="1"/>
      <c r="Y2878" s="13" ph="1"/>
    </row>
    <row r="2879" spans="1:25" s="19" customFormat="1" ht="22.5" customHeight="1" ph="1" x14ac:dyDescent="0.35">
      <c r="A2879" s="106" ph="1"/>
      <c r="B2879" s="5" ph="1"/>
      <c r="C2879" s="13" t="s" ph="1">
        <v>5828</v>
      </c>
      <c r="D2879" s="123" ph="1">
        <v>4</v>
      </c>
      <c r="E2879" s="123" ph="1">
        <v>4</v>
      </c>
      <c r="F2879" s="13" ph="1"/>
      <c r="G2879" s="13" t="s" ph="1">
        <v>1574</v>
      </c>
      <c r="H2879" s="13" t="s" ph="1">
        <v>2987</v>
      </c>
      <c r="I2879" s="13" t="s" ph="1">
        <v>9281</v>
      </c>
      <c r="J2879" s="13" ph="1"/>
      <c r="K2879" s="13" ph="1"/>
      <c r="L2879" s="13" ph="1"/>
      <c r="M2879" s="14" t="str" ph="1">
        <f>IFERROR(INDEX([1]!_born[生没年],
MATCH(I2879,[1]!_born[作],0)),"")</f>
        <v/>
      </c>
      <c r="N2879" s="14" t="str" ph="1">
        <f>IFERROR(INDEX([1]!_born[生没年],
MATCH(K2879,[1]!_born[作],0)),"")</f>
        <v/>
      </c>
      <c r="O2879" s="13" t="s" ph="1">
        <v>9283</v>
      </c>
      <c r="P2879" s="13" ph="1"/>
      <c r="Q2879" s="13" ph="1"/>
      <c r="R2879" s="16" ph="1"/>
      <c r="S2879" s="13" ph="1"/>
      <c r="T2879" s="13" ph="1"/>
      <c r="U2879" s="16" t="s" ph="1">
        <v>1612</v>
      </c>
      <c r="V2879" s="17" ph="1"/>
      <c r="W2879" s="17" ph="1"/>
      <c r="X2879" s="13" ph="1"/>
      <c r="Y2879" s="13" ph="1"/>
    </row>
    <row r="2880" spans="1:25" s="19" customFormat="1" ht="22.5" customHeight="1" ph="1" x14ac:dyDescent="0.35">
      <c r="A2880" s="106" ph="1"/>
      <c r="B2880" s="5" ph="1"/>
      <c r="C2880" s="13" t="s" ph="1">
        <v>5828</v>
      </c>
      <c r="D2880" s="123" ph="1"/>
      <c r="E2880" s="123" ph="1"/>
      <c r="F2880" s="13" ph="1"/>
      <c r="G2880" s="13" t="s" ph="1">
        <v>1574</v>
      </c>
      <c r="H2880" s="13" t="s" ph="1">
        <v>2987</v>
      </c>
      <c r="I2880" s="13" t="s" ph="1">
        <v>9281</v>
      </c>
      <c r="J2880" s="13" ph="1"/>
      <c r="K2880" s="13" ph="1"/>
      <c r="L2880" s="13" ph="1"/>
      <c r="M2880" s="14" t="str" ph="1">
        <f>IFERROR(INDEX([1]!_born[生没年],
MATCH(I2880,[1]!_born[作],0)),"")</f>
        <v/>
      </c>
      <c r="N2880" s="14" t="str" ph="1">
        <f>IFERROR(INDEX([1]!_born[生没年],
MATCH(K2880,[1]!_born[作],0)),"")</f>
        <v/>
      </c>
      <c r="O2880" s="13" t="s" ph="1">
        <v>9284</v>
      </c>
      <c r="P2880" s="13" ph="1"/>
      <c r="Q2880" s="13" ph="1"/>
      <c r="R2880" s="16" ph="1"/>
      <c r="S2880" s="13" ph="1"/>
      <c r="T2880" s="13" ph="1"/>
      <c r="U2880" s="16" t="s" ph="1">
        <v>1612</v>
      </c>
      <c r="V2880" s="17" ph="1"/>
      <c r="W2880" s="17" ph="1"/>
      <c r="X2880" s="13" ph="1"/>
      <c r="Y2880" s="13" ph="1"/>
    </row>
    <row r="2881" spans="1:25" s="19" customFormat="1" ht="22.5" customHeight="1" ph="1" x14ac:dyDescent="0.35">
      <c r="A2881" s="106" ph="1"/>
      <c r="B2881" s="5" ph="1"/>
      <c r="C2881" s="13" t="s" ph="1">
        <v>5828</v>
      </c>
      <c r="D2881" s="123" ph="1"/>
      <c r="E2881" s="123" ph="1"/>
      <c r="F2881" s="13" ph="1"/>
      <c r="G2881" s="13" t="s" ph="1">
        <v>1574</v>
      </c>
      <c r="H2881" s="13" t="s" ph="1">
        <v>2987</v>
      </c>
      <c r="I2881" s="13" t="s" ph="1">
        <v>9281</v>
      </c>
      <c r="J2881" s="13" ph="1"/>
      <c r="K2881" s="13" ph="1"/>
      <c r="L2881" s="13" ph="1"/>
      <c r="M2881" s="14" t="str" ph="1">
        <f>IFERROR(INDEX([1]!_born[生没年],
MATCH(I2881,[1]!_born[作],0)),"")</f>
        <v/>
      </c>
      <c r="N2881" s="14" t="str" ph="1">
        <f>IFERROR(INDEX([1]!_born[生没年],
MATCH(K2881,[1]!_born[作],0)),"")</f>
        <v/>
      </c>
      <c r="O2881" s="13" t="s" ph="1">
        <v>9285</v>
      </c>
      <c r="P2881" s="13" ph="1"/>
      <c r="Q2881" s="13" ph="1"/>
      <c r="R2881" s="16" ph="1"/>
      <c r="S2881" s="13" ph="1"/>
      <c r="T2881" s="13" ph="1"/>
      <c r="U2881" s="16" t="s" ph="1">
        <v>1612</v>
      </c>
      <c r="V2881" s="17" ph="1"/>
      <c r="W2881" s="17" ph="1"/>
      <c r="X2881" s="13" ph="1"/>
      <c r="Y2881" s="13" ph="1"/>
    </row>
    <row r="2882" spans="1:25" s="19" customFormat="1" ht="22.5" customHeight="1" ph="1" x14ac:dyDescent="0.35">
      <c r="A2882" s="106" t="s" ph="1">
        <v>10257</v>
      </c>
      <c r="B2882" s="5" t="s" ph="1">
        <v>10258</v>
      </c>
      <c r="C2882" s="13" t="s" ph="1">
        <v>5828</v>
      </c>
      <c r="D2882" s="123" ph="1">
        <v>8</v>
      </c>
      <c r="E2882" s="123" ph="1">
        <v>10</v>
      </c>
      <c r="F2882" s="13" ph="1"/>
      <c r="G2882" s="13" t="s" ph="1">
        <v>699</v>
      </c>
      <c r="H2882" s="13" t="s" ph="1">
        <v>2987</v>
      </c>
      <c r="I2882" s="13" t="s" ph="1">
        <v>4104</v>
      </c>
      <c r="J2882" s="13" ph="1"/>
      <c r="K2882" s="13" ph="1"/>
      <c r="L2882" s="13" ph="1"/>
      <c r="M2882" s="14" t="str" ph="1">
        <f>IFERROR(INDEX([1]!_born[生没年],
MATCH(I2882,[1]!_born[作],0)),"")</f>
        <v/>
      </c>
      <c r="N2882" s="14" t="str" ph="1">
        <f>IFERROR(INDEX([1]!_born[生没年],
MATCH(K2882,[1]!_born[作],0)),"")</f>
        <v/>
      </c>
      <c r="O2882" s="13" t="s" ph="1">
        <v>10307</v>
      </c>
      <c r="P2882" s="13" ph="1"/>
      <c r="Q2882" s="13" ph="1"/>
      <c r="R2882" s="16" ph="1">
        <v>31745</v>
      </c>
      <c r="S2882" s="13" t="s" ph="1">
        <v>10308</v>
      </c>
      <c r="T2882" s="13" t="s" ph="1">
        <v>5041</v>
      </c>
      <c r="U2882" s="16" t="s" ph="1">
        <v>10253</v>
      </c>
      <c r="V2882" s="17" ph="1">
        <v>520</v>
      </c>
      <c r="W2882" s="17" t="s" ph="1">
        <v>1225</v>
      </c>
      <c r="X2882" s="13" t="s" ph="1">
        <v>10293</v>
      </c>
      <c r="Y2882" s="13" ph="1"/>
    </row>
    <row r="2883" spans="1:25" s="19" customFormat="1" ht="22.5" customHeight="1" ph="1" x14ac:dyDescent="0.35">
      <c r="A2883" s="106" t="s" ph="1">
        <v>10259</v>
      </c>
      <c r="B2883" s="5" ph="1"/>
      <c r="C2883" s="13" t="s" ph="1">
        <v>5828</v>
      </c>
      <c r="D2883" s="123" ph="1">
        <v>10</v>
      </c>
      <c r="E2883" s="123" t="s" ph="1">
        <v>1225</v>
      </c>
      <c r="F2883" s="13" ph="1"/>
      <c r="G2883" s="13" t="s" ph="1">
        <v>699</v>
      </c>
      <c r="H2883" s="13" t="s" ph="1">
        <v>2987</v>
      </c>
      <c r="I2883" s="13" t="s" ph="1">
        <v>6473</v>
      </c>
      <c r="J2883" s="13" ph="1"/>
      <c r="K2883" s="13" ph="1"/>
      <c r="L2883" s="13" ph="1"/>
      <c r="M2883" s="14" t="str" ph="1">
        <f>IFERROR(INDEX([1]!_born[生没年],
MATCH(I2883,[1]!_born[作],0)),"")</f>
        <v/>
      </c>
      <c r="N2883" s="14" t="str" ph="1">
        <f>IFERROR(INDEX([1]!_born[生没年],
MATCH(K2883,[1]!_born[作],0)),"")</f>
        <v/>
      </c>
      <c r="O2883" s="13" t="s" ph="1">
        <v>9429</v>
      </c>
      <c r="P2883" s="13" ph="1"/>
      <c r="Q2883" s="13" ph="1"/>
      <c r="R2883" s="16" ph="1">
        <v>28291</v>
      </c>
      <c r="S2883" s="13" t="s" ph="1">
        <v>10309</v>
      </c>
      <c r="T2883" s="13" t="s" ph="1">
        <v>5041</v>
      </c>
      <c r="U2883" s="16" t="s" ph="1">
        <v>10253</v>
      </c>
      <c r="V2883" s="17" ph="1">
        <v>520</v>
      </c>
      <c r="W2883" s="17" t="s" ph="1">
        <v>1225</v>
      </c>
      <c r="X2883" s="13" t="s" ph="1">
        <v>10293</v>
      </c>
      <c r="Y2883" s="13" ph="1"/>
    </row>
    <row r="2884" spans="1:25" s="19" customFormat="1" ht="22.5" customHeight="1" ph="1" x14ac:dyDescent="0.35">
      <c r="A2884" s="106" t="s" ph="1">
        <v>1580</v>
      </c>
      <c r="B2884" s="5" ph="1"/>
      <c r="C2884" s="13" t="s" ph="1">
        <v>5828</v>
      </c>
      <c r="D2884" s="123" ph="1">
        <v>1</v>
      </c>
      <c r="E2884" s="123" ph="1">
        <v>3</v>
      </c>
      <c r="F2884" s="13" ph="1"/>
      <c r="G2884" s="13" t="s" ph="1">
        <v>1574</v>
      </c>
      <c r="H2884" s="13" t="s" ph="1">
        <v>31</v>
      </c>
      <c r="I2884" s="13" t="s" ph="1">
        <v>6473</v>
      </c>
      <c r="J2884" s="13" t="s" ph="1">
        <v>6473</v>
      </c>
      <c r="K2884" s="13" t="s" ph="1">
        <v>1581</v>
      </c>
      <c r="L2884" s="13" t="s" ph="1">
        <v>3628</v>
      </c>
      <c r="M2884" s="14" t="str" ph="1">
        <f>IFERROR(INDEX([1]!_born[生没年],
MATCH(I2884,[1]!_born[作],0)),"")</f>
        <v/>
      </c>
      <c r="N2884" s="14" t="str" ph="1">
        <f>IFERROR(INDEX([1]!_born[生没年],
MATCH(K2884,[1]!_born[作],0)),"")</f>
        <v/>
      </c>
      <c r="O2884" s="13" t="s" ph="1">
        <v>1582</v>
      </c>
      <c r="P2884" s="13" ph="1"/>
      <c r="Q2884" s="13" ph="1"/>
      <c r="R2884" s="16" t="s" ph="1">
        <v>1583</v>
      </c>
      <c r="S2884" s="13" ph="1"/>
      <c r="T2884" s="13" t="s" ph="1">
        <v>1584</v>
      </c>
      <c r="U2884" s="16" ph="1">
        <v>38404</v>
      </c>
      <c r="V2884" s="17" ph="1">
        <f>1804*1.05</f>
        <v>1894.2</v>
      </c>
      <c r="W2884" s="17" ph="1">
        <f>1804*1.05</f>
        <v>1894.2</v>
      </c>
      <c r="X2884" s="13" t="s" ph="1">
        <v>3802</v>
      </c>
      <c r="Y2884" s="13" ph="1"/>
    </row>
    <row r="2885" spans="1:25" s="19" customFormat="1" ht="22.5" customHeight="1" ph="1" x14ac:dyDescent="0.35">
      <c r="A2885" s="106" t="s" ph="1">
        <v>1585</v>
      </c>
      <c r="B2885" s="5" ph="1"/>
      <c r="C2885" s="13" t="s" ph="1">
        <v>5828</v>
      </c>
      <c r="D2885" s="123" ph="1">
        <v>2</v>
      </c>
      <c r="E2885" s="123" ph="1">
        <v>3</v>
      </c>
      <c r="F2885" s="13" ph="1"/>
      <c r="G2885" s="13" t="s" ph="1">
        <v>1574</v>
      </c>
      <c r="H2885" s="13" t="s" ph="1">
        <v>31</v>
      </c>
      <c r="I2885" s="13" t="s" ph="1">
        <v>6473</v>
      </c>
      <c r="J2885" s="13" t="s" ph="1">
        <v>6473</v>
      </c>
      <c r="K2885" s="13" t="s" ph="1">
        <v>1581</v>
      </c>
      <c r="L2885" s="13" t="s" ph="1">
        <v>3628</v>
      </c>
      <c r="M2885" s="14" t="str" ph="1">
        <f>IFERROR(INDEX([1]!_born[生没年],
MATCH(I2885,[1]!_born[作],0)),"")</f>
        <v/>
      </c>
      <c r="N2885" s="14" t="str" ph="1">
        <f>IFERROR(INDEX([1]!_born[生没年],
MATCH(K2885,[1]!_born[作],0)),"")</f>
        <v/>
      </c>
      <c r="O2885" s="13" t="s" ph="1">
        <v>1582</v>
      </c>
      <c r="P2885" s="13" ph="1"/>
      <c r="Q2885" s="13" ph="1"/>
      <c r="R2885" s="16" t="s" ph="1">
        <v>1583</v>
      </c>
      <c r="S2885" s="13" ph="1"/>
      <c r="T2885" s="13" t="s" ph="1">
        <v>1584</v>
      </c>
      <c r="U2885" s="16" ph="1">
        <v>38404</v>
      </c>
      <c r="V2885" s="17" ph="1">
        <f>1804*1.05</f>
        <v>1894.2</v>
      </c>
      <c r="W2885" s="17" ph="1">
        <f>1804*1.05</f>
        <v>1894.2</v>
      </c>
      <c r="X2885" s="13" t="s" ph="1">
        <v>3802</v>
      </c>
      <c r="Y2885" s="13" ph="1"/>
    </row>
    <row r="2886" spans="1:25" s="19" customFormat="1" ht="22.5" customHeight="1" ph="1" x14ac:dyDescent="0.35">
      <c r="A2886" s="106" t="s" ph="1">
        <v>1586</v>
      </c>
      <c r="B2886" s="5" ph="1"/>
      <c r="C2886" s="13" t="s" ph="1">
        <v>5828</v>
      </c>
      <c r="D2886" s="123" ph="1">
        <v>3</v>
      </c>
      <c r="E2886" s="123" ph="1">
        <v>3</v>
      </c>
      <c r="F2886" s="13" ph="1"/>
      <c r="G2886" s="13" t="s" ph="1">
        <v>1574</v>
      </c>
      <c r="H2886" s="13" t="s" ph="1">
        <v>31</v>
      </c>
      <c r="I2886" s="13" t="s" ph="1">
        <v>6473</v>
      </c>
      <c r="J2886" s="13" t="s" ph="1">
        <v>6473</v>
      </c>
      <c r="K2886" s="13" t="s" ph="1">
        <v>1581</v>
      </c>
      <c r="L2886" s="13" t="s" ph="1">
        <v>3628</v>
      </c>
      <c r="M2886" s="14" t="str" ph="1">
        <f>IFERROR(INDEX([1]!_born[生没年],
MATCH(I2886,[1]!_born[作],0)),"")</f>
        <v/>
      </c>
      <c r="N2886" s="14" t="str" ph="1">
        <f>IFERROR(INDEX([1]!_born[生没年],
MATCH(K2886,[1]!_born[作],0)),"")</f>
        <v/>
      </c>
      <c r="O2886" s="13" t="s" ph="1">
        <v>1582</v>
      </c>
      <c r="P2886" s="13" ph="1"/>
      <c r="Q2886" s="13" ph="1"/>
      <c r="R2886" s="16" t="s" ph="1">
        <v>1587</v>
      </c>
      <c r="S2886" s="13" ph="1"/>
      <c r="T2886" s="13" t="s" ph="1">
        <v>1584</v>
      </c>
      <c r="U2886" s="16" ph="1">
        <v>38404</v>
      </c>
      <c r="V2886" s="17" ph="1">
        <f>1216*1.05</f>
        <v>1276.8</v>
      </c>
      <c r="W2886" s="17" ph="1">
        <f>1216*1.05</f>
        <v>1276.8</v>
      </c>
      <c r="X2886" s="13" t="s" ph="1">
        <v>3802</v>
      </c>
      <c r="Y2886" s="13" ph="1"/>
    </row>
    <row r="2887" spans="1:25" s="19" customFormat="1" ht="22.5" customHeight="1" ph="1" x14ac:dyDescent="0.35">
      <c r="A2887" s="106" t="s" ph="1">
        <v>10259</v>
      </c>
      <c r="B2887" s="5" ph="1"/>
      <c r="C2887" s="13" t="s" ph="1">
        <v>5828</v>
      </c>
      <c r="D2887" s="123" ph="1">
        <v>10</v>
      </c>
      <c r="E2887" s="123" t="s" ph="1">
        <v>1225</v>
      </c>
      <c r="F2887" s="13" ph="1"/>
      <c r="G2887" s="13" t="s" ph="1">
        <v>699</v>
      </c>
      <c r="H2887" s="13" t="s" ph="1">
        <v>2987</v>
      </c>
      <c r="I2887" s="13" t="s" ph="1">
        <v>6473</v>
      </c>
      <c r="J2887" s="13" ph="1"/>
      <c r="K2887" s="13" ph="1"/>
      <c r="L2887" s="13" ph="1"/>
      <c r="M2887" s="14" t="str" ph="1">
        <f>IFERROR(INDEX([1]!_born[生没年],
MATCH(I2887,[1]!_born[作],0)),"")</f>
        <v/>
      </c>
      <c r="N2887" s="14" t="str" ph="1">
        <f>IFERROR(INDEX([1]!_born[生没年],
MATCH(K2887,[1]!_born[作],0)),"")</f>
        <v/>
      </c>
      <c r="O2887" s="13" t="s" ph="1">
        <v>9429</v>
      </c>
      <c r="P2887" s="13" ph="1"/>
      <c r="Q2887" s="13" ph="1"/>
      <c r="R2887" s="16" ph="1">
        <v>31745</v>
      </c>
      <c r="S2887" s="13" t="s" ph="1">
        <v>10308</v>
      </c>
      <c r="T2887" s="13" t="s" ph="1">
        <v>5041</v>
      </c>
      <c r="U2887" s="16" t="s" ph="1">
        <v>10253</v>
      </c>
      <c r="V2887" s="17" ph="1">
        <v>520</v>
      </c>
      <c r="W2887" s="17" t="s" ph="1">
        <v>1225</v>
      </c>
      <c r="X2887" s="13" t="s" ph="1">
        <v>10293</v>
      </c>
      <c r="Y2887" s="13" ph="1"/>
    </row>
    <row r="2888" spans="1:25" s="19" customFormat="1" ht="22.5" customHeight="1" ph="1" x14ac:dyDescent="0.35">
      <c r="A2888" s="106" ph="1"/>
      <c r="B2888" s="5" ph="1"/>
      <c r="C2888" s="13" t="s" ph="1">
        <v>5828</v>
      </c>
      <c r="D2888" s="123" ph="1">
        <v>1</v>
      </c>
      <c r="E2888" s="123" ph="1">
        <v>3</v>
      </c>
      <c r="F2888" s="13" ph="1"/>
      <c r="G2888" s="13" t="s" ph="1">
        <v>1574</v>
      </c>
      <c r="H2888" s="13" t="s" ph="1">
        <v>2987</v>
      </c>
      <c r="I2888" s="13" t="s" ph="1">
        <v>6473</v>
      </c>
      <c r="J2888" s="13" ph="1"/>
      <c r="K2888" s="13" ph="1"/>
      <c r="L2888" s="13" ph="1"/>
      <c r="M2888" s="14" t="str" ph="1">
        <f>IFERROR(INDEX([1]!_born[生没年],
MATCH(I2888,[1]!_born[作],0)),"")</f>
        <v/>
      </c>
      <c r="N2888" s="14" t="str" ph="1">
        <f>IFERROR(INDEX([1]!_born[生没年],
MATCH(K2888,[1]!_born[作],0)),"")</f>
        <v/>
      </c>
      <c r="O2888" s="13" t="s" ph="1">
        <v>9286</v>
      </c>
      <c r="P2888" s="13" ph="1"/>
      <c r="Q2888" s="13" ph="1"/>
      <c r="R2888" s="16" t="s" ph="1">
        <v>1593</v>
      </c>
      <c r="S2888" s="13" t="s" ph="1">
        <v>9287</v>
      </c>
      <c r="T2888" s="13" t="s" ph="1">
        <v>3926</v>
      </c>
      <c r="U2888" s="16" t="s" ph="1">
        <v>9288</v>
      </c>
      <c r="V2888" s="17" ph="1">
        <v>400</v>
      </c>
      <c r="W2888" s="17" ph="1"/>
      <c r="X2888" s="13" ph="1"/>
      <c r="Y2888" s="13" ph="1"/>
    </row>
    <row r="2889" spans="1:25" s="19" customFormat="1" ht="22.5" customHeight="1" ph="1" x14ac:dyDescent="0.35">
      <c r="A2889" s="106" ph="1"/>
      <c r="B2889" s="5" ph="1"/>
      <c r="C2889" s="13" t="s" ph="1">
        <v>5828</v>
      </c>
      <c r="D2889" s="123" ph="1">
        <v>2</v>
      </c>
      <c r="E2889" s="123" ph="1">
        <v>3</v>
      </c>
      <c r="F2889" s="13" ph="1"/>
      <c r="G2889" s="13" t="s" ph="1">
        <v>1574</v>
      </c>
      <c r="H2889" s="13" t="s" ph="1">
        <v>2987</v>
      </c>
      <c r="I2889" s="13" t="s" ph="1">
        <v>6473</v>
      </c>
      <c r="J2889" s="13" ph="1"/>
      <c r="K2889" s="13" ph="1"/>
      <c r="L2889" s="13" ph="1"/>
      <c r="M2889" s="14" t="str" ph="1">
        <f>IFERROR(INDEX([1]!_born[生没年],
MATCH(I2889,[1]!_born[作],0)),"")</f>
        <v/>
      </c>
      <c r="N2889" s="14" t="str" ph="1">
        <f>IFERROR(INDEX([1]!_born[生没年],
MATCH(K2889,[1]!_born[作],0)),"")</f>
        <v/>
      </c>
      <c r="O2889" s="13" t="s" ph="1">
        <v>9286</v>
      </c>
      <c r="P2889" s="13" ph="1"/>
      <c r="Q2889" s="13" ph="1"/>
      <c r="R2889" s="16" t="s" ph="1">
        <v>1593</v>
      </c>
      <c r="S2889" s="13" t="s" ph="1">
        <v>9287</v>
      </c>
      <c r="T2889" s="13" t="s" ph="1">
        <v>3926</v>
      </c>
      <c r="U2889" s="16" t="s" ph="1">
        <v>9288</v>
      </c>
      <c r="V2889" s="17" ph="1">
        <v>400</v>
      </c>
      <c r="W2889" s="17" ph="1"/>
      <c r="X2889" s="13" ph="1"/>
      <c r="Y2889" s="13" ph="1"/>
    </row>
    <row r="2890" spans="1:25" s="19" customFormat="1" ht="22.5" customHeight="1" ph="1" x14ac:dyDescent="0.35">
      <c r="A2890" s="106" ph="1"/>
      <c r="B2890" s="5" ph="1"/>
      <c r="C2890" s="13" t="s" ph="1">
        <v>5828</v>
      </c>
      <c r="D2890" s="123" ph="1">
        <v>3</v>
      </c>
      <c r="E2890" s="123" ph="1">
        <v>3</v>
      </c>
      <c r="F2890" s="13" ph="1"/>
      <c r="G2890" s="13" t="s" ph="1">
        <v>1574</v>
      </c>
      <c r="H2890" s="13" t="s" ph="1">
        <v>2987</v>
      </c>
      <c r="I2890" s="13" t="s" ph="1">
        <v>6473</v>
      </c>
      <c r="J2890" s="13" ph="1"/>
      <c r="K2890" s="13" ph="1"/>
      <c r="L2890" s="13" ph="1"/>
      <c r="M2890" s="14" t="str" ph="1">
        <f>IFERROR(INDEX([1]!_born[生没年],
MATCH(I2890,[1]!_born[作],0)),"")</f>
        <v/>
      </c>
      <c r="N2890" s="14" t="str" ph="1">
        <f>IFERROR(INDEX([1]!_born[生没年],
MATCH(K2890,[1]!_born[作],0)),"")</f>
        <v/>
      </c>
      <c r="O2890" s="13" t="s" ph="1">
        <v>9289</v>
      </c>
      <c r="P2890" s="13" ph="1"/>
      <c r="Q2890" s="13" ph="1"/>
      <c r="R2890" s="16" t="s" ph="1">
        <v>1594</v>
      </c>
      <c r="S2890" s="13" t="s" ph="1">
        <v>9290</v>
      </c>
      <c r="T2890" s="13" t="s" ph="1">
        <v>3926</v>
      </c>
      <c r="U2890" s="16" t="s" ph="1">
        <v>9288</v>
      </c>
      <c r="V2890" s="17" ph="1">
        <v>400</v>
      </c>
      <c r="W2890" s="17" ph="1"/>
      <c r="X2890" s="13" ph="1"/>
      <c r="Y2890" s="13" ph="1"/>
    </row>
    <row r="2891" spans="1:25" s="19" customFormat="1" ht="22.5" customHeight="1" ph="1" x14ac:dyDescent="0.35">
      <c r="A2891" s="106" t="s" ph="1">
        <v>10259</v>
      </c>
      <c r="B2891" s="5" ph="1"/>
      <c r="C2891" s="13" t="s" ph="1">
        <v>5828</v>
      </c>
      <c r="D2891" s="123" ph="1">
        <v>10</v>
      </c>
      <c r="E2891" s="123" t="s" ph="1">
        <v>1225</v>
      </c>
      <c r="F2891" s="13" ph="1"/>
      <c r="G2891" s="13" t="s" ph="1">
        <v>699</v>
      </c>
      <c r="H2891" s="13" t="s" ph="1">
        <v>2987</v>
      </c>
      <c r="I2891" s="13" t="s" ph="1">
        <v>6473</v>
      </c>
      <c r="J2891" s="13" ph="1"/>
      <c r="K2891" s="13" ph="1"/>
      <c r="L2891" s="13" ph="1"/>
      <c r="M2891" s="14" t="str" ph="1">
        <f>IFERROR(INDEX([1]!_born[生没年],
MATCH(I2891,[1]!_born[作],0)),"")</f>
        <v/>
      </c>
      <c r="N2891" s="14" t="str" ph="1">
        <f>IFERROR(INDEX([1]!_born[生没年],
MATCH(K2891,[1]!_born[作],0)),"")</f>
        <v/>
      </c>
      <c r="O2891" s="13" t="s" ph="1">
        <v>9429</v>
      </c>
      <c r="P2891" s="13" ph="1"/>
      <c r="Q2891" s="13" ph="1"/>
      <c r="R2891" s="16" ph="1">
        <v>28291</v>
      </c>
      <c r="S2891" s="13" t="s" ph="1">
        <v>9292</v>
      </c>
      <c r="T2891" s="13" t="s" ph="1">
        <v>3926</v>
      </c>
      <c r="U2891" s="16" t="s" ph="1">
        <v>10253</v>
      </c>
      <c r="V2891" s="17" ph="1">
        <v>340</v>
      </c>
      <c r="W2891" s="17" t="s" ph="1">
        <v>1225</v>
      </c>
      <c r="X2891" s="13" t="s" ph="1">
        <v>10293</v>
      </c>
      <c r="Y2891" s="13" ph="1"/>
    </row>
    <row r="2892" spans="1:25" s="19" customFormat="1" ht="22.5" customHeight="1" ph="1" x14ac:dyDescent="0.35">
      <c r="A2892" s="106" t="s" ph="1">
        <v>1588</v>
      </c>
      <c r="B2892" s="5" t="s" ph="1">
        <v>1589</v>
      </c>
      <c r="C2892" s="13" t="s" ph="1">
        <v>5828</v>
      </c>
      <c r="D2892" s="123" ph="1">
        <v>1</v>
      </c>
      <c r="E2892" s="123" ph="1">
        <v>3</v>
      </c>
      <c r="F2892" s="13" ph="1"/>
      <c r="G2892" s="13" t="s" ph="1">
        <v>1574</v>
      </c>
      <c r="H2892" s="13" t="s" ph="1">
        <v>2987</v>
      </c>
      <c r="I2892" s="13" t="s" ph="1">
        <v>6473</v>
      </c>
      <c r="J2892" s="13" ph="1"/>
      <c r="K2892" s="13" ph="1"/>
      <c r="L2892" s="13" ph="1"/>
      <c r="M2892" s="14" t="str" ph="1">
        <f>IFERROR(INDEX([1]!_born[生没年],
MATCH(I2892,[1]!_born[作],0)),"")</f>
        <v/>
      </c>
      <c r="N2892" s="14" t="str" ph="1">
        <f>IFERROR(INDEX([1]!_born[生没年],
MATCH(K2892,[1]!_born[作],0)),"")</f>
        <v/>
      </c>
      <c r="O2892" s="13" t="s" ph="1">
        <v>9291</v>
      </c>
      <c r="P2892" s="13" ph="1"/>
      <c r="Q2892" s="13" ph="1"/>
      <c r="R2892" s="16" t="s" ph="1">
        <v>1590</v>
      </c>
      <c r="S2892" s="13" t="s" ph="1">
        <v>9292</v>
      </c>
      <c r="T2892" s="13" t="s" ph="1">
        <v>3926</v>
      </c>
      <c r="U2892" s="16" ph="1">
        <v>39239</v>
      </c>
      <c r="V2892" s="17" ph="1">
        <f>505*1.05</f>
        <v>530.25</v>
      </c>
      <c r="W2892" s="17" ph="1"/>
      <c r="X2892" s="13" t="s" ph="1">
        <v>5958</v>
      </c>
      <c r="Y2892" s="13" ph="1"/>
    </row>
    <row r="2893" spans="1:25" s="19" customFormat="1" ht="22.5" customHeight="1" ph="1" x14ac:dyDescent="0.35">
      <c r="A2893" s="106" t="s" ph="1">
        <v>1591</v>
      </c>
      <c r="B2893" s="5" t="s" ph="1">
        <v>1589</v>
      </c>
      <c r="C2893" s="13" t="s" ph="1">
        <v>5828</v>
      </c>
      <c r="D2893" s="123" ph="1">
        <v>2</v>
      </c>
      <c r="E2893" s="123" ph="1">
        <v>3</v>
      </c>
      <c r="F2893" s="13" ph="1"/>
      <c r="G2893" s="13" t="s" ph="1">
        <v>1574</v>
      </c>
      <c r="H2893" s="13" t="s" ph="1">
        <v>2987</v>
      </c>
      <c r="I2893" s="13" t="s" ph="1">
        <v>6473</v>
      </c>
      <c r="J2893" s="13" ph="1"/>
      <c r="K2893" s="13" ph="1"/>
      <c r="L2893" s="13" ph="1"/>
      <c r="M2893" s="14" t="str" ph="1">
        <f>IFERROR(INDEX([1]!_born[生没年],
MATCH(I2893,[1]!_born[作],0)),"")</f>
        <v/>
      </c>
      <c r="N2893" s="14" t="str" ph="1">
        <f>IFERROR(INDEX([1]!_born[生没年],
MATCH(K2893,[1]!_born[作],0)),"")</f>
        <v/>
      </c>
      <c r="O2893" s="13" t="s" ph="1">
        <v>9291</v>
      </c>
      <c r="P2893" s="13" ph="1"/>
      <c r="Q2893" s="13" ph="1"/>
      <c r="R2893" s="16" t="s" ph="1">
        <v>1590</v>
      </c>
      <c r="S2893" s="13" t="s" ph="1">
        <v>9292</v>
      </c>
      <c r="T2893" s="13" t="s" ph="1">
        <v>3926</v>
      </c>
      <c r="U2893" s="16" ph="1">
        <v>39239</v>
      </c>
      <c r="V2893" s="17" ph="1">
        <f>505*1.05</f>
        <v>530.25</v>
      </c>
      <c r="W2893" s="17" ph="1"/>
      <c r="X2893" s="13" t="s" ph="1">
        <v>5958</v>
      </c>
      <c r="Y2893" s="13" ph="1"/>
    </row>
    <row r="2894" spans="1:25" s="19" customFormat="1" ht="22.5" customHeight="1" ph="1" x14ac:dyDescent="0.35">
      <c r="A2894" s="106" t="s" ph="1">
        <v>1592</v>
      </c>
      <c r="B2894" s="5" t="s" ph="1">
        <v>1589</v>
      </c>
      <c r="C2894" s="13" t="s" ph="1">
        <v>5828</v>
      </c>
      <c r="D2894" s="123" ph="1">
        <v>3</v>
      </c>
      <c r="E2894" s="123" ph="1">
        <v>3</v>
      </c>
      <c r="F2894" s="13" ph="1"/>
      <c r="G2894" s="13" t="s" ph="1">
        <v>1574</v>
      </c>
      <c r="H2894" s="13" t="s" ph="1">
        <v>2987</v>
      </c>
      <c r="I2894" s="13" t="s" ph="1">
        <v>6473</v>
      </c>
      <c r="J2894" s="13" ph="1"/>
      <c r="K2894" s="13" ph="1"/>
      <c r="L2894" s="13" ph="1"/>
      <c r="M2894" s="14" t="str" ph="1">
        <f>IFERROR(INDEX([1]!_born[生没年],
MATCH(I2894,[1]!_born[作],0)),"")</f>
        <v/>
      </c>
      <c r="N2894" s="14" t="str" ph="1">
        <f>IFERROR(INDEX([1]!_born[生没年],
MATCH(K2894,[1]!_born[作],0)),"")</f>
        <v/>
      </c>
      <c r="O2894" s="13" t="s" ph="1">
        <v>9291</v>
      </c>
      <c r="P2894" s="13" ph="1"/>
      <c r="Q2894" s="13" ph="1"/>
      <c r="R2894" s="16" t="s" ph="1">
        <v>1590</v>
      </c>
      <c r="S2894" s="13" t="s" ph="1">
        <v>9292</v>
      </c>
      <c r="T2894" s="13" t="s" ph="1">
        <v>3926</v>
      </c>
      <c r="U2894" s="16" ph="1">
        <v>39239</v>
      </c>
      <c r="V2894" s="17" ph="1">
        <f>505*1.05</f>
        <v>530.25</v>
      </c>
      <c r="W2894" s="17" ph="1"/>
      <c r="X2894" s="13" t="s" ph="1">
        <v>5958</v>
      </c>
      <c r="Y2894" s="13" ph="1"/>
    </row>
    <row r="2895" spans="1:25" ht="22.5" customHeight="1" ph="1" x14ac:dyDescent="0.35">
      <c r="A2895" s="106" t="s" ph="1">
        <v>1595</v>
      </c>
      <c r="B2895" s="5" t="s" ph="1">
        <v>1596</v>
      </c>
      <c r="C2895" s="13" t="s" ph="1">
        <v>5828</v>
      </c>
      <c r="G2895" s="13" t="s" ph="1">
        <v>1574</v>
      </c>
      <c r="H2895" s="13" t="s" ph="1">
        <v>2987</v>
      </c>
      <c r="I2895" s="13" t="s" ph="1">
        <v>6473</v>
      </c>
      <c r="M2895" s="14" t="str" ph="1">
        <f>IFERROR(INDEX([1]!_born[生没年],
MATCH(I2895,[1]!_born[作],0)),"")</f>
        <v/>
      </c>
      <c r="N2895" s="14" t="str" ph="1">
        <f>IFERROR(INDEX([1]!_born[生没年],
MATCH(K2895,[1]!_born[作],0)),"")</f>
        <v/>
      </c>
      <c r="O2895" s="13" t="s" ph="1">
        <v>9293</v>
      </c>
      <c r="S2895" s="13" t="s" ph="1">
        <v>9294</v>
      </c>
      <c r="T2895" s="13" t="s" ph="1">
        <v>9295</v>
      </c>
      <c r="U2895" s="16" t="s" ph="1">
        <v>9288</v>
      </c>
      <c r="V2895" s="17" ph="1">
        <f>476*1.05</f>
        <v>499.8</v>
      </c>
      <c r="W2895" s="17" ph="1">
        <f>476*1.05</f>
        <v>499.8</v>
      </c>
    </row>
    <row r="2896" spans="1:25" s="19" customFormat="1" ht="22.5" customHeight="1" ph="1" x14ac:dyDescent="0.35">
      <c r="A2896" s="106" t="s" ph="1">
        <v>10260</v>
      </c>
      <c r="B2896" s="5" t="s" ph="1">
        <v>2433</v>
      </c>
      <c r="C2896" s="13" t="s" ph="1">
        <v>5828</v>
      </c>
      <c r="D2896" s="123" ph="1">
        <v>1</v>
      </c>
      <c r="E2896" s="123" ph="1">
        <v>5</v>
      </c>
      <c r="F2896" s="13" ph="1"/>
      <c r="G2896" s="13" t="s" ph="1">
        <v>699</v>
      </c>
      <c r="H2896" s="13" t="s" ph="1">
        <v>2987</v>
      </c>
      <c r="I2896" s="13" t="s" ph="1">
        <v>10310</v>
      </c>
      <c r="J2896" s="13" ph="1"/>
      <c r="K2896" s="13" ph="1"/>
      <c r="L2896" s="13" ph="1"/>
      <c r="M2896" s="14" t="str" ph="1">
        <f>IFERROR(INDEX([1]!_born[生没年],
MATCH(I2896,[1]!_born[作],0)),"")</f>
        <v/>
      </c>
      <c r="N2896" s="14" t="str" ph="1">
        <f>IFERROR(INDEX([1]!_born[生没年],
MATCH(K2896,[1]!_born[作],0)),"")</f>
        <v/>
      </c>
      <c r="O2896" s="13" t="s" ph="1">
        <v>10311</v>
      </c>
      <c r="P2896" s="13" ph="1"/>
      <c r="Q2896" s="13" ph="1"/>
      <c r="R2896" s="16" ph="1">
        <v>35621</v>
      </c>
      <c r="S2896" s="13" t="s" ph="1">
        <v>10312</v>
      </c>
      <c r="T2896" s="13" t="s" ph="1">
        <v>4110</v>
      </c>
      <c r="U2896" s="16" t="s" ph="1">
        <v>10253</v>
      </c>
      <c r="V2896" s="17" t="s" ph="1">
        <v>10313</v>
      </c>
      <c r="W2896" s="17" t="s" ph="1">
        <v>1225</v>
      </c>
      <c r="X2896" s="13" t="s" ph="1">
        <v>10293</v>
      </c>
      <c r="Y2896" s="13" ph="1"/>
    </row>
    <row r="2897" spans="1:25" s="19" customFormat="1" ht="22.5" customHeight="1" ph="1" x14ac:dyDescent="0.35">
      <c r="A2897" s="106" ph="1"/>
      <c r="B2897" s="5" ph="1"/>
      <c r="C2897" s="13" t="s" ph="1">
        <v>5828</v>
      </c>
      <c r="D2897" s="123" ph="1"/>
      <c r="E2897" s="123" ph="1"/>
      <c r="F2897" s="13" ph="1"/>
      <c r="G2897" s="13" t="s" ph="1">
        <v>699</v>
      </c>
      <c r="H2897" s="13" t="s" ph="1">
        <v>2987</v>
      </c>
      <c r="I2897" s="13" t="s" ph="1">
        <v>10314</v>
      </c>
      <c r="J2897" s="13" ph="1"/>
      <c r="K2897" s="13" ph="1"/>
      <c r="L2897" s="13" ph="1"/>
      <c r="M2897" s="14" t="str" ph="1">
        <f>IFERROR(INDEX([1]!_born[生没年],
MATCH(I2897,[1]!_born[作],0)),"")</f>
        <v/>
      </c>
      <c r="N2897" s="14" t="str" ph="1">
        <f>IFERROR(INDEX([1]!_born[生没年],
MATCH(K2897,[1]!_born[作],0)),"")</f>
        <v/>
      </c>
      <c r="O2897" s="13" t="s" ph="1">
        <v>10315</v>
      </c>
      <c r="P2897" s="13" ph="1"/>
      <c r="Q2897" s="13" ph="1"/>
      <c r="R2897" s="16" ph="1">
        <v>29545</v>
      </c>
      <c r="S2897" s="13" ph="1"/>
      <c r="T2897" s="13" t="s" ph="1">
        <v>10316</v>
      </c>
      <c r="U2897" s="16" t="s" ph="1">
        <v>10253</v>
      </c>
      <c r="V2897" s="17" ph="1">
        <v>650</v>
      </c>
      <c r="W2897" s="17" t="s" ph="1">
        <v>1225</v>
      </c>
      <c r="X2897" s="13" t="s" ph="1">
        <v>10293</v>
      </c>
      <c r="Y2897" s="13" ph="1"/>
    </row>
    <row r="2898" spans="1:25" s="19" customFormat="1" ht="22.5" customHeight="1" ph="1" x14ac:dyDescent="0.35">
      <c r="A2898" s="107" ph="1"/>
      <c r="B2898" s="18" ph="1"/>
      <c r="C2898" s="19" t="s" ph="1">
        <v>7451</v>
      </c>
      <c r="D2898" s="124" ph="1">
        <v>1</v>
      </c>
      <c r="E2898" s="124" ph="1">
        <v>2</v>
      </c>
      <c r="G2898" s="19" t="s" ph="1">
        <v>1574</v>
      </c>
      <c r="H2898" s="19" t="s" ph="1">
        <v>2987</v>
      </c>
      <c r="I2898" s="19" t="s" ph="1">
        <v>9296</v>
      </c>
      <c r="M2898" s="27" t="str" ph="1">
        <f>IFERROR(INDEX([1]!_born[生没年],
MATCH(I2898,[1]!_born[作],0)),"")</f>
        <v/>
      </c>
      <c r="N2898" s="27" t="str" ph="1">
        <f>IFERROR(INDEX([1]!_born[生没年],
MATCH(K2898,[1]!_born[作],0)),"")</f>
        <v/>
      </c>
      <c r="O2898" s="23" t="s" ph="1">
        <v>9297</v>
      </c>
      <c r="R2898" s="20" ph="1"/>
      <c r="S2898" s="19" t="s" ph="1">
        <v>4617</v>
      </c>
      <c r="U2898" s="20" t="s" ph="1">
        <v>1612</v>
      </c>
      <c r="V2898" s="21" ph="1"/>
      <c r="W2898" s="21" ph="1"/>
    </row>
    <row r="2899" spans="1:25" s="19" customFormat="1" ht="22.5" customHeight="1" ph="1" x14ac:dyDescent="0.35">
      <c r="A2899" s="107" ph="1"/>
      <c r="B2899" s="18" ph="1"/>
      <c r="C2899" s="19" t="s" ph="1">
        <v>7451</v>
      </c>
      <c r="D2899" s="124" ph="1">
        <v>2</v>
      </c>
      <c r="E2899" s="124" ph="1">
        <v>2</v>
      </c>
      <c r="G2899" s="19" t="s" ph="1">
        <v>1574</v>
      </c>
      <c r="H2899" s="19" t="s" ph="1">
        <v>2987</v>
      </c>
      <c r="I2899" s="19" t="s" ph="1">
        <v>9296</v>
      </c>
      <c r="M2899" s="27" t="str" ph="1">
        <f>IFERROR(INDEX([1]!_born[生没年],
MATCH(I2899,[1]!_born[作],0)),"")</f>
        <v/>
      </c>
      <c r="N2899" s="27" t="str" ph="1">
        <f>IFERROR(INDEX([1]!_born[生没年],
MATCH(K2899,[1]!_born[作],0)),"")</f>
        <v/>
      </c>
      <c r="O2899" s="23" t="s" ph="1">
        <v>9297</v>
      </c>
      <c r="R2899" s="20" ph="1"/>
      <c r="S2899" s="19" t="s" ph="1">
        <v>4617</v>
      </c>
      <c r="U2899" s="20" t="s" ph="1">
        <v>1612</v>
      </c>
      <c r="V2899" s="21" ph="1"/>
      <c r="W2899" s="21" ph="1"/>
    </row>
    <row r="2900" spans="1:25" s="19" customFormat="1" ht="22.5" customHeight="1" ph="1" x14ac:dyDescent="0.35">
      <c r="A2900" s="107" ph="1"/>
      <c r="B2900" s="18" ph="1"/>
      <c r="C2900" s="19" t="s" ph="1">
        <v>7451</v>
      </c>
      <c r="D2900" s="124" ph="1">
        <v>1</v>
      </c>
      <c r="E2900" s="124" t="s" ph="1">
        <v>3145</v>
      </c>
      <c r="G2900" s="19" t="s" ph="1">
        <v>1574</v>
      </c>
      <c r="H2900" s="19" t="s" ph="1">
        <v>2987</v>
      </c>
      <c r="I2900" s="19" t="s" ph="1">
        <v>9296</v>
      </c>
      <c r="M2900" s="27" t="str" ph="1">
        <f>IFERROR(INDEX([1]!_born[生没年],
MATCH(I2900,[1]!_born[作],0)),"")</f>
        <v/>
      </c>
      <c r="N2900" s="27" t="str" ph="1">
        <f>IFERROR(INDEX([1]!_born[生没年],
MATCH(K2900,[1]!_born[作],0)),"")</f>
        <v/>
      </c>
      <c r="O2900" s="19" t="s" ph="1">
        <v>9298</v>
      </c>
      <c r="R2900" s="20" ph="1"/>
      <c r="S2900" s="19" t="s" ph="1">
        <v>4617</v>
      </c>
      <c r="T2900" s="19" t="s" ph="1">
        <v>9299</v>
      </c>
      <c r="U2900" s="20" t="s" ph="1">
        <v>1612</v>
      </c>
      <c r="V2900" s="21" ph="1">
        <v>500</v>
      </c>
      <c r="W2900" s="21" ph="1">
        <v>200</v>
      </c>
    </row>
    <row r="2901" spans="1:25" ht="22.5" customHeight="1" ph="1" x14ac:dyDescent="0.35">
      <c r="C2901" s="13" t="s" ph="1">
        <v>5828</v>
      </c>
      <c r="D2901" s="123" ph="1">
        <v>1</v>
      </c>
      <c r="E2901" s="123" ph="1">
        <v>4</v>
      </c>
      <c r="G2901" s="13" t="s" ph="1">
        <v>1574</v>
      </c>
      <c r="H2901" s="13" t="s" ph="1">
        <v>2987</v>
      </c>
      <c r="I2901" s="13" t="s" ph="1">
        <v>9300</v>
      </c>
      <c r="M2901" s="14" t="str" ph="1">
        <f>IFERROR(INDEX([1]!_born[生没年],
MATCH(I2901,[1]!_born[作],0)),"")</f>
        <v/>
      </c>
      <c r="N2901" s="14" t="str" ph="1">
        <f>IFERROR(INDEX([1]!_born[生没年],
MATCH(K2901,[1]!_born[作],0)),"")</f>
        <v/>
      </c>
      <c r="O2901" s="15" t="s" ph="1">
        <v>9301</v>
      </c>
      <c r="U2901" s="16" t="s" ph="1">
        <v>1612</v>
      </c>
    </row>
    <row r="2902" spans="1:25" ht="22.5" customHeight="1" ph="1" x14ac:dyDescent="0.35">
      <c r="C2902" s="13" t="s" ph="1">
        <v>5828</v>
      </c>
      <c r="D2902" s="123" ph="1">
        <v>2</v>
      </c>
      <c r="E2902" s="123" ph="1">
        <v>4</v>
      </c>
      <c r="G2902" s="13" t="s" ph="1">
        <v>1574</v>
      </c>
      <c r="H2902" s="13" t="s" ph="1">
        <v>2987</v>
      </c>
      <c r="I2902" s="13" t="s" ph="1">
        <v>9300</v>
      </c>
      <c r="M2902" s="14" t="str" ph="1">
        <f>IFERROR(INDEX([1]!_born[生没年],
MATCH(I2902,[1]!_born[作],0)),"")</f>
        <v/>
      </c>
      <c r="N2902" s="14" t="str" ph="1">
        <f>IFERROR(INDEX([1]!_born[生没年],
MATCH(K2902,[1]!_born[作],0)),"")</f>
        <v/>
      </c>
      <c r="O2902" s="15" t="s" ph="1">
        <v>9301</v>
      </c>
      <c r="U2902" s="16" t="s" ph="1">
        <v>1612</v>
      </c>
    </row>
    <row r="2903" spans="1:25" ht="22.5" customHeight="1" ph="1" x14ac:dyDescent="0.35">
      <c r="C2903" s="13" t="s" ph="1">
        <v>5828</v>
      </c>
      <c r="D2903" s="123" ph="1">
        <v>3</v>
      </c>
      <c r="E2903" s="123" ph="1">
        <v>4</v>
      </c>
      <c r="G2903" s="13" t="s" ph="1">
        <v>1574</v>
      </c>
      <c r="H2903" s="13" t="s" ph="1">
        <v>2987</v>
      </c>
      <c r="I2903" s="13" t="s" ph="1">
        <v>9300</v>
      </c>
      <c r="M2903" s="14" t="str" ph="1">
        <f>IFERROR(INDEX([1]!_born[生没年],
MATCH(I2903,[1]!_born[作],0)),"")</f>
        <v/>
      </c>
      <c r="N2903" s="14" t="str" ph="1">
        <f>IFERROR(INDEX([1]!_born[生没年],
MATCH(K2903,[1]!_born[作],0)),"")</f>
        <v/>
      </c>
      <c r="O2903" s="15" t="s" ph="1">
        <v>9301</v>
      </c>
      <c r="U2903" s="16" t="s" ph="1">
        <v>1612</v>
      </c>
    </row>
    <row r="2904" spans="1:25" ht="22.5" customHeight="1" ph="1" x14ac:dyDescent="0.35">
      <c r="C2904" s="13" t="s" ph="1">
        <v>5828</v>
      </c>
      <c r="D2904" s="123" ph="1">
        <v>4</v>
      </c>
      <c r="E2904" s="123" ph="1">
        <v>4</v>
      </c>
      <c r="G2904" s="13" t="s" ph="1">
        <v>1574</v>
      </c>
      <c r="H2904" s="13" t="s" ph="1">
        <v>2987</v>
      </c>
      <c r="I2904" s="13" t="s" ph="1">
        <v>9300</v>
      </c>
      <c r="M2904" s="14" t="str" ph="1">
        <f>IFERROR(INDEX([1]!_born[生没年],
MATCH(I2904,[1]!_born[作],0)),"")</f>
        <v/>
      </c>
      <c r="N2904" s="14" t="str" ph="1">
        <f>IFERROR(INDEX([1]!_born[生没年],
MATCH(K2904,[1]!_born[作],0)),"")</f>
        <v/>
      </c>
      <c r="O2904" s="15" t="s" ph="1">
        <v>9301</v>
      </c>
      <c r="U2904" s="16" t="s" ph="1">
        <v>1612</v>
      </c>
    </row>
    <row r="2905" spans="1:25" ht="22.5" customHeight="1" ph="1" x14ac:dyDescent="0.35">
      <c r="C2905" s="13" t="s" ph="1">
        <v>5828</v>
      </c>
      <c r="D2905" s="123" ph="1">
        <v>2</v>
      </c>
      <c r="E2905" s="123" t="s" ph="1">
        <v>3145</v>
      </c>
      <c r="G2905" s="13" t="s" ph="1">
        <v>1574</v>
      </c>
      <c r="H2905" s="13" t="s" ph="1">
        <v>2987</v>
      </c>
      <c r="I2905" s="13" t="s" ph="1">
        <v>9300</v>
      </c>
      <c r="M2905" s="14" t="str" ph="1">
        <f>IFERROR(INDEX([1]!_born[生没年],
MATCH(I2905,[1]!_born[作],0)),"")</f>
        <v/>
      </c>
      <c r="N2905" s="14" t="str" ph="1">
        <f>IFERROR(INDEX([1]!_born[生没年],
MATCH(K2905,[1]!_born[作],0)),"")</f>
        <v/>
      </c>
      <c r="O2905" s="13" t="s" ph="1">
        <v>9302</v>
      </c>
      <c r="S2905" s="13" t="s" ph="1">
        <v>8779</v>
      </c>
      <c r="T2905" s="13" t="s" ph="1">
        <v>9303</v>
      </c>
      <c r="U2905" s="16" t="s" ph="1">
        <v>1612</v>
      </c>
      <c r="V2905" s="17" ph="1">
        <v>500</v>
      </c>
      <c r="W2905" s="17" ph="1">
        <v>200</v>
      </c>
    </row>
    <row r="2906" spans="1:25" ht="22.5" customHeight="1" ph="1" x14ac:dyDescent="0.35">
      <c r="A2906" s="106" t="s" ph="1">
        <v>2819</v>
      </c>
      <c r="B2906" s="5" t="s" ph="1">
        <v>1741</v>
      </c>
      <c r="C2906" s="13" t="s" ph="1">
        <v>5828</v>
      </c>
      <c r="D2906" s="123" ph="1">
        <v>1</v>
      </c>
      <c r="E2906" s="123" t="s" ph="1">
        <v>3145</v>
      </c>
      <c r="G2906" s="13" t="s" ph="1">
        <v>699</v>
      </c>
      <c r="H2906" s="13" t="s" ph="1">
        <v>2987</v>
      </c>
      <c r="I2906" s="13" t="s" ph="1">
        <v>9304</v>
      </c>
      <c r="M2906" s="14" t="str" ph="1">
        <f>IFERROR(INDEX([1]!_born[生没年],
MATCH(I2906,[1]!_born[作],0)),"")</f>
        <v/>
      </c>
      <c r="N2906" s="14" t="str" ph="1">
        <f>IFERROR(INDEX([1]!_born[生没年],
MATCH(K2906,[1]!_born[作],0)),"")</f>
        <v/>
      </c>
      <c r="O2906" s="13" t="s" ph="1">
        <v>9305</v>
      </c>
      <c r="R2906" s="16" ph="1">
        <v>34815</v>
      </c>
      <c r="T2906" s="13" t="s" ph="1">
        <v>2820</v>
      </c>
      <c r="U2906" s="16" t="s" ph="1">
        <v>2821</v>
      </c>
      <c r="V2906" s="17" ph="1">
        <f t="shared" ref="V2906:V2911" si="22">854*1.03</f>
        <v>879.62</v>
      </c>
      <c r="W2906" s="17" ph="1">
        <f>108-22</f>
        <v>86</v>
      </c>
      <c r="X2906" s="13" t="s" ph="1">
        <v>2823</v>
      </c>
      <c r="Y2906" s="13" t="s" ph="1">
        <v>9246</v>
      </c>
    </row>
    <row r="2907" spans="1:25" ht="22.5" customHeight="1" ph="1" x14ac:dyDescent="0.35">
      <c r="A2907" s="106" t="s" ph="1">
        <v>2822</v>
      </c>
      <c r="B2907" s="5" t="s" ph="1">
        <v>1741</v>
      </c>
      <c r="C2907" s="13" t="s" ph="1">
        <v>5828</v>
      </c>
      <c r="D2907" s="123" ph="1">
        <v>2</v>
      </c>
      <c r="E2907" s="123" t="s" ph="1">
        <v>3145</v>
      </c>
      <c r="G2907" s="13" t="s" ph="1">
        <v>699</v>
      </c>
      <c r="H2907" s="13" t="s" ph="1">
        <v>2987</v>
      </c>
      <c r="I2907" s="13" t="s" ph="1">
        <v>9304</v>
      </c>
      <c r="M2907" s="14" t="str" ph="1">
        <f>IFERROR(INDEX([1]!_born[生没年],
MATCH(I2907,[1]!_born[作],0)),"")</f>
        <v/>
      </c>
      <c r="N2907" s="14" t="str" ph="1">
        <f>IFERROR(INDEX([1]!_born[生没年],
MATCH(K2907,[1]!_born[作],0)),"")</f>
        <v/>
      </c>
      <c r="O2907" s="13" t="s" ph="1">
        <v>9305</v>
      </c>
      <c r="R2907" s="16" ph="1">
        <v>35205</v>
      </c>
      <c r="T2907" s="13" t="s" ph="1">
        <v>2820</v>
      </c>
      <c r="U2907" s="16" t="s" ph="1">
        <v>2821</v>
      </c>
      <c r="V2907" s="17" ph="1">
        <f t="shared" si="22"/>
        <v>879.62</v>
      </c>
      <c r="W2907" s="17" ph="1">
        <f>108-22</f>
        <v>86</v>
      </c>
      <c r="X2907" s="13" t="s" ph="1">
        <v>1692</v>
      </c>
      <c r="Y2907" s="13" t="s" ph="1">
        <v>9246</v>
      </c>
    </row>
    <row r="2908" spans="1:25" ht="22.5" customHeight="1" ph="1" x14ac:dyDescent="0.35">
      <c r="A2908" s="106" t="s" ph="1">
        <v>3043</v>
      </c>
      <c r="B2908" s="5" t="s" ph="1">
        <v>1741</v>
      </c>
      <c r="C2908" s="13" t="s" ph="1">
        <v>5828</v>
      </c>
      <c r="D2908" s="123" ph="1">
        <v>4</v>
      </c>
      <c r="E2908" s="123" t="s" ph="1">
        <v>3145</v>
      </c>
      <c r="G2908" s="13" t="s" ph="1">
        <v>699</v>
      </c>
      <c r="H2908" s="13" t="s" ph="1">
        <v>2987</v>
      </c>
      <c r="I2908" s="13" t="s" ph="1">
        <v>9304</v>
      </c>
      <c r="M2908" s="14" t="str" ph="1">
        <f>IFERROR(INDEX([1]!_born[生没年],
MATCH(I2908,[1]!_born[作],0)),"")</f>
        <v/>
      </c>
      <c r="N2908" s="14" t="str" ph="1">
        <f>IFERROR(INDEX([1]!_born[生没年],
MATCH(K2908,[1]!_born[作],0)),"")</f>
        <v/>
      </c>
      <c r="O2908" s="13" t="s" ph="1">
        <v>9305</v>
      </c>
      <c r="R2908" s="16" ph="1">
        <v>35961</v>
      </c>
      <c r="T2908" s="13" t="s" ph="1">
        <v>2820</v>
      </c>
      <c r="U2908" s="16" t="s" ph="1">
        <v>3042</v>
      </c>
      <c r="V2908" s="17" ph="1">
        <f t="shared" si="22"/>
        <v>879.62</v>
      </c>
      <c r="W2908" s="17" ph="1">
        <v>110</v>
      </c>
      <c r="X2908" s="13" t="s" ph="1">
        <v>1692</v>
      </c>
      <c r="Y2908" s="13" t="s" ph="1">
        <v>9246</v>
      </c>
    </row>
    <row r="2909" spans="1:25" ht="22.5" customHeight="1" ph="1" x14ac:dyDescent="0.35">
      <c r="A2909" s="106" t="s" ph="1">
        <v>3044</v>
      </c>
      <c r="B2909" s="5" t="s" ph="1">
        <v>1741</v>
      </c>
      <c r="C2909" s="13" t="s" ph="1">
        <v>5828</v>
      </c>
      <c r="D2909" s="123" ph="1">
        <v>5</v>
      </c>
      <c r="E2909" s="123" t="s" ph="1">
        <v>3145</v>
      </c>
      <c r="G2909" s="13" t="s" ph="1">
        <v>699</v>
      </c>
      <c r="H2909" s="13" t="s" ph="1">
        <v>2987</v>
      </c>
      <c r="I2909" s="13" t="s" ph="1">
        <v>9304</v>
      </c>
      <c r="J2909" s="13" t="s" ph="1">
        <v>9306</v>
      </c>
      <c r="M2909" s="14" t="str" ph="1">
        <f>IFERROR(INDEX([1]!_born[生没年],
MATCH(I2909,[1]!_born[作],0)),"")</f>
        <v/>
      </c>
      <c r="N2909" s="14" t="str" ph="1">
        <f>IFERROR(INDEX([1]!_born[生没年],
MATCH(K2909,[1]!_born[作],0)),"")</f>
        <v/>
      </c>
      <c r="O2909" s="13" t="s" ph="1">
        <v>9305</v>
      </c>
      <c r="R2909" s="16" ph="1">
        <v>36397</v>
      </c>
      <c r="T2909" s="13" t="s" ph="1">
        <v>2820</v>
      </c>
      <c r="U2909" s="16" t="s" ph="1">
        <v>3042</v>
      </c>
      <c r="V2909" s="17" ph="1">
        <f t="shared" si="22"/>
        <v>879.62</v>
      </c>
      <c r="W2909" s="17" ph="1">
        <v>110</v>
      </c>
      <c r="X2909" s="13" t="s" ph="1">
        <v>1692</v>
      </c>
      <c r="Y2909" s="13" t="s" ph="1">
        <v>9246</v>
      </c>
    </row>
    <row r="2910" spans="1:25" ht="22.5" customHeight="1" ph="1" x14ac:dyDescent="0.35">
      <c r="A2910" s="106" t="s" ph="1">
        <v>2843</v>
      </c>
      <c r="B2910" s="5" t="s" ph="1">
        <v>1741</v>
      </c>
      <c r="C2910" s="13" t="s" ph="1">
        <v>5828</v>
      </c>
      <c r="D2910" s="123" ph="1">
        <v>6</v>
      </c>
      <c r="E2910" s="123" t="s" ph="1">
        <v>3145</v>
      </c>
      <c r="G2910" s="13" t="s" ph="1">
        <v>699</v>
      </c>
      <c r="H2910" s="13" t="s" ph="1">
        <v>2987</v>
      </c>
      <c r="I2910" s="13" t="s" ph="1">
        <v>9304</v>
      </c>
      <c r="M2910" s="14" t="str" ph="1">
        <f>IFERROR(INDEX([1]!_born[生没年],
MATCH(I2910,[1]!_born[作],0)),"")</f>
        <v/>
      </c>
      <c r="N2910" s="14" t="str" ph="1">
        <f>IFERROR(INDEX([1]!_born[生没年],
MATCH(K2910,[1]!_born[作],0)),"")</f>
        <v/>
      </c>
      <c r="O2910" s="13" t="s" ph="1">
        <v>9305</v>
      </c>
      <c r="R2910" s="16" ph="1">
        <v>37540</v>
      </c>
      <c r="T2910" s="13" t="s" ph="1">
        <v>2820</v>
      </c>
      <c r="U2910" s="16" t="s" ph="1">
        <v>2841</v>
      </c>
      <c r="V2910" s="17" ph="1">
        <f t="shared" si="22"/>
        <v>879.62</v>
      </c>
      <c r="W2910" s="17" ph="1">
        <v>108</v>
      </c>
      <c r="X2910" s="13" t="s" ph="1">
        <v>1692</v>
      </c>
      <c r="Y2910" s="13" t="s" ph="1">
        <v>9246</v>
      </c>
    </row>
    <row r="2911" spans="1:25" ht="22.5" customHeight="1" ph="1" x14ac:dyDescent="0.35">
      <c r="A2911" s="106" t="s" ph="1">
        <v>2842</v>
      </c>
      <c r="B2911" s="5" t="s" ph="1">
        <v>1741</v>
      </c>
      <c r="C2911" s="13" t="s" ph="1">
        <v>5828</v>
      </c>
      <c r="D2911" s="123" ph="1">
        <v>12</v>
      </c>
      <c r="E2911" s="123" t="s" ph="1">
        <v>3145</v>
      </c>
      <c r="G2911" s="13" t="s" ph="1">
        <v>699</v>
      </c>
      <c r="H2911" s="13" t="s" ph="1">
        <v>2987</v>
      </c>
      <c r="I2911" s="13" t="s" ph="1">
        <v>9304</v>
      </c>
      <c r="M2911" s="14" t="str" ph="1">
        <f>IFERROR(INDEX([1]!_born[生没年],
MATCH(I2911,[1]!_born[作],0)),"")</f>
        <v/>
      </c>
      <c r="N2911" s="14" t="str" ph="1">
        <f>IFERROR(INDEX([1]!_born[生没年],
MATCH(K2911,[1]!_born[作],0)),"")</f>
        <v/>
      </c>
      <c r="O2911" s="13" t="s" ph="1">
        <v>9305</v>
      </c>
      <c r="R2911" s="16" ph="1">
        <v>39026</v>
      </c>
      <c r="T2911" s="13" t="s" ph="1">
        <v>2820</v>
      </c>
      <c r="U2911" s="16" t="s" ph="1">
        <v>2841</v>
      </c>
      <c r="V2911" s="17" ph="1">
        <f t="shared" si="22"/>
        <v>879.62</v>
      </c>
      <c r="W2911" s="17" ph="1">
        <v>108</v>
      </c>
      <c r="X2911" s="13" t="s" ph="1">
        <v>2823</v>
      </c>
      <c r="Y2911" s="13" t="s" ph="1">
        <v>9246</v>
      </c>
    </row>
    <row r="2912" spans="1:25" ht="22.5" customHeight="1" ph="1" x14ac:dyDescent="0.35">
      <c r="C2912" s="13" t="s" ph="1">
        <v>4106</v>
      </c>
      <c r="G2912" s="13" t="s" ph="1">
        <v>1574</v>
      </c>
      <c r="H2912" s="13" t="s" ph="1">
        <v>2987</v>
      </c>
      <c r="I2912" s="13" t="s" ph="1">
        <v>9195</v>
      </c>
      <c r="J2912" s="13" t="s" ph="1">
        <v>9196</v>
      </c>
      <c r="M2912" s="14" t="str" ph="1">
        <f>IFERROR(INDEX([1]!_born[生没年],
MATCH(I2912,[1]!_born[作],0)),"")</f>
        <v/>
      </c>
      <c r="N2912" s="14" t="str" ph="1">
        <f>IFERROR(INDEX([1]!_born[生没年],
MATCH(K2912,[1]!_born[作],0)),"")</f>
        <v/>
      </c>
      <c r="O2912" s="13" t="s" ph="1">
        <v>9307</v>
      </c>
      <c r="R2912" s="16" ph="1">
        <v>35612</v>
      </c>
      <c r="S2912" s="13" t="s" ph="1">
        <v>9308</v>
      </c>
      <c r="T2912" s="13" t="s" ph="1">
        <v>3988</v>
      </c>
      <c r="U2912" s="16" ph="1">
        <v>39843</v>
      </c>
      <c r="W2912" s="17" ph="1">
        <v>0</v>
      </c>
      <c r="X2912" s="13" t="s" ph="1">
        <v>9201</v>
      </c>
    </row>
    <row r="2913" spans="1:25" ht="22.5" customHeight="1" ph="1" x14ac:dyDescent="0.35">
      <c r="B2913" s="5" t="s" ph="1">
        <v>1613</v>
      </c>
      <c r="C2913" s="13" t="s" ph="1">
        <v>5828</v>
      </c>
      <c r="G2913" s="13" t="s" ph="1">
        <v>1574</v>
      </c>
      <c r="H2913" s="13" t="s" ph="1">
        <v>2987</v>
      </c>
      <c r="I2913" s="13" t="s" ph="1">
        <v>9309</v>
      </c>
      <c r="M2913" s="14" t="str" ph="1">
        <f>IFERROR(INDEX([1]!_born[生没年],
MATCH(I2913,[1]!_born[作],0)),"")</f>
        <v/>
      </c>
      <c r="N2913" s="14" t="str" ph="1">
        <f>IFERROR(INDEX([1]!_born[生没年],
MATCH(K2913,[1]!_born[作],0)),"")</f>
        <v/>
      </c>
      <c r="O2913" s="13" t="s" ph="1">
        <v>9310</v>
      </c>
      <c r="R2913" s="16" t="s" ph="1">
        <v>1614</v>
      </c>
      <c r="S2913" s="13" t="s" ph="1">
        <v>9232</v>
      </c>
      <c r="T2913" s="13" t="s" ph="1">
        <v>9233</v>
      </c>
      <c r="U2913" s="16" t="s" ph="1">
        <v>1571</v>
      </c>
      <c r="V2913" s="17" ph="1">
        <v>360</v>
      </c>
      <c r="W2913" s="17" ph="1">
        <v>0</v>
      </c>
      <c r="X2913" s="13" t="s" ph="1">
        <v>9070</v>
      </c>
      <c r="Y2913" s="13" t="s" ph="1">
        <v>9234</v>
      </c>
    </row>
    <row r="2914" spans="1:25" s="7" customFormat="1" ht="22.5" customHeight="1" ph="1" x14ac:dyDescent="0.35">
      <c r="A2914" s="106" ph="1"/>
      <c r="B2914" s="5" ph="1"/>
      <c r="C2914" s="9" t="s" ph="1">
        <v>7591</v>
      </c>
      <c r="D2914" s="122" ph="1"/>
      <c r="E2914" s="122" ph="1"/>
      <c r="G2914" s="8" t="s" ph="1">
        <v>1574</v>
      </c>
      <c r="H2914" s="9" ph="1"/>
      <c r="M2914" s="7" t="str" ph="1">
        <f>IFERROR(INDEX([1]!_born[生没年],
MATCH(I2914,[1]!_born[作],0)),"")</f>
        <v/>
      </c>
      <c r="N2914" s="7" t="str" ph="1">
        <f>IFERROR(INDEX([1]!_born[生没年],
MATCH(K2914,[1]!_born[作],0)),"")</f>
        <v/>
      </c>
      <c r="R2914" s="10" ph="1"/>
      <c r="U2914" s="10" ph="1"/>
      <c r="V2914" s="11" ph="1"/>
      <c r="W2914" s="11" ph="1"/>
    </row>
    <row r="2915" spans="1:25" ht="22.5" customHeight="1" ph="1" x14ac:dyDescent="0.35">
      <c r="A2915" s="106" t="s" ph="1">
        <v>1637</v>
      </c>
      <c r="B2915" s="5" t="s" ph="1">
        <v>1622</v>
      </c>
      <c r="C2915" s="13" t="s" ph="1">
        <v>7591</v>
      </c>
      <c r="G2915" s="13" t="s" ph="1">
        <v>1574</v>
      </c>
      <c r="H2915" s="13" t="s" ph="1">
        <v>1616</v>
      </c>
      <c r="I2915" s="13" t="s" ph="1">
        <v>9311</v>
      </c>
      <c r="M2915" s="14" t="str" ph="1">
        <f>IFERROR(INDEX([1]!_born[生没年],
MATCH(I2915,[1]!_born[作],0)),"")</f>
        <v/>
      </c>
      <c r="N2915" s="14" t="str" ph="1">
        <f>IFERROR(INDEX([1]!_born[生没年],
MATCH(K2915,[1]!_born[作],0)),"")</f>
        <v/>
      </c>
      <c r="O2915" s="13" t="s" ph="1">
        <v>9312</v>
      </c>
      <c r="R2915" s="16" t="s" ph="1">
        <v>1638</v>
      </c>
      <c r="S2915" s="13" t="s" ph="1">
        <v>9313</v>
      </c>
      <c r="T2915" s="13" t="s" ph="1">
        <v>7730</v>
      </c>
      <c r="U2915" s="16" ph="1">
        <v>39239</v>
      </c>
      <c r="V2915" s="17" ph="1">
        <f>780*1.05</f>
        <v>819</v>
      </c>
      <c r="W2915" s="17" ph="1">
        <f>780*1.05</f>
        <v>819</v>
      </c>
      <c r="X2915" s="13" t="s" ph="1">
        <v>3802</v>
      </c>
    </row>
    <row r="2916" spans="1:25" ht="22.5" customHeight="1" ph="1" x14ac:dyDescent="0.35">
      <c r="A2916" s="106" t="s" ph="1">
        <v>1693</v>
      </c>
      <c r="B2916" s="5" t="s" ph="1">
        <v>1618</v>
      </c>
      <c r="C2916" s="13" t="s" ph="1">
        <v>7591</v>
      </c>
      <c r="G2916" s="13" t="s" ph="1">
        <v>1574</v>
      </c>
      <c r="H2916" s="13" t="s" ph="1">
        <v>61</v>
      </c>
      <c r="I2916" s="13" t="s" ph="1">
        <v>9314</v>
      </c>
      <c r="M2916" s="14" t="str" ph="1">
        <f>IFERROR(INDEX([1]!_born[生没年],
MATCH(I2916,[1]!_born[作],0)),"")</f>
        <v/>
      </c>
      <c r="N2916" s="14" t="str" ph="1">
        <f>IFERROR(INDEX([1]!_born[生没年],
MATCH(K2916,[1]!_born[作],0)),"")</f>
        <v/>
      </c>
      <c r="O2916" s="13" t="s" ph="1">
        <v>9315</v>
      </c>
      <c r="S2916" s="13" t="s" ph="1">
        <v>9316</v>
      </c>
      <c r="T2916" s="13" t="s" ph="1">
        <v>9317</v>
      </c>
      <c r="U2916" s="16" ph="1">
        <v>36982</v>
      </c>
      <c r="V2916" s="17" ph="1">
        <f>590*1.05</f>
        <v>619.5</v>
      </c>
      <c r="X2916" s="13" t="s" ph="1">
        <v>3802</v>
      </c>
    </row>
    <row r="2917" spans="1:25" ht="22.5" customHeight="1" ph="1" x14ac:dyDescent="0.35">
      <c r="A2917" s="106" t="s" ph="1">
        <v>1709</v>
      </c>
      <c r="B2917" s="5" t="s" ph="1">
        <v>1618</v>
      </c>
      <c r="C2917" s="13" t="s" ph="1">
        <v>7591</v>
      </c>
      <c r="D2917" s="123" ph="1">
        <v>1</v>
      </c>
      <c r="E2917" s="123" ph="1">
        <v>3</v>
      </c>
      <c r="G2917" s="13" t="s" ph="1">
        <v>1574</v>
      </c>
      <c r="H2917" s="13" t="s" ph="1">
        <v>61</v>
      </c>
      <c r="I2917" s="13" t="s" ph="1">
        <v>9318</v>
      </c>
      <c r="K2917" s="13" t="s" ph="1">
        <v>9319</v>
      </c>
      <c r="L2917" s="13" t="s" ph="1">
        <v>5759</v>
      </c>
      <c r="M2917" s="14" t="str" ph="1">
        <f>IFERROR(INDEX([1]!_born[生没年],
MATCH(I2917,[1]!_born[作],0)),"")</f>
        <v/>
      </c>
      <c r="N2917" s="14" t="str" ph="1">
        <f>IFERROR(INDEX([1]!_born[生没年],
MATCH(K2917,[1]!_born[作],0)),"")</f>
        <v/>
      </c>
      <c r="O2917" s="13" t="s" ph="1">
        <v>9320</v>
      </c>
      <c r="T2917" s="13" t="s" ph="1">
        <v>9321</v>
      </c>
      <c r="U2917" s="16" t="s" ph="1">
        <v>1612</v>
      </c>
      <c r="V2917" s="17" ph="1">
        <f>583*1.03</f>
        <v>600.49</v>
      </c>
    </row>
    <row r="2918" spans="1:25" ht="22.5" customHeight="1" ph="1" x14ac:dyDescent="0.35">
      <c r="A2918" s="106" t="s" ph="1">
        <v>1710</v>
      </c>
      <c r="B2918" s="5" t="s" ph="1">
        <v>1618</v>
      </c>
      <c r="C2918" s="13" t="s" ph="1">
        <v>7591</v>
      </c>
      <c r="D2918" s="123" ph="1">
        <v>2</v>
      </c>
      <c r="E2918" s="123" ph="1">
        <v>3</v>
      </c>
      <c r="G2918" s="13" t="s" ph="1">
        <v>1574</v>
      </c>
      <c r="H2918" s="13" t="s" ph="1">
        <v>61</v>
      </c>
      <c r="I2918" s="13" t="s" ph="1">
        <v>9318</v>
      </c>
      <c r="K2918" s="13" t="s" ph="1">
        <v>9319</v>
      </c>
      <c r="L2918" s="13" t="s" ph="1">
        <v>5759</v>
      </c>
      <c r="M2918" s="14" t="str" ph="1">
        <f>IFERROR(INDEX([1]!_born[生没年],
MATCH(I2918,[1]!_born[作],0)),"")</f>
        <v/>
      </c>
      <c r="N2918" s="14" t="str" ph="1">
        <f>IFERROR(INDEX([1]!_born[生没年],
MATCH(K2918,[1]!_born[作],0)),"")</f>
        <v/>
      </c>
      <c r="O2918" s="13" t="s" ph="1">
        <v>9320</v>
      </c>
      <c r="T2918" s="13" t="s" ph="1">
        <v>9321</v>
      </c>
      <c r="U2918" s="16" t="s" ph="1">
        <v>1612</v>
      </c>
      <c r="V2918" s="17" ph="1">
        <f>583*1.03</f>
        <v>600.49</v>
      </c>
    </row>
    <row r="2919" spans="1:25" ht="22.5" customHeight="1" ph="1" x14ac:dyDescent="0.35">
      <c r="A2919" s="106" t="s" ph="1">
        <v>1711</v>
      </c>
      <c r="B2919" s="5" t="s" ph="1">
        <v>1618</v>
      </c>
      <c r="C2919" s="13" t="s" ph="1">
        <v>7591</v>
      </c>
      <c r="D2919" s="123" ph="1">
        <v>3</v>
      </c>
      <c r="E2919" s="123" ph="1">
        <v>3</v>
      </c>
      <c r="G2919" s="13" t="s" ph="1">
        <v>1574</v>
      </c>
      <c r="H2919" s="13" t="s" ph="1">
        <v>61</v>
      </c>
      <c r="I2919" s="13" t="s" ph="1">
        <v>9318</v>
      </c>
      <c r="K2919" s="13" t="s" ph="1">
        <v>9319</v>
      </c>
      <c r="L2919" s="13" t="s" ph="1">
        <v>5759</v>
      </c>
      <c r="M2919" s="14" t="str" ph="1">
        <f>IFERROR(INDEX([1]!_born[生没年],
MATCH(I2919,[1]!_born[作],0)),"")</f>
        <v/>
      </c>
      <c r="N2919" s="14" t="str" ph="1">
        <f>IFERROR(INDEX([1]!_born[生没年],
MATCH(K2919,[1]!_born[作],0)),"")</f>
        <v/>
      </c>
      <c r="O2919" s="13" t="s" ph="1">
        <v>9320</v>
      </c>
      <c r="T2919" s="13" t="s" ph="1">
        <v>9321</v>
      </c>
      <c r="U2919" s="16" t="s" ph="1">
        <v>1612</v>
      </c>
      <c r="V2919" s="17" ph="1">
        <f>583*1.03</f>
        <v>600.49</v>
      </c>
    </row>
    <row r="2920" spans="1:25" ht="22.5" customHeight="1" ph="1" x14ac:dyDescent="0.35">
      <c r="A2920" s="106" t="s" ph="1">
        <v>1688</v>
      </c>
      <c r="B2920" s="5" t="s" ph="1">
        <v>1622</v>
      </c>
      <c r="C2920" s="13" t="s" ph="1">
        <v>7591</v>
      </c>
      <c r="G2920" s="13" t="s" ph="1">
        <v>1574</v>
      </c>
      <c r="H2920" s="13" t="s" ph="1">
        <v>61</v>
      </c>
      <c r="I2920" s="13" t="s" ph="1">
        <v>8946</v>
      </c>
      <c r="M2920" s="14" t="str" ph="1">
        <f>IFERROR(INDEX([1]!_born[生没年],
MATCH(I2920,[1]!_born[作],0)),"")</f>
        <v/>
      </c>
      <c r="N2920" s="14" t="str" ph="1">
        <f>IFERROR(INDEX([1]!_born[生没年],
MATCH(K2920,[1]!_born[作],0)),"")</f>
        <v/>
      </c>
      <c r="O2920" s="13" t="s" ph="1">
        <v>9322</v>
      </c>
      <c r="T2920" s="13" t="s" ph="1">
        <v>7864</v>
      </c>
      <c r="U2920" s="16" t="s" ph="1">
        <v>1689</v>
      </c>
      <c r="V2920" s="17" ph="1">
        <f>619*1.05</f>
        <v>649.95000000000005</v>
      </c>
      <c r="W2920" s="17" ph="1">
        <f>619*1.05</f>
        <v>649.95000000000005</v>
      </c>
      <c r="X2920" s="13" t="s" ph="1">
        <v>9323</v>
      </c>
    </row>
    <row r="2921" spans="1:25" ht="22.5" customHeight="1" ph="1" x14ac:dyDescent="0.35">
      <c r="A2921" s="106" t="s" ph="1">
        <v>2986</v>
      </c>
      <c r="B2921" s="5" t="s" ph="1">
        <v>1622</v>
      </c>
      <c r="C2921" s="13" t="s" ph="1">
        <v>7591</v>
      </c>
      <c r="G2921" s="13" t="s" ph="1">
        <v>699</v>
      </c>
      <c r="H2921" s="13" t="s" ph="1">
        <v>61</v>
      </c>
      <c r="I2921" s="13" t="s" ph="1">
        <v>8946</v>
      </c>
      <c r="M2921" s="14" t="str" ph="1">
        <f>IFERROR(INDEX([1]!_born[生没年],
MATCH(I2921,[1]!_born[作],0)),"")</f>
        <v/>
      </c>
      <c r="N2921" s="14" t="str" ph="1">
        <f>IFERROR(INDEX([1]!_born[生没年],
MATCH(K2921,[1]!_born[作],0)),"")</f>
        <v/>
      </c>
      <c r="O2921" s="13" t="s" ph="1">
        <v>8949</v>
      </c>
      <c r="R2921" s="16" t="s" ph="1">
        <v>2988</v>
      </c>
      <c r="T2921" s="13" t="s" ph="1">
        <v>7864</v>
      </c>
      <c r="U2921" s="16" t="s" ph="1">
        <v>2966</v>
      </c>
      <c r="V2921" s="17" ph="1">
        <f>648*1.08</f>
        <v>699.84</v>
      </c>
      <c r="W2921" s="17" ph="1">
        <v>108</v>
      </c>
      <c r="Y2921" s="13" t="s" ph="1">
        <v>8054</v>
      </c>
    </row>
    <row r="2922" spans="1:25" ht="22.5" customHeight="1" ph="1" x14ac:dyDescent="0.35">
      <c r="A2922" s="106" t="s" ph="1">
        <v>1673</v>
      </c>
      <c r="B2922" s="5" t="s" ph="1">
        <v>1622</v>
      </c>
      <c r="C2922" s="13" t="s" ph="1">
        <v>7591</v>
      </c>
      <c r="D2922" s="123" ph="1">
        <v>7</v>
      </c>
      <c r="E2922" s="123" ph="1">
        <v>8</v>
      </c>
      <c r="G2922" s="13" t="s" ph="1">
        <v>1574</v>
      </c>
      <c r="H2922" s="13" t="s" ph="1">
        <v>2987</v>
      </c>
      <c r="I2922" s="13" t="s" ph="1">
        <v>8950</v>
      </c>
      <c r="M2922" s="14" t="str" ph="1">
        <f>IFERROR(INDEX([1]!_born[生没年],
MATCH(I2922,[1]!_born[作],0)),"")</f>
        <v/>
      </c>
      <c r="N2922" s="14" t="str" ph="1">
        <f>IFERROR(INDEX([1]!_born[生没年],
MATCH(K2922,[1]!_born[作],0)),"")</f>
        <v/>
      </c>
      <c r="O2922" s="13" t="s" ph="1">
        <v>9324</v>
      </c>
      <c r="S2922" s="13" t="s" ph="1">
        <v>9325</v>
      </c>
      <c r="T2922" s="13" t="s" ph="1">
        <v>9326</v>
      </c>
      <c r="V2922" s="17" ph="1">
        <f>552*1.05</f>
        <v>579.6</v>
      </c>
    </row>
    <row r="2923" spans="1:25" ht="22.5" customHeight="1" ph="1" x14ac:dyDescent="0.35">
      <c r="A2923" s="106" t="s" ph="1">
        <v>1690</v>
      </c>
      <c r="B2923" s="5" t="s" ph="1">
        <v>1622</v>
      </c>
      <c r="C2923" s="13" t="s" ph="1">
        <v>7591</v>
      </c>
      <c r="G2923" s="13" t="s" ph="1">
        <v>1574</v>
      </c>
      <c r="H2923" s="13" t="s" ph="1">
        <v>2987</v>
      </c>
      <c r="I2923" s="13" t="s" ph="1">
        <v>4850</v>
      </c>
      <c r="M2923" s="14" t="str" ph="1">
        <f>IFERROR(INDEX([1]!_born[生没年],
MATCH(I2923,[1]!_born[作],0)),"")</f>
        <v/>
      </c>
      <c r="N2923" s="14" t="str" ph="1">
        <f>IFERROR(INDEX([1]!_born[生没年],
MATCH(K2923,[1]!_born[作],0)),"")</f>
        <v/>
      </c>
      <c r="O2923" s="13" t="s" ph="1">
        <v>9327</v>
      </c>
      <c r="T2923" s="13" t="s" ph="1">
        <v>5147</v>
      </c>
      <c r="V2923" s="17" ph="1">
        <f>544*1.03</f>
        <v>560.32000000000005</v>
      </c>
    </row>
    <row r="2924" spans="1:25" ht="22.5" customHeight="1" ph="1" x14ac:dyDescent="0.35">
      <c r="A2924" s="106" t="s" ph="1">
        <v>1691</v>
      </c>
      <c r="B2924" s="5" t="s" ph="1">
        <v>1622</v>
      </c>
      <c r="C2924" s="13" t="s" ph="1">
        <v>7591</v>
      </c>
      <c r="G2924" s="13" t="s" ph="1">
        <v>1574</v>
      </c>
      <c r="H2924" s="13" t="s" ph="1">
        <v>2987</v>
      </c>
      <c r="I2924" s="13" t="s" ph="1">
        <v>4850</v>
      </c>
      <c r="M2924" s="14" t="str" ph="1">
        <f>IFERROR(INDEX([1]!_born[生没年],
MATCH(I2924,[1]!_born[作],0)),"")</f>
        <v/>
      </c>
      <c r="N2924" s="14" t="str" ph="1">
        <f>IFERROR(INDEX([1]!_born[生没年],
MATCH(K2924,[1]!_born[作],0)),"")</f>
        <v/>
      </c>
      <c r="O2924" s="13" t="s" ph="1">
        <v>9328</v>
      </c>
      <c r="R2924" s="16" t="s" ph="1">
        <v>9329</v>
      </c>
      <c r="T2924" s="13" t="s" ph="1">
        <v>9330</v>
      </c>
      <c r="U2924" s="16" ph="1">
        <v>38962</v>
      </c>
      <c r="V2924" s="17" ph="1">
        <f>714*1.05</f>
        <v>749.7</v>
      </c>
      <c r="W2924" s="17" ph="1">
        <v>400</v>
      </c>
      <c r="X2924" s="13" t="s" ph="1">
        <v>1692</v>
      </c>
    </row>
    <row r="2925" spans="1:25" s="19" customFormat="1" ht="22.5" customHeight="1" ph="1" x14ac:dyDescent="0.35">
      <c r="A2925" s="107" ph="1"/>
      <c r="B2925" s="18" ph="1"/>
      <c r="C2925" s="19" t="s" ph="1">
        <v>8023</v>
      </c>
      <c r="D2925" s="124" ph="1"/>
      <c r="E2925" s="124" ph="1"/>
      <c r="G2925" s="19" t="s" ph="1">
        <v>1574</v>
      </c>
      <c r="H2925" s="19" t="s" ph="1">
        <v>2987</v>
      </c>
      <c r="I2925" s="19" t="s" ph="1">
        <v>9331</v>
      </c>
      <c r="M2925" s="27" t="str" ph="1">
        <f>IFERROR(INDEX([1]!_born[生没年],
MATCH(I2925,[1]!_born[作],0)),"")</f>
        <v/>
      </c>
      <c r="N2925" s="27" t="str" ph="1">
        <f>IFERROR(INDEX([1]!_born[生没年],
MATCH(K2925,[1]!_born[作],0)),"")</f>
        <v/>
      </c>
      <c r="O2925" s="19" t="s" ph="1">
        <v>9332</v>
      </c>
      <c r="R2925" s="20" ph="1"/>
      <c r="S2925" s="19" t="s" ph="1">
        <v>4617</v>
      </c>
      <c r="T2925" s="19" t="s" ph="1">
        <v>9333</v>
      </c>
      <c r="U2925" s="20" t="s" ph="1">
        <v>1612</v>
      </c>
      <c r="V2925" s="21" ph="1"/>
      <c r="W2925" s="21" ph="1"/>
    </row>
    <row r="2926" spans="1:25" s="19" customFormat="1" ht="22.5" customHeight="1" ph="1" x14ac:dyDescent="0.35">
      <c r="A2926" s="107" ph="1"/>
      <c r="B2926" s="18" ph="1"/>
      <c r="C2926" s="19" t="s" ph="1">
        <v>8023</v>
      </c>
      <c r="D2926" s="124" ph="1">
        <v>1</v>
      </c>
      <c r="E2926" s="124" ph="1">
        <v>2</v>
      </c>
      <c r="G2926" s="19" t="s" ph="1">
        <v>1574</v>
      </c>
      <c r="H2926" s="19" t="s" ph="1">
        <v>2987</v>
      </c>
      <c r="I2926" s="19" t="s" ph="1">
        <v>9331</v>
      </c>
      <c r="M2926" s="27" t="str" ph="1">
        <f>IFERROR(INDEX([1]!_born[生没年],
MATCH(I2926,[1]!_born[作],0)),"")</f>
        <v/>
      </c>
      <c r="N2926" s="27" t="str" ph="1">
        <f>IFERROR(INDEX([1]!_born[生没年],
MATCH(K2926,[1]!_born[作],0)),"")</f>
        <v/>
      </c>
      <c r="O2926" s="19" t="s" ph="1">
        <v>9334</v>
      </c>
      <c r="R2926" s="20" ph="1"/>
      <c r="S2926" s="19" t="s" ph="1">
        <v>4617</v>
      </c>
      <c r="T2926" s="19" t="s" ph="1">
        <v>9333</v>
      </c>
      <c r="U2926" s="20" ph="1">
        <v>34980</v>
      </c>
      <c r="V2926" s="21" ph="1"/>
      <c r="W2926" s="21" ph="1"/>
      <c r="X2926" s="19" t="s" ph="1">
        <v>1624</v>
      </c>
    </row>
    <row r="2927" spans="1:25" s="19" customFormat="1" ht="22.5" customHeight="1" ph="1" x14ac:dyDescent="0.35">
      <c r="A2927" s="107" ph="1"/>
      <c r="B2927" s="18" ph="1"/>
      <c r="C2927" s="19" t="s" ph="1">
        <v>8023</v>
      </c>
      <c r="D2927" s="124" ph="1">
        <v>2</v>
      </c>
      <c r="E2927" s="124" ph="1">
        <v>2</v>
      </c>
      <c r="G2927" s="19" t="s" ph="1">
        <v>1574</v>
      </c>
      <c r="H2927" s="19" t="s" ph="1">
        <v>2987</v>
      </c>
      <c r="I2927" s="19" t="s" ph="1">
        <v>9331</v>
      </c>
      <c r="M2927" s="27" t="str" ph="1">
        <f>IFERROR(INDEX([1]!_born[生没年],
MATCH(I2927,[1]!_born[作],0)),"")</f>
        <v/>
      </c>
      <c r="N2927" s="27" t="str" ph="1">
        <f>IFERROR(INDEX([1]!_born[生没年],
MATCH(K2927,[1]!_born[作],0)),"")</f>
        <v/>
      </c>
      <c r="O2927" s="19" t="s" ph="1">
        <v>9334</v>
      </c>
      <c r="R2927" s="20" ph="1"/>
      <c r="S2927" s="19" t="s" ph="1">
        <v>4617</v>
      </c>
      <c r="T2927" s="19" t="s" ph="1">
        <v>9333</v>
      </c>
      <c r="U2927" s="20" ph="1">
        <v>34980</v>
      </c>
      <c r="V2927" s="21" ph="1"/>
      <c r="W2927" s="21" ph="1"/>
      <c r="X2927" s="19" t="s" ph="1">
        <v>1624</v>
      </c>
    </row>
    <row r="2928" spans="1:25" ht="22.5" customHeight="1" ph="1" x14ac:dyDescent="0.35">
      <c r="A2928" s="106" t="s" ph="1">
        <v>2947</v>
      </c>
      <c r="B2928" s="5" t="s" ph="1">
        <v>1622</v>
      </c>
      <c r="C2928" s="13" t="s" ph="1">
        <v>7591</v>
      </c>
      <c r="D2928" s="123" ph="1">
        <v>1</v>
      </c>
      <c r="E2928" s="123" ph="1">
        <v>6</v>
      </c>
      <c r="G2928" s="13" t="s" ph="1">
        <v>699</v>
      </c>
      <c r="H2928" s="13" t="s" ph="1">
        <v>61</v>
      </c>
      <c r="I2928" s="13" t="s" ph="1">
        <v>9335</v>
      </c>
      <c r="M2928" s="14" t="str" ph="1">
        <f>IFERROR(INDEX([1]!_born[生没年],
MATCH(I2928,[1]!_born[作],0)),"")</f>
        <v/>
      </c>
      <c r="N2928" s="14" t="str" ph="1">
        <f>IFERROR(INDEX([1]!_born[生没年],
MATCH(K2928,[1]!_born[作],0)),"")</f>
        <v/>
      </c>
      <c r="O2928" s="13" t="s" ph="1">
        <v>9336</v>
      </c>
      <c r="T2928" s="13" t="s" ph="1">
        <v>9337</v>
      </c>
      <c r="U2928" s="16" ph="1">
        <v>42899</v>
      </c>
      <c r="V2928" s="17" ph="1">
        <f t="shared" ref="V2928:V2933" si="23">581*1.05</f>
        <v>610.05000000000007</v>
      </c>
      <c r="W2928" s="17" ph="1">
        <f t="shared" ref="W2928:W2933" si="24">(1500+597)/6</f>
        <v>349.5</v>
      </c>
      <c r="X2928" s="13" t="s" ph="1">
        <v>2946</v>
      </c>
    </row>
    <row r="2929" spans="1:25" ht="22.5" customHeight="1" ph="1" x14ac:dyDescent="0.35">
      <c r="A2929" s="106" t="s" ph="1">
        <v>2948</v>
      </c>
      <c r="B2929" s="5" t="s" ph="1">
        <v>1622</v>
      </c>
      <c r="C2929" s="13" t="s" ph="1">
        <v>7591</v>
      </c>
      <c r="D2929" s="123" ph="1">
        <v>2</v>
      </c>
      <c r="E2929" s="123" ph="1">
        <v>6</v>
      </c>
      <c r="G2929" s="13" t="s" ph="1">
        <v>699</v>
      </c>
      <c r="H2929" s="13" t="s" ph="1">
        <v>61</v>
      </c>
      <c r="I2929" s="13" t="s" ph="1">
        <v>9335</v>
      </c>
      <c r="M2929" s="14" t="str" ph="1">
        <f>IFERROR(INDEX([1]!_born[生没年],
MATCH(I2929,[1]!_born[作],0)),"")</f>
        <v/>
      </c>
      <c r="N2929" s="14" t="str" ph="1">
        <f>IFERROR(INDEX([1]!_born[生没年],
MATCH(K2929,[1]!_born[作],0)),"")</f>
        <v/>
      </c>
      <c r="O2929" s="13" t="s" ph="1">
        <v>9336</v>
      </c>
      <c r="T2929" s="13" t="s" ph="1">
        <v>9337</v>
      </c>
      <c r="U2929" s="16" ph="1">
        <v>42899</v>
      </c>
      <c r="V2929" s="17" ph="1">
        <f t="shared" si="23"/>
        <v>610.05000000000007</v>
      </c>
      <c r="W2929" s="17" ph="1">
        <f t="shared" si="24"/>
        <v>349.5</v>
      </c>
      <c r="X2929" s="13" t="s" ph="1">
        <v>2946</v>
      </c>
    </row>
    <row r="2930" spans="1:25" ht="22.5" customHeight="1" ph="1" x14ac:dyDescent="0.35">
      <c r="A2930" s="106" t="s" ph="1">
        <v>2949</v>
      </c>
      <c r="B2930" s="5" t="s" ph="1">
        <v>1622</v>
      </c>
      <c r="C2930" s="13" t="s" ph="1">
        <v>7591</v>
      </c>
      <c r="D2930" s="123" ph="1">
        <v>3</v>
      </c>
      <c r="E2930" s="123" ph="1">
        <v>6</v>
      </c>
      <c r="G2930" s="13" t="s" ph="1">
        <v>699</v>
      </c>
      <c r="H2930" s="13" t="s" ph="1">
        <v>61</v>
      </c>
      <c r="I2930" s="13" t="s" ph="1">
        <v>9335</v>
      </c>
      <c r="M2930" s="14" t="str" ph="1">
        <f>IFERROR(INDEX([1]!_born[生没年],
MATCH(I2930,[1]!_born[作],0)),"")</f>
        <v/>
      </c>
      <c r="N2930" s="14" t="str" ph="1">
        <f>IFERROR(INDEX([1]!_born[生没年],
MATCH(K2930,[1]!_born[作],0)),"")</f>
        <v/>
      </c>
      <c r="O2930" s="13" t="s" ph="1">
        <v>9336</v>
      </c>
      <c r="T2930" s="13" t="s" ph="1">
        <v>9337</v>
      </c>
      <c r="U2930" s="16" ph="1">
        <v>42899</v>
      </c>
      <c r="V2930" s="17" ph="1">
        <f t="shared" si="23"/>
        <v>610.05000000000007</v>
      </c>
      <c r="W2930" s="17" ph="1">
        <f t="shared" si="24"/>
        <v>349.5</v>
      </c>
      <c r="X2930" s="13" t="s" ph="1">
        <v>2946</v>
      </c>
    </row>
    <row r="2931" spans="1:25" ht="22.5" customHeight="1" ph="1" x14ac:dyDescent="0.35">
      <c r="A2931" s="106" t="s" ph="1">
        <v>2950</v>
      </c>
      <c r="B2931" s="5" t="s" ph="1">
        <v>1622</v>
      </c>
      <c r="C2931" s="13" t="s" ph="1">
        <v>7591</v>
      </c>
      <c r="D2931" s="123" ph="1">
        <v>4</v>
      </c>
      <c r="E2931" s="123" ph="1">
        <v>6</v>
      </c>
      <c r="G2931" s="13" t="s" ph="1">
        <v>699</v>
      </c>
      <c r="H2931" s="13" t="s" ph="1">
        <v>61</v>
      </c>
      <c r="I2931" s="13" t="s" ph="1">
        <v>9335</v>
      </c>
      <c r="M2931" s="14" t="str" ph="1">
        <f>IFERROR(INDEX([1]!_born[生没年],
MATCH(I2931,[1]!_born[作],0)),"")</f>
        <v/>
      </c>
      <c r="N2931" s="14" t="str" ph="1">
        <f>IFERROR(INDEX([1]!_born[生没年],
MATCH(K2931,[1]!_born[作],0)),"")</f>
        <v/>
      </c>
      <c r="O2931" s="13" t="s" ph="1">
        <v>9336</v>
      </c>
      <c r="T2931" s="13" t="s" ph="1">
        <v>9337</v>
      </c>
      <c r="U2931" s="16" ph="1">
        <v>42899</v>
      </c>
      <c r="V2931" s="17" ph="1">
        <f t="shared" si="23"/>
        <v>610.05000000000007</v>
      </c>
      <c r="W2931" s="17" ph="1">
        <f t="shared" si="24"/>
        <v>349.5</v>
      </c>
      <c r="X2931" s="13" t="s" ph="1">
        <v>2946</v>
      </c>
    </row>
    <row r="2932" spans="1:25" ht="22.5" customHeight="1" ph="1" x14ac:dyDescent="0.35">
      <c r="A2932" s="106" t="s" ph="1">
        <v>2951</v>
      </c>
      <c r="B2932" s="5" t="s" ph="1">
        <v>1622</v>
      </c>
      <c r="C2932" s="13" t="s" ph="1">
        <v>7591</v>
      </c>
      <c r="D2932" s="123" ph="1">
        <v>5</v>
      </c>
      <c r="E2932" s="123" ph="1">
        <v>6</v>
      </c>
      <c r="G2932" s="13" t="s" ph="1">
        <v>699</v>
      </c>
      <c r="H2932" s="13" t="s" ph="1">
        <v>61</v>
      </c>
      <c r="I2932" s="13" t="s" ph="1">
        <v>9335</v>
      </c>
      <c r="M2932" s="14" t="str" ph="1">
        <f>IFERROR(INDEX([1]!_born[生没年],
MATCH(I2932,[1]!_born[作],0)),"")</f>
        <v/>
      </c>
      <c r="N2932" s="14" t="str" ph="1">
        <f>IFERROR(INDEX([1]!_born[生没年],
MATCH(K2932,[1]!_born[作],0)),"")</f>
        <v/>
      </c>
      <c r="O2932" s="13" t="s" ph="1">
        <v>9336</v>
      </c>
      <c r="T2932" s="13" t="s" ph="1">
        <v>9337</v>
      </c>
      <c r="U2932" s="16" ph="1">
        <v>42899</v>
      </c>
      <c r="V2932" s="17" ph="1">
        <f t="shared" si="23"/>
        <v>610.05000000000007</v>
      </c>
      <c r="W2932" s="17" ph="1">
        <f t="shared" si="24"/>
        <v>349.5</v>
      </c>
      <c r="X2932" s="13" t="s" ph="1">
        <v>2946</v>
      </c>
    </row>
    <row r="2933" spans="1:25" ht="22.5" customHeight="1" ph="1" x14ac:dyDescent="0.35">
      <c r="A2933" s="106" t="s" ph="1">
        <v>2952</v>
      </c>
      <c r="B2933" s="5" t="s" ph="1">
        <v>1622</v>
      </c>
      <c r="C2933" s="13" t="s" ph="1">
        <v>7591</v>
      </c>
      <c r="D2933" s="123" ph="1">
        <v>6</v>
      </c>
      <c r="E2933" s="123" ph="1">
        <v>6</v>
      </c>
      <c r="G2933" s="13" t="s" ph="1">
        <v>699</v>
      </c>
      <c r="H2933" s="13" t="s" ph="1">
        <v>61</v>
      </c>
      <c r="I2933" s="13" t="s" ph="1">
        <v>9335</v>
      </c>
      <c r="M2933" s="14" t="str" ph="1">
        <f>IFERROR(INDEX([1]!_born[生没年],
MATCH(I2933,[1]!_born[作],0)),"")</f>
        <v/>
      </c>
      <c r="N2933" s="14" t="str" ph="1">
        <f>IFERROR(INDEX([1]!_born[生没年],
MATCH(K2933,[1]!_born[作],0)),"")</f>
        <v/>
      </c>
      <c r="O2933" s="13" t="s" ph="1">
        <v>9336</v>
      </c>
      <c r="T2933" s="13" t="s" ph="1">
        <v>9337</v>
      </c>
      <c r="U2933" s="16" ph="1">
        <v>42899</v>
      </c>
      <c r="V2933" s="17" ph="1">
        <f t="shared" si="23"/>
        <v>610.05000000000007</v>
      </c>
      <c r="W2933" s="17" ph="1">
        <f t="shared" si="24"/>
        <v>349.5</v>
      </c>
      <c r="X2933" s="13" t="s" ph="1">
        <v>2946</v>
      </c>
    </row>
    <row r="2934" spans="1:25" ht="22.5" customHeight="1" ph="1" x14ac:dyDescent="0.35">
      <c r="A2934" s="106" t="s" ph="1">
        <v>1631</v>
      </c>
      <c r="B2934" s="5" t="s" ph="1">
        <v>1622</v>
      </c>
      <c r="C2934" s="13" t="s" ph="1">
        <v>7591</v>
      </c>
      <c r="D2934" s="123" ph="1">
        <v>1</v>
      </c>
      <c r="E2934" s="123" ph="1">
        <v>3</v>
      </c>
      <c r="G2934" s="13" t="s" ph="1">
        <v>1574</v>
      </c>
      <c r="H2934" s="13" t="s" ph="1">
        <v>1616</v>
      </c>
      <c r="I2934" s="13" t="s" ph="1">
        <v>8965</v>
      </c>
      <c r="M2934" s="14" t="str" ph="1">
        <f>IFERROR(INDEX([1]!_born[生没年],
MATCH(I2934,[1]!_born[作],0)),"")</f>
        <v/>
      </c>
      <c r="N2934" s="14" t="str" ph="1">
        <f>IFERROR(INDEX([1]!_born[生没年],
MATCH(K2934,[1]!_born[作],0)),"")</f>
        <v/>
      </c>
      <c r="O2934" s="13" t="s" ph="1">
        <v>9338</v>
      </c>
      <c r="T2934" s="13" t="s" ph="1">
        <v>7611</v>
      </c>
      <c r="V2934" s="17" ph="1">
        <f>544*1.03</f>
        <v>560.32000000000005</v>
      </c>
    </row>
    <row r="2935" spans="1:25" ht="22.5" customHeight="1" ph="1" x14ac:dyDescent="0.35">
      <c r="A2935" s="106" t="s" ph="1">
        <v>1632</v>
      </c>
      <c r="B2935" s="5" t="s" ph="1">
        <v>1622</v>
      </c>
      <c r="C2935" s="13" t="s" ph="1">
        <v>7591</v>
      </c>
      <c r="D2935" s="123" ph="1">
        <v>2</v>
      </c>
      <c r="E2935" s="123" ph="1">
        <v>3</v>
      </c>
      <c r="G2935" s="13" t="s" ph="1">
        <v>1574</v>
      </c>
      <c r="H2935" s="13" t="s" ph="1">
        <v>1616</v>
      </c>
      <c r="I2935" s="13" t="s" ph="1">
        <v>8965</v>
      </c>
      <c r="M2935" s="14" t="str" ph="1">
        <f>IFERROR(INDEX([1]!_born[生没年],
MATCH(I2935,[1]!_born[作],0)),"")</f>
        <v/>
      </c>
      <c r="N2935" s="14" t="str" ph="1">
        <f>IFERROR(INDEX([1]!_born[生没年],
MATCH(K2935,[1]!_born[作],0)),"")</f>
        <v/>
      </c>
      <c r="O2935" s="13" t="s" ph="1">
        <v>9338</v>
      </c>
      <c r="T2935" s="13" t="s" ph="1">
        <v>7611</v>
      </c>
      <c r="V2935" s="17" ph="1">
        <f>544*1.03</f>
        <v>560.32000000000005</v>
      </c>
    </row>
    <row r="2936" spans="1:25" ht="22.5" customHeight="1" ph="1" x14ac:dyDescent="0.35">
      <c r="A2936" s="106" t="s" ph="1">
        <v>1633</v>
      </c>
      <c r="B2936" s="5" t="s" ph="1">
        <v>1622</v>
      </c>
      <c r="C2936" s="13" t="s" ph="1">
        <v>7591</v>
      </c>
      <c r="D2936" s="123" ph="1">
        <v>3</v>
      </c>
      <c r="E2936" s="123" ph="1">
        <v>3</v>
      </c>
      <c r="G2936" s="13" t="s" ph="1">
        <v>1574</v>
      </c>
      <c r="H2936" s="13" t="s" ph="1">
        <v>1616</v>
      </c>
      <c r="I2936" s="13" t="s" ph="1">
        <v>8965</v>
      </c>
      <c r="M2936" s="14" t="str" ph="1">
        <f>IFERROR(INDEX([1]!_born[生没年],
MATCH(I2936,[1]!_born[作],0)),"")</f>
        <v/>
      </c>
      <c r="N2936" s="14" t="str" ph="1">
        <f>IFERROR(INDEX([1]!_born[生没年],
MATCH(K2936,[1]!_born[作],0)),"")</f>
        <v/>
      </c>
      <c r="O2936" s="13" t="s" ph="1">
        <v>9338</v>
      </c>
      <c r="T2936" s="13" t="s" ph="1">
        <v>7611</v>
      </c>
      <c r="V2936" s="17" ph="1">
        <f>544*1.03</f>
        <v>560.32000000000005</v>
      </c>
    </row>
    <row r="2937" spans="1:25" ht="22.5" customHeight="1" ph="1" x14ac:dyDescent="0.35">
      <c r="A2937" s="106" t="s" ph="1">
        <v>1634</v>
      </c>
      <c r="B2937" s="5" t="s" ph="1">
        <v>1622</v>
      </c>
      <c r="C2937" s="13" t="s" ph="1">
        <v>7591</v>
      </c>
      <c r="D2937" s="123" ph="1">
        <v>1</v>
      </c>
      <c r="E2937" s="123" ph="1">
        <v>2</v>
      </c>
      <c r="G2937" s="13" t="s" ph="1">
        <v>1574</v>
      </c>
      <c r="H2937" s="13" t="s" ph="1">
        <v>1616</v>
      </c>
      <c r="I2937" s="13" t="s" ph="1">
        <v>8965</v>
      </c>
      <c r="M2937" s="14" t="str" ph="1">
        <f>IFERROR(INDEX([1]!_born[生没年],
MATCH(I2937,[1]!_born[作],0)),"")</f>
        <v/>
      </c>
      <c r="N2937" s="14" t="str" ph="1">
        <f>IFERROR(INDEX([1]!_born[生没年],
MATCH(K2937,[1]!_born[作],0)),"")</f>
        <v/>
      </c>
      <c r="O2937" s="13" t="s" ph="1">
        <v>9339</v>
      </c>
      <c r="T2937" s="13" t="s" ph="1">
        <v>9340</v>
      </c>
      <c r="U2937" s="16" t="s" ph="1">
        <v>1612</v>
      </c>
      <c r="V2937" s="17" ph="1">
        <f>583*1.03</f>
        <v>600.49</v>
      </c>
    </row>
    <row r="2938" spans="1:25" ht="22.5" customHeight="1" ph="1" x14ac:dyDescent="0.35">
      <c r="A2938" s="106" t="s" ph="1">
        <v>1635</v>
      </c>
      <c r="B2938" s="5" t="s" ph="1">
        <v>1622</v>
      </c>
      <c r="C2938" s="13" t="s" ph="1">
        <v>7591</v>
      </c>
      <c r="D2938" s="123" ph="1">
        <v>2</v>
      </c>
      <c r="E2938" s="123" ph="1">
        <v>2</v>
      </c>
      <c r="G2938" s="13" t="s" ph="1">
        <v>1574</v>
      </c>
      <c r="H2938" s="13" t="s" ph="1">
        <v>1616</v>
      </c>
      <c r="I2938" s="13" t="s" ph="1">
        <v>8965</v>
      </c>
      <c r="M2938" s="14" t="str" ph="1">
        <f>IFERROR(INDEX([1]!_born[生没年],
MATCH(I2938,[1]!_born[作],0)),"")</f>
        <v/>
      </c>
      <c r="N2938" s="14" t="str" ph="1">
        <f>IFERROR(INDEX([1]!_born[生没年],
MATCH(K2938,[1]!_born[作],0)),"")</f>
        <v/>
      </c>
      <c r="O2938" s="13" t="s" ph="1">
        <v>9339</v>
      </c>
      <c r="T2938" s="13" t="s" ph="1">
        <v>9340</v>
      </c>
      <c r="U2938" s="16" t="s" ph="1">
        <v>1612</v>
      </c>
      <c r="V2938" s="17" ph="1">
        <f>583*1.03</f>
        <v>600.49</v>
      </c>
    </row>
    <row r="2939" spans="1:25" s="19" customFormat="1" ht="22.5" customHeight="1" ph="1" x14ac:dyDescent="0.35">
      <c r="A2939" s="106" t="s" ph="1">
        <v>1636</v>
      </c>
      <c r="B2939" s="5" t="s" ph="1">
        <v>1622</v>
      </c>
      <c r="C2939" s="13" t="s" ph="1">
        <v>7591</v>
      </c>
      <c r="D2939" s="123" ph="1"/>
      <c r="E2939" s="123" ph="1"/>
      <c r="F2939" s="13" ph="1"/>
      <c r="G2939" s="13" t="s" ph="1">
        <v>1574</v>
      </c>
      <c r="H2939" s="13" t="s" ph="1">
        <v>1616</v>
      </c>
      <c r="I2939" s="13" t="s" ph="1">
        <v>8965</v>
      </c>
      <c r="J2939" s="13" ph="1"/>
      <c r="K2939" s="13" ph="1"/>
      <c r="L2939" s="13" ph="1"/>
      <c r="M2939" s="14" t="str" ph="1">
        <f>IFERROR(INDEX([1]!_born[生没年],
MATCH(I2939,[1]!_born[作],0)),"")</f>
        <v/>
      </c>
      <c r="N2939" s="14" t="str" ph="1">
        <f>IFERROR(INDEX([1]!_born[生没年],
MATCH(K2939,[1]!_born[作],0)),"")</f>
        <v/>
      </c>
      <c r="O2939" s="13" t="s" ph="1">
        <v>9341</v>
      </c>
      <c r="P2939" s="13" ph="1"/>
      <c r="Q2939" s="13" ph="1"/>
      <c r="R2939" s="16" ph="1"/>
      <c r="S2939" s="13" t="s" ph="1">
        <v>9342</v>
      </c>
      <c r="T2939" s="13" t="s" ph="1">
        <v>9340</v>
      </c>
      <c r="U2939" s="16" ph="1"/>
      <c r="V2939" s="17" ph="1">
        <f>544*1.03</f>
        <v>560.32000000000005</v>
      </c>
      <c r="W2939" s="17" ph="1"/>
      <c r="X2939" s="13" ph="1"/>
      <c r="Y2939" s="13" ph="1"/>
    </row>
    <row r="2940" spans="1:25" s="19" customFormat="1" ht="22.5" customHeight="1" ph="1" x14ac:dyDescent="0.35">
      <c r="A2940" s="106" t="s" ph="1">
        <v>1694</v>
      </c>
      <c r="B2940" s="5" t="s" ph="1">
        <v>1622</v>
      </c>
      <c r="C2940" s="13" t="s" ph="1">
        <v>7591</v>
      </c>
      <c r="D2940" s="123" ph="1"/>
      <c r="E2940" s="123" ph="1"/>
      <c r="F2940" s="13" ph="1"/>
      <c r="G2940" s="13" t="s" ph="1">
        <v>1574</v>
      </c>
      <c r="H2940" s="13" t="s" ph="1">
        <v>61</v>
      </c>
      <c r="I2940" s="13" t="s" ph="1">
        <v>9343</v>
      </c>
      <c r="J2940" s="13" ph="1"/>
      <c r="K2940" s="13" ph="1"/>
      <c r="L2940" s="13" ph="1"/>
      <c r="M2940" s="14" t="str" ph="1">
        <f>IFERROR(INDEX([1]!_born[生没年],
MATCH(I2940,[1]!_born[作],0)),"")</f>
        <v/>
      </c>
      <c r="N2940" s="14" t="str" ph="1">
        <f>IFERROR(INDEX([1]!_born[生没年],
MATCH(K2940,[1]!_born[作],0)),"")</f>
        <v/>
      </c>
      <c r="O2940" s="13" t="s" ph="1">
        <v>9344</v>
      </c>
      <c r="P2940" s="13" ph="1"/>
      <c r="Q2940" s="13" ph="1"/>
      <c r="R2940" s="16" t="s" ph="1">
        <v>1695</v>
      </c>
      <c r="S2940" s="13" ph="1"/>
      <c r="T2940" s="13" t="s" ph="1">
        <v>4439</v>
      </c>
      <c r="U2940" s="16" t="s" ph="1">
        <v>1619</v>
      </c>
      <c r="V2940" s="17" ph="1">
        <f>600*1.05</f>
        <v>630</v>
      </c>
      <c r="W2940" s="17" ph="1"/>
      <c r="X2940" s="13" ph="1"/>
      <c r="Y2940" s="13" ph="1"/>
    </row>
    <row r="2941" spans="1:25" s="19" customFormat="1" ht="22.5" customHeight="1" ph="1" x14ac:dyDescent="0.35">
      <c r="A2941" s="106" t="s" ph="1">
        <v>1696</v>
      </c>
      <c r="B2941" s="5" t="s" ph="1">
        <v>1622</v>
      </c>
      <c r="C2941" s="13" t="s" ph="1">
        <v>7591</v>
      </c>
      <c r="D2941" s="123" ph="1"/>
      <c r="E2941" s="123" ph="1"/>
      <c r="F2941" s="13" ph="1"/>
      <c r="G2941" s="13" t="s" ph="1">
        <v>1574</v>
      </c>
      <c r="H2941" s="13" t="s" ph="1">
        <v>61</v>
      </c>
      <c r="I2941" s="13" t="s" ph="1">
        <v>9343</v>
      </c>
      <c r="J2941" s="13" ph="1"/>
      <c r="K2941" s="13" ph="1"/>
      <c r="L2941" s="13" ph="1"/>
      <c r="M2941" s="14" t="str" ph="1">
        <f>IFERROR(INDEX([1]!_born[生没年],
MATCH(I2941,[1]!_born[作],0)),"")</f>
        <v/>
      </c>
      <c r="N2941" s="14" t="str" ph="1">
        <f>IFERROR(INDEX([1]!_born[生没年],
MATCH(K2941,[1]!_born[作],0)),"")</f>
        <v/>
      </c>
      <c r="O2941" s="13" t="s" ph="1">
        <v>9345</v>
      </c>
      <c r="P2941" s="13" ph="1"/>
      <c r="Q2941" s="13" ph="1"/>
      <c r="R2941" s="16" t="s" ph="1">
        <v>1695</v>
      </c>
      <c r="S2941" s="13" ph="1"/>
      <c r="T2941" s="13" t="s" ph="1">
        <v>4439</v>
      </c>
      <c r="U2941" s="16" t="s" ph="1">
        <v>1619</v>
      </c>
      <c r="V2941" s="17" ph="1">
        <f>600*1.05</f>
        <v>630</v>
      </c>
      <c r="W2941" s="17" ph="1"/>
      <c r="X2941" s="13" ph="1"/>
      <c r="Y2941" s="13" ph="1"/>
    </row>
    <row r="2942" spans="1:25" s="19" customFormat="1" ht="22.5" customHeight="1" ph="1" x14ac:dyDescent="0.35">
      <c r="A2942" s="106" t="s" ph="1">
        <v>1697</v>
      </c>
      <c r="B2942" s="5" t="s" ph="1">
        <v>1622</v>
      </c>
      <c r="C2942" s="13" t="s" ph="1">
        <v>7591</v>
      </c>
      <c r="D2942" s="123" ph="1"/>
      <c r="E2942" s="123" ph="1"/>
      <c r="F2942" s="13" ph="1"/>
      <c r="G2942" s="13" t="s" ph="1">
        <v>1574</v>
      </c>
      <c r="H2942" s="13" t="s" ph="1">
        <v>61</v>
      </c>
      <c r="I2942" s="13" t="s" ph="1">
        <v>9343</v>
      </c>
      <c r="J2942" s="13" ph="1"/>
      <c r="K2942" s="13" ph="1"/>
      <c r="L2942" s="13" ph="1"/>
      <c r="M2942" s="14" t="str" ph="1">
        <f>IFERROR(INDEX([1]!_born[生没年],
MATCH(I2942,[1]!_born[作],0)),"")</f>
        <v/>
      </c>
      <c r="N2942" s="14" t="str" ph="1">
        <f>IFERROR(INDEX([1]!_born[生没年],
MATCH(K2942,[1]!_born[作],0)),"")</f>
        <v/>
      </c>
      <c r="O2942" s="13" t="s" ph="1">
        <v>9346</v>
      </c>
      <c r="P2942" s="13" ph="1"/>
      <c r="Q2942" s="13" ph="1"/>
      <c r="R2942" s="16" t="s" ph="1">
        <v>1695</v>
      </c>
      <c r="S2942" s="13" ph="1"/>
      <c r="T2942" s="13" t="s" ph="1">
        <v>4439</v>
      </c>
      <c r="U2942" s="16" t="s" ph="1">
        <v>1619</v>
      </c>
      <c r="V2942" s="17" ph="1">
        <f>600*1.05</f>
        <v>630</v>
      </c>
      <c r="W2942" s="17" ph="1"/>
      <c r="X2942" s="13" ph="1"/>
      <c r="Y2942" s="13" ph="1"/>
    </row>
    <row r="2943" spans="1:25" s="19" customFormat="1" ht="22.5" customHeight="1" ph="1" x14ac:dyDescent="0.35">
      <c r="A2943" s="106" t="s" ph="1">
        <v>1698</v>
      </c>
      <c r="B2943" s="5" t="s" ph="1">
        <v>1622</v>
      </c>
      <c r="C2943" s="13" t="s" ph="1">
        <v>7591</v>
      </c>
      <c r="D2943" s="123" ph="1"/>
      <c r="E2943" s="123" ph="1"/>
      <c r="F2943" s="13" ph="1"/>
      <c r="G2943" s="13" t="s" ph="1">
        <v>1574</v>
      </c>
      <c r="H2943" s="13" t="s" ph="1">
        <v>61</v>
      </c>
      <c r="I2943" s="13" t="s" ph="1">
        <v>9343</v>
      </c>
      <c r="J2943" s="13" ph="1"/>
      <c r="K2943" s="13" ph="1"/>
      <c r="L2943" s="13" ph="1"/>
      <c r="M2943" s="14" t="str" ph="1">
        <f>IFERROR(INDEX([1]!_born[生没年],
MATCH(I2943,[1]!_born[作],0)),"")</f>
        <v/>
      </c>
      <c r="N2943" s="14" t="str" ph="1">
        <f>IFERROR(INDEX([1]!_born[生没年],
MATCH(K2943,[1]!_born[作],0)),"")</f>
        <v/>
      </c>
      <c r="O2943" s="13" t="s" ph="1">
        <v>9347</v>
      </c>
      <c r="P2943" s="13" ph="1"/>
      <c r="Q2943" s="13" ph="1"/>
      <c r="R2943" s="16" t="s" ph="1">
        <v>1699</v>
      </c>
      <c r="S2943" s="13" ph="1"/>
      <c r="T2943" s="13" t="s" ph="1">
        <v>4439</v>
      </c>
      <c r="U2943" s="16" t="s" ph="1">
        <v>1700</v>
      </c>
      <c r="V2943" s="17" ph="1">
        <f>600*1.05</f>
        <v>630</v>
      </c>
      <c r="W2943" s="17" ph="1"/>
      <c r="X2943" s="13" ph="1"/>
      <c r="Y2943" s="13" ph="1"/>
    </row>
    <row r="2944" spans="1:25" s="19" customFormat="1" ht="22.5" customHeight="1" ph="1" x14ac:dyDescent="0.35">
      <c r="A2944" s="106" t="s" ph="1">
        <v>1666</v>
      </c>
      <c r="B2944" s="5" t="s" ph="1">
        <v>1622</v>
      </c>
      <c r="C2944" s="13" t="s" ph="1">
        <v>7591</v>
      </c>
      <c r="D2944" s="123" ph="1">
        <v>1</v>
      </c>
      <c r="E2944" s="123" ph="1">
        <v>6</v>
      </c>
      <c r="F2944" s="13" ph="1"/>
      <c r="G2944" s="13" t="s" ph="1">
        <v>1574</v>
      </c>
      <c r="H2944" s="13" t="s" ph="1">
        <v>61</v>
      </c>
      <c r="I2944" s="13" t="s" ph="1">
        <v>9348</v>
      </c>
      <c r="J2944" s="13" ph="1"/>
      <c r="K2944" s="13" ph="1"/>
      <c r="L2944" s="13" ph="1"/>
      <c r="M2944" s="14" t="str" ph="1">
        <f>IFERROR(INDEX([1]!_born[生没年],
MATCH(I2944,[1]!_born[作],0)),"")</f>
        <v/>
      </c>
      <c r="N2944" s="14" t="str" ph="1">
        <f>IFERROR(INDEX([1]!_born[生没年],
MATCH(K2944,[1]!_born[作],0)),"")</f>
        <v/>
      </c>
      <c r="O2944" s="13" t="s" ph="1">
        <v>235</v>
      </c>
      <c r="P2944" s="13" ph="1"/>
      <c r="Q2944" s="13" ph="1"/>
      <c r="R2944" s="16" ph="1"/>
      <c r="S2944" s="13" ph="1"/>
      <c r="T2944" s="13" t="s" ph="1">
        <v>9337</v>
      </c>
      <c r="U2944" s="16" ph="1">
        <v>39000</v>
      </c>
      <c r="V2944" s="17" ph="1">
        <f t="shared" ref="V2944:V2949" si="25">581*1.05</f>
        <v>610.05000000000007</v>
      </c>
      <c r="W2944" s="17" ph="1"/>
      <c r="X2944" s="13" t="s" ph="1">
        <v>5298</v>
      </c>
      <c r="Y2944" s="13" ph="1"/>
    </row>
    <row r="2945" spans="1:25" s="19" customFormat="1" ht="22.5" customHeight="1" ph="1" x14ac:dyDescent="0.35">
      <c r="A2945" s="106" t="s" ph="1">
        <v>1667</v>
      </c>
      <c r="B2945" s="5" t="s" ph="1">
        <v>1622</v>
      </c>
      <c r="C2945" s="13" t="s" ph="1">
        <v>7591</v>
      </c>
      <c r="D2945" s="123" ph="1">
        <v>2</v>
      </c>
      <c r="E2945" s="123" ph="1">
        <v>6</v>
      </c>
      <c r="F2945" s="13" ph="1"/>
      <c r="G2945" s="13" t="s" ph="1">
        <v>1574</v>
      </c>
      <c r="H2945" s="13" t="s" ph="1">
        <v>61</v>
      </c>
      <c r="I2945" s="13" t="s" ph="1">
        <v>9348</v>
      </c>
      <c r="J2945" s="13" ph="1"/>
      <c r="K2945" s="13" ph="1"/>
      <c r="L2945" s="13" ph="1"/>
      <c r="M2945" s="14" t="str" ph="1">
        <f>IFERROR(INDEX([1]!_born[生没年],
MATCH(I2945,[1]!_born[作],0)),"")</f>
        <v/>
      </c>
      <c r="N2945" s="14" t="str" ph="1">
        <f>IFERROR(INDEX([1]!_born[生没年],
MATCH(K2945,[1]!_born[作],0)),"")</f>
        <v/>
      </c>
      <c r="O2945" s="13" t="s" ph="1">
        <v>235</v>
      </c>
      <c r="P2945" s="13" ph="1"/>
      <c r="Q2945" s="13" ph="1"/>
      <c r="R2945" s="16" ph="1"/>
      <c r="S2945" s="13" ph="1"/>
      <c r="T2945" s="13" t="s" ph="1">
        <v>9337</v>
      </c>
      <c r="U2945" s="16" ph="1">
        <v>39000</v>
      </c>
      <c r="V2945" s="17" ph="1">
        <f t="shared" si="25"/>
        <v>610.05000000000007</v>
      </c>
      <c r="W2945" s="17" ph="1"/>
      <c r="X2945" s="13" t="s" ph="1">
        <v>5298</v>
      </c>
      <c r="Y2945" s="13" ph="1"/>
    </row>
    <row r="2946" spans="1:25" s="19" customFormat="1" ht="22.5" customHeight="1" ph="1" x14ac:dyDescent="0.35">
      <c r="A2946" s="106" t="s" ph="1">
        <v>1668</v>
      </c>
      <c r="B2946" s="5" t="s" ph="1">
        <v>1622</v>
      </c>
      <c r="C2946" s="13" t="s" ph="1">
        <v>7591</v>
      </c>
      <c r="D2946" s="123" ph="1">
        <v>3</v>
      </c>
      <c r="E2946" s="123" ph="1">
        <v>6</v>
      </c>
      <c r="F2946" s="13" ph="1"/>
      <c r="G2946" s="13" t="s" ph="1">
        <v>1574</v>
      </c>
      <c r="H2946" s="13" t="s" ph="1">
        <v>61</v>
      </c>
      <c r="I2946" s="13" t="s" ph="1">
        <v>9348</v>
      </c>
      <c r="J2946" s="13" ph="1"/>
      <c r="K2946" s="13" ph="1"/>
      <c r="L2946" s="13" ph="1"/>
      <c r="M2946" s="14" t="str" ph="1">
        <f>IFERROR(INDEX([1]!_born[生没年],
MATCH(I2946,[1]!_born[作],0)),"")</f>
        <v/>
      </c>
      <c r="N2946" s="14" t="str" ph="1">
        <f>IFERROR(INDEX([1]!_born[生没年],
MATCH(K2946,[1]!_born[作],0)),"")</f>
        <v/>
      </c>
      <c r="O2946" s="13" t="s" ph="1">
        <v>235</v>
      </c>
      <c r="P2946" s="13" ph="1"/>
      <c r="Q2946" s="13" ph="1"/>
      <c r="R2946" s="16" ph="1"/>
      <c r="S2946" s="13" ph="1"/>
      <c r="T2946" s="13" t="s" ph="1">
        <v>9337</v>
      </c>
      <c r="U2946" s="16" ph="1">
        <v>39000</v>
      </c>
      <c r="V2946" s="17" ph="1">
        <f t="shared" si="25"/>
        <v>610.05000000000007</v>
      </c>
      <c r="W2946" s="17" ph="1"/>
      <c r="X2946" s="13" t="s" ph="1">
        <v>5298</v>
      </c>
      <c r="Y2946" s="13" ph="1"/>
    </row>
    <row r="2947" spans="1:25" s="19" customFormat="1" ht="22.5" customHeight="1" ph="1" x14ac:dyDescent="0.35">
      <c r="A2947" s="106" t="s" ph="1">
        <v>1669</v>
      </c>
      <c r="B2947" s="5" t="s" ph="1">
        <v>1622</v>
      </c>
      <c r="C2947" s="13" t="s" ph="1">
        <v>7591</v>
      </c>
      <c r="D2947" s="123" ph="1">
        <v>4</v>
      </c>
      <c r="E2947" s="123" ph="1">
        <v>6</v>
      </c>
      <c r="F2947" s="13" ph="1"/>
      <c r="G2947" s="13" t="s" ph="1">
        <v>1574</v>
      </c>
      <c r="H2947" s="13" t="s" ph="1">
        <v>61</v>
      </c>
      <c r="I2947" s="13" t="s" ph="1">
        <v>9348</v>
      </c>
      <c r="J2947" s="13" ph="1"/>
      <c r="K2947" s="13" ph="1"/>
      <c r="L2947" s="13" ph="1"/>
      <c r="M2947" s="14" t="str" ph="1">
        <f>IFERROR(INDEX([1]!_born[生没年],
MATCH(I2947,[1]!_born[作],0)),"")</f>
        <v/>
      </c>
      <c r="N2947" s="14" t="str" ph="1">
        <f>IFERROR(INDEX([1]!_born[生没年],
MATCH(K2947,[1]!_born[作],0)),"")</f>
        <v/>
      </c>
      <c r="O2947" s="13" t="s" ph="1">
        <v>235</v>
      </c>
      <c r="P2947" s="13" ph="1"/>
      <c r="Q2947" s="13" ph="1"/>
      <c r="R2947" s="16" ph="1"/>
      <c r="S2947" s="13" ph="1"/>
      <c r="T2947" s="13" t="s" ph="1">
        <v>9337</v>
      </c>
      <c r="U2947" s="16" ph="1">
        <v>39000</v>
      </c>
      <c r="V2947" s="17" ph="1">
        <f t="shared" si="25"/>
        <v>610.05000000000007</v>
      </c>
      <c r="W2947" s="17" ph="1"/>
      <c r="X2947" s="13" t="s" ph="1">
        <v>5298</v>
      </c>
      <c r="Y2947" s="13" ph="1"/>
    </row>
    <row r="2948" spans="1:25" s="19" customFormat="1" ht="22.5" customHeight="1" ph="1" x14ac:dyDescent="0.35">
      <c r="A2948" s="106" t="s" ph="1">
        <v>1670</v>
      </c>
      <c r="B2948" s="5" t="s" ph="1">
        <v>1622</v>
      </c>
      <c r="C2948" s="13" t="s" ph="1">
        <v>7591</v>
      </c>
      <c r="D2948" s="123" ph="1">
        <v>5</v>
      </c>
      <c r="E2948" s="123" ph="1">
        <v>6</v>
      </c>
      <c r="F2948" s="13" ph="1"/>
      <c r="G2948" s="13" t="s" ph="1">
        <v>1574</v>
      </c>
      <c r="H2948" s="13" t="s" ph="1">
        <v>61</v>
      </c>
      <c r="I2948" s="13" t="s" ph="1">
        <v>9348</v>
      </c>
      <c r="J2948" s="13" ph="1"/>
      <c r="K2948" s="13" ph="1"/>
      <c r="L2948" s="13" ph="1"/>
      <c r="M2948" s="14" t="str" ph="1">
        <f>IFERROR(INDEX([1]!_born[生没年],
MATCH(I2948,[1]!_born[作],0)),"")</f>
        <v/>
      </c>
      <c r="N2948" s="14" t="str" ph="1">
        <f>IFERROR(INDEX([1]!_born[生没年],
MATCH(K2948,[1]!_born[作],0)),"")</f>
        <v/>
      </c>
      <c r="O2948" s="13" t="s" ph="1">
        <v>235</v>
      </c>
      <c r="P2948" s="13" ph="1"/>
      <c r="Q2948" s="13" ph="1"/>
      <c r="R2948" s="16" ph="1"/>
      <c r="S2948" s="13" ph="1"/>
      <c r="T2948" s="13" t="s" ph="1">
        <v>9337</v>
      </c>
      <c r="U2948" s="16" ph="1">
        <v>39000</v>
      </c>
      <c r="V2948" s="17" ph="1">
        <f t="shared" si="25"/>
        <v>610.05000000000007</v>
      </c>
      <c r="W2948" s="17" ph="1"/>
      <c r="X2948" s="13" t="s" ph="1">
        <v>5298</v>
      </c>
      <c r="Y2948" s="13" ph="1"/>
    </row>
    <row r="2949" spans="1:25" s="19" customFormat="1" ht="22.5" customHeight="1" ph="1" x14ac:dyDescent="0.35">
      <c r="A2949" s="106" t="s" ph="1">
        <v>1671</v>
      </c>
      <c r="B2949" s="5" t="s" ph="1">
        <v>1622</v>
      </c>
      <c r="C2949" s="13" t="s" ph="1">
        <v>7591</v>
      </c>
      <c r="D2949" s="123" ph="1">
        <v>6</v>
      </c>
      <c r="E2949" s="123" ph="1">
        <v>6</v>
      </c>
      <c r="F2949" s="13" ph="1"/>
      <c r="G2949" s="13" t="s" ph="1">
        <v>1574</v>
      </c>
      <c r="H2949" s="13" t="s" ph="1">
        <v>61</v>
      </c>
      <c r="I2949" s="13" t="s" ph="1">
        <v>9348</v>
      </c>
      <c r="J2949" s="13" ph="1"/>
      <c r="K2949" s="13" ph="1"/>
      <c r="L2949" s="13" ph="1"/>
      <c r="M2949" s="14" t="str" ph="1">
        <f>IFERROR(INDEX([1]!_born[生没年],
MATCH(I2949,[1]!_born[作],0)),"")</f>
        <v/>
      </c>
      <c r="N2949" s="14" t="str" ph="1">
        <f>IFERROR(INDEX([1]!_born[生没年],
MATCH(K2949,[1]!_born[作],0)),"")</f>
        <v/>
      </c>
      <c r="O2949" s="13" t="s" ph="1">
        <v>235</v>
      </c>
      <c r="P2949" s="13" ph="1"/>
      <c r="Q2949" s="13" ph="1"/>
      <c r="R2949" s="16" ph="1"/>
      <c r="S2949" s="13" ph="1"/>
      <c r="T2949" s="13" t="s" ph="1">
        <v>9337</v>
      </c>
      <c r="U2949" s="16" ph="1">
        <v>39000</v>
      </c>
      <c r="V2949" s="17" ph="1">
        <f t="shared" si="25"/>
        <v>610.05000000000007</v>
      </c>
      <c r="W2949" s="17" ph="1"/>
      <c r="X2949" s="13" t="s" ph="1">
        <v>5298</v>
      </c>
      <c r="Y2949" s="13" ph="1"/>
    </row>
    <row r="2950" spans="1:25" s="19" customFormat="1" ht="22.5" customHeight="1" ph="1" x14ac:dyDescent="0.35">
      <c r="A2950" s="106" t="s" ph="1">
        <v>1663</v>
      </c>
      <c r="B2950" s="5" t="s" ph="1">
        <v>1622</v>
      </c>
      <c r="C2950" s="13" t="s" ph="1">
        <v>7591</v>
      </c>
      <c r="D2950" s="123" ph="1">
        <v>1</v>
      </c>
      <c r="E2950" s="123" ph="1">
        <v>3</v>
      </c>
      <c r="F2950" s="13" ph="1"/>
      <c r="G2950" s="13" t="s" ph="1">
        <v>1574</v>
      </c>
      <c r="H2950" s="13" t="s" ph="1">
        <v>61</v>
      </c>
      <c r="I2950" s="13" t="s" ph="1">
        <v>9349</v>
      </c>
      <c r="J2950" s="13" ph="1"/>
      <c r="K2950" s="13" ph="1"/>
      <c r="L2950" s="13" ph="1"/>
      <c r="M2950" s="14" t="str" ph="1">
        <f>IFERROR(INDEX([1]!_born[生没年],
MATCH(I2950,[1]!_born[作],0)),"")</f>
        <v/>
      </c>
      <c r="N2950" s="14" t="str" ph="1">
        <f>IFERROR(INDEX([1]!_born[生没年],
MATCH(K2950,[1]!_born[作],0)),"")</f>
        <v/>
      </c>
      <c r="O2950" s="13" t="s" ph="1">
        <v>9350</v>
      </c>
      <c r="P2950" s="13" ph="1"/>
      <c r="Q2950" s="13" ph="1"/>
      <c r="R2950" s="16" ph="1"/>
      <c r="S2950" s="13" ph="1"/>
      <c r="T2950" s="13" ph="1"/>
      <c r="U2950" s="16" t="s" ph="1">
        <v>1612</v>
      </c>
      <c r="V2950" s="17" ph="1">
        <f>563*1.03</f>
        <v>579.89</v>
      </c>
      <c r="W2950" s="17" ph="1"/>
      <c r="X2950" s="13" ph="1"/>
      <c r="Y2950" s="13" ph="1"/>
    </row>
    <row r="2951" spans="1:25" s="19" customFormat="1" ht="22.5" customHeight="1" ph="1" x14ac:dyDescent="0.35">
      <c r="A2951" s="106" t="s" ph="1">
        <v>1664</v>
      </c>
      <c r="B2951" s="5" t="s" ph="1">
        <v>1622</v>
      </c>
      <c r="C2951" s="13" t="s" ph="1">
        <v>7591</v>
      </c>
      <c r="D2951" s="123" ph="1">
        <v>2</v>
      </c>
      <c r="E2951" s="123" ph="1">
        <v>3</v>
      </c>
      <c r="F2951" s="13" ph="1"/>
      <c r="G2951" s="13" t="s" ph="1">
        <v>1574</v>
      </c>
      <c r="H2951" s="13" t="s" ph="1">
        <v>61</v>
      </c>
      <c r="I2951" s="13" t="s" ph="1">
        <v>9349</v>
      </c>
      <c r="J2951" s="13" ph="1"/>
      <c r="K2951" s="13" ph="1"/>
      <c r="L2951" s="13" ph="1"/>
      <c r="M2951" s="14" t="str" ph="1">
        <f>IFERROR(INDEX([1]!_born[生没年],
MATCH(I2951,[1]!_born[作],0)),"")</f>
        <v/>
      </c>
      <c r="N2951" s="14" t="str" ph="1">
        <f>IFERROR(INDEX([1]!_born[生没年],
MATCH(K2951,[1]!_born[作],0)),"")</f>
        <v/>
      </c>
      <c r="O2951" s="13" t="s" ph="1">
        <v>9350</v>
      </c>
      <c r="P2951" s="13" ph="1"/>
      <c r="Q2951" s="13" ph="1"/>
      <c r="R2951" s="16" ph="1"/>
      <c r="S2951" s="13" ph="1"/>
      <c r="T2951" s="13" ph="1"/>
      <c r="U2951" s="16" t="s" ph="1">
        <v>1612</v>
      </c>
      <c r="V2951" s="17" ph="1">
        <f>563*1.03</f>
        <v>579.89</v>
      </c>
      <c r="W2951" s="17" ph="1"/>
      <c r="X2951" s="13" ph="1"/>
      <c r="Y2951" s="13" ph="1"/>
    </row>
    <row r="2952" spans="1:25" s="19" customFormat="1" ht="22.5" customHeight="1" ph="1" x14ac:dyDescent="0.35">
      <c r="A2952" s="106" t="s" ph="1">
        <v>1665</v>
      </c>
      <c r="B2952" s="5" t="s" ph="1">
        <v>1622</v>
      </c>
      <c r="C2952" s="13" t="s" ph="1">
        <v>7591</v>
      </c>
      <c r="D2952" s="123" ph="1">
        <v>3</v>
      </c>
      <c r="E2952" s="123" ph="1">
        <v>3</v>
      </c>
      <c r="F2952" s="13" ph="1"/>
      <c r="G2952" s="13" t="s" ph="1">
        <v>1574</v>
      </c>
      <c r="H2952" s="13" t="s" ph="1">
        <v>61</v>
      </c>
      <c r="I2952" s="13" t="s" ph="1">
        <v>9349</v>
      </c>
      <c r="J2952" s="13" ph="1"/>
      <c r="K2952" s="13" ph="1"/>
      <c r="L2952" s="13" ph="1"/>
      <c r="M2952" s="14" t="str" ph="1">
        <f>IFERROR(INDEX([1]!_born[生没年],
MATCH(I2952,[1]!_born[作],0)),"")</f>
        <v/>
      </c>
      <c r="N2952" s="14" t="str" ph="1">
        <f>IFERROR(INDEX([1]!_born[生没年],
MATCH(K2952,[1]!_born[作],0)),"")</f>
        <v/>
      </c>
      <c r="O2952" s="13" t="s" ph="1">
        <v>9350</v>
      </c>
      <c r="P2952" s="13" ph="1"/>
      <c r="Q2952" s="13" ph="1"/>
      <c r="R2952" s="16" ph="1"/>
      <c r="S2952" s="13" ph="1"/>
      <c r="T2952" s="13" ph="1"/>
      <c r="U2952" s="16" t="s" ph="1">
        <v>1612</v>
      </c>
      <c r="V2952" s="17" ph="1">
        <f>563*1.03</f>
        <v>579.89</v>
      </c>
      <c r="W2952" s="17" ph="1"/>
      <c r="X2952" s="13" ph="1"/>
      <c r="Y2952" s="13" ph="1"/>
    </row>
    <row r="2953" spans="1:25" ht="22.5" customHeight="1" ph="1" x14ac:dyDescent="0.35">
      <c r="A2953" s="106" t="s" ph="1">
        <v>2467</v>
      </c>
      <c r="B2953" s="5" t="s" ph="1">
        <v>1622</v>
      </c>
      <c r="C2953" s="13" t="s" ph="1">
        <v>7591</v>
      </c>
      <c r="D2953" s="123" ph="1">
        <v>4</v>
      </c>
      <c r="E2953" s="123" t="s" ph="1">
        <v>3145</v>
      </c>
      <c r="G2953" s="13" t="s" ph="1">
        <v>699</v>
      </c>
      <c r="H2953" s="13" t="s" ph="1">
        <v>61</v>
      </c>
      <c r="I2953" s="13" t="s" ph="1">
        <v>8978</v>
      </c>
      <c r="M2953" s="14" t="str" ph="1">
        <f>IFERROR(INDEX([1]!_born[生没年],
MATCH(I2953,[1]!_born[作],0)),"")</f>
        <v/>
      </c>
      <c r="N2953" s="14" t="str" ph="1">
        <f>IFERROR(INDEX([1]!_born[生没年],
MATCH(K2953,[1]!_born[作],0)),"")</f>
        <v/>
      </c>
      <c r="O2953" s="13" t="s" ph="1">
        <v>9351</v>
      </c>
      <c r="T2953" s="13" t="s" ph="1">
        <v>8734</v>
      </c>
      <c r="U2953" s="16" ph="1">
        <v>40123</v>
      </c>
      <c r="V2953" s="17" ph="1">
        <f>563*1.05-1</f>
        <v>590.15</v>
      </c>
      <c r="W2953" s="17" ph="1">
        <v>210</v>
      </c>
    </row>
    <row r="2954" spans="1:25" s="19" customFormat="1" ht="22.5" customHeight="1" ph="1" x14ac:dyDescent="0.35">
      <c r="A2954" s="107" ph="1"/>
      <c r="B2954" s="18" ph="1"/>
      <c r="C2954" s="19" t="s" ph="1">
        <v>8023</v>
      </c>
      <c r="D2954" s="124" ph="1"/>
      <c r="E2954" s="124" ph="1"/>
      <c r="G2954" s="19" t="s" ph="1">
        <v>1574</v>
      </c>
      <c r="H2954" s="19" t="s" ph="1">
        <v>2987</v>
      </c>
      <c r="I2954" s="19" t="s" ph="1">
        <v>8981</v>
      </c>
      <c r="M2954" s="27" t="str" ph="1">
        <f>IFERROR(INDEX([1]!_born[生没年],
MATCH(I2954,[1]!_born[作],0)),"")</f>
        <v/>
      </c>
      <c r="N2954" s="27" t="str" ph="1">
        <f>IFERROR(INDEX([1]!_born[生没年],
MATCH(K2954,[1]!_born[作],0)),"")</f>
        <v/>
      </c>
      <c r="O2954" s="19" t="s" ph="1">
        <v>9352</v>
      </c>
      <c r="R2954" s="20" ph="1"/>
      <c r="T2954" s="19" t="s" ph="1">
        <v>9353</v>
      </c>
      <c r="U2954" s="20" ph="1">
        <v>34925</v>
      </c>
      <c r="V2954" s="21" ph="1">
        <v>620</v>
      </c>
      <c r="W2954" s="21" ph="1"/>
      <c r="X2954" s="19" t="s" ph="1">
        <v>1624</v>
      </c>
      <c r="Y2954" s="19" t="s" ph="1">
        <v>1642</v>
      </c>
    </row>
    <row r="2955" spans="1:25" s="19" customFormat="1" ht="22.5" customHeight="1" ph="1" x14ac:dyDescent="0.35">
      <c r="A2955" s="107" ph="1"/>
      <c r="B2955" s="18" ph="1"/>
      <c r="C2955" s="19" t="s" ph="1">
        <v>8023</v>
      </c>
      <c r="D2955" s="124" ph="1">
        <v>1</v>
      </c>
      <c r="E2955" s="124" ph="1">
        <v>2</v>
      </c>
      <c r="G2955" s="19" t="s" ph="1">
        <v>1574</v>
      </c>
      <c r="H2955" s="19" t="s" ph="1">
        <v>2987</v>
      </c>
      <c r="I2955" s="19" t="s" ph="1">
        <v>8981</v>
      </c>
      <c r="M2955" s="27" t="str" ph="1">
        <f>IFERROR(INDEX([1]!_born[生没年],
MATCH(I2955,[1]!_born[作],0)),"")</f>
        <v/>
      </c>
      <c r="N2955" s="27" t="str" ph="1">
        <f>IFERROR(INDEX([1]!_born[生没年],
MATCH(K2955,[1]!_born[作],0)),"")</f>
        <v/>
      </c>
      <c r="O2955" s="19" t="s" ph="1">
        <v>9354</v>
      </c>
      <c r="R2955" s="20" ph="1"/>
      <c r="T2955" s="19" t="s" ph="1">
        <v>9353</v>
      </c>
      <c r="U2955" s="20" ph="1"/>
      <c r="V2955" s="21" ph="1"/>
      <c r="W2955" s="21" ph="1"/>
      <c r="Y2955" s="19" t="s" ph="1">
        <v>1642</v>
      </c>
    </row>
    <row r="2956" spans="1:25" s="19" customFormat="1" ht="22.5" customHeight="1" ph="1" x14ac:dyDescent="0.35">
      <c r="A2956" s="107" ph="1"/>
      <c r="B2956" s="18" ph="1"/>
      <c r="C2956" s="19" t="s" ph="1">
        <v>8023</v>
      </c>
      <c r="D2956" s="124" ph="1">
        <v>2</v>
      </c>
      <c r="E2956" s="124" ph="1">
        <v>2</v>
      </c>
      <c r="G2956" s="19" t="s" ph="1">
        <v>1574</v>
      </c>
      <c r="H2956" s="19" t="s" ph="1">
        <v>2987</v>
      </c>
      <c r="I2956" s="19" t="s" ph="1">
        <v>8981</v>
      </c>
      <c r="M2956" s="27" t="str" ph="1">
        <f>IFERROR(INDEX([1]!_born[生没年],
MATCH(I2956,[1]!_born[作],0)),"")</f>
        <v/>
      </c>
      <c r="N2956" s="27" t="str" ph="1">
        <f>IFERROR(INDEX([1]!_born[生没年],
MATCH(K2956,[1]!_born[作],0)),"")</f>
        <v/>
      </c>
      <c r="O2956" s="19" t="s" ph="1">
        <v>9354</v>
      </c>
      <c r="R2956" s="20" ph="1"/>
      <c r="T2956" s="19" t="s" ph="1">
        <v>9353</v>
      </c>
      <c r="U2956" s="20" ph="1"/>
      <c r="V2956" s="21" ph="1"/>
      <c r="W2956" s="21" ph="1"/>
      <c r="Y2956" s="19" t="s" ph="1">
        <v>1642</v>
      </c>
    </row>
    <row r="2957" spans="1:25" s="19" customFormat="1" ht="22.5" customHeight="1" ph="1" x14ac:dyDescent="0.35">
      <c r="A2957" s="107" ph="1"/>
      <c r="B2957" s="18" ph="1"/>
      <c r="C2957" s="19" t="s" ph="1">
        <v>8023</v>
      </c>
      <c r="D2957" s="124" ph="1"/>
      <c r="E2957" s="124" ph="1"/>
      <c r="G2957" s="19" t="s" ph="1">
        <v>1574</v>
      </c>
      <c r="H2957" s="19" t="s" ph="1">
        <v>2987</v>
      </c>
      <c r="I2957" s="19" t="s" ph="1">
        <v>8981</v>
      </c>
      <c r="M2957" s="27" t="str" ph="1">
        <f>IFERROR(INDEX([1]!_born[生没年],
MATCH(I2957,[1]!_born[作],0)),"")</f>
        <v/>
      </c>
      <c r="N2957" s="27" t="str" ph="1">
        <f>IFERROR(INDEX([1]!_born[生没年],
MATCH(K2957,[1]!_born[作],0)),"")</f>
        <v/>
      </c>
      <c r="O2957" s="19" t="s" ph="1">
        <v>9355</v>
      </c>
      <c r="R2957" s="20" ph="1"/>
      <c r="T2957" s="19" t="s" ph="1">
        <v>9353</v>
      </c>
      <c r="U2957" s="20" ph="1">
        <v>34925</v>
      </c>
      <c r="V2957" s="21" ph="1">
        <v>680</v>
      </c>
      <c r="W2957" s="21" ph="1"/>
      <c r="X2957" s="19" t="s" ph="1">
        <v>1624</v>
      </c>
      <c r="Y2957" s="19" t="s" ph="1">
        <v>1642</v>
      </c>
    </row>
    <row r="2958" spans="1:25" s="19" customFormat="1" ht="22.5" customHeight="1" ph="1" x14ac:dyDescent="0.35">
      <c r="A2958" s="107" ph="1"/>
      <c r="B2958" s="18" ph="1"/>
      <c r="C2958" s="19" t="s" ph="1">
        <v>8023</v>
      </c>
      <c r="D2958" s="124" ph="1">
        <v>1</v>
      </c>
      <c r="E2958" s="124" ph="1">
        <v>9</v>
      </c>
      <c r="G2958" s="19" t="s" ph="1">
        <v>1574</v>
      </c>
      <c r="H2958" s="19" t="s" ph="1">
        <v>2987</v>
      </c>
      <c r="I2958" s="19" t="s" ph="1">
        <v>8981</v>
      </c>
      <c r="M2958" s="27" t="str" ph="1">
        <f>IFERROR(INDEX([1]!_born[生没年],
MATCH(I2958,[1]!_born[作],0)),"")</f>
        <v/>
      </c>
      <c r="N2958" s="27" t="str" ph="1">
        <f>IFERROR(INDEX([1]!_born[生没年],
MATCH(K2958,[1]!_born[作],0)),"")</f>
        <v/>
      </c>
      <c r="O2958" s="19" t="s" ph="1">
        <v>9356</v>
      </c>
      <c r="R2958" s="20" ph="1"/>
      <c r="T2958" s="19" t="s" ph="1">
        <v>9357</v>
      </c>
      <c r="U2958" s="20" t="s" ph="1">
        <v>9358</v>
      </c>
      <c r="V2958" s="21" ph="1">
        <v>500</v>
      </c>
      <c r="W2958" s="21" ph="1"/>
      <c r="X2958" s="19" t="s" ph="1">
        <v>1624</v>
      </c>
      <c r="Y2958" s="19" t="s" ph="1">
        <v>1642</v>
      </c>
    </row>
    <row r="2959" spans="1:25" s="19" customFormat="1" ht="22.5" customHeight="1" ph="1" x14ac:dyDescent="0.35">
      <c r="A2959" s="107" ph="1"/>
      <c r="B2959" s="18" ph="1"/>
      <c r="C2959" s="19" t="s" ph="1">
        <v>8023</v>
      </c>
      <c r="D2959" s="124" ph="1">
        <v>2</v>
      </c>
      <c r="E2959" s="124" ph="1">
        <v>9</v>
      </c>
      <c r="G2959" s="19" t="s" ph="1">
        <v>1574</v>
      </c>
      <c r="H2959" s="19" t="s" ph="1">
        <v>2987</v>
      </c>
      <c r="I2959" s="19" t="s" ph="1">
        <v>8981</v>
      </c>
      <c r="M2959" s="27" t="str" ph="1">
        <f>IFERROR(INDEX([1]!_born[生没年],
MATCH(I2959,[1]!_born[作],0)),"")</f>
        <v/>
      </c>
      <c r="N2959" s="27" t="str" ph="1">
        <f>IFERROR(INDEX([1]!_born[生没年],
MATCH(K2959,[1]!_born[作],0)),"")</f>
        <v/>
      </c>
      <c r="O2959" s="19" t="s" ph="1">
        <v>9356</v>
      </c>
      <c r="R2959" s="20" ph="1"/>
      <c r="T2959" s="19" t="s" ph="1">
        <v>9357</v>
      </c>
      <c r="U2959" s="20" t="s" ph="1">
        <v>9358</v>
      </c>
      <c r="V2959" s="21" ph="1">
        <v>500</v>
      </c>
      <c r="W2959" s="21" ph="1"/>
      <c r="X2959" s="19" t="s" ph="1">
        <v>1624</v>
      </c>
      <c r="Y2959" s="19" t="s" ph="1">
        <v>1642</v>
      </c>
    </row>
    <row r="2960" spans="1:25" s="19" customFormat="1" ht="22.5" customHeight="1" ph="1" x14ac:dyDescent="0.35">
      <c r="A2960" s="107" ph="1"/>
      <c r="B2960" s="18" ph="1"/>
      <c r="C2960" s="19" t="s" ph="1">
        <v>8023</v>
      </c>
      <c r="D2960" s="124" ph="1">
        <v>3</v>
      </c>
      <c r="E2960" s="124" ph="1">
        <v>9</v>
      </c>
      <c r="G2960" s="19" t="s" ph="1">
        <v>1574</v>
      </c>
      <c r="H2960" s="19" t="s" ph="1">
        <v>2987</v>
      </c>
      <c r="I2960" s="19" t="s" ph="1">
        <v>8981</v>
      </c>
      <c r="M2960" s="27" t="str" ph="1">
        <f>IFERROR(INDEX([1]!_born[生没年],
MATCH(I2960,[1]!_born[作],0)),"")</f>
        <v/>
      </c>
      <c r="N2960" s="27" t="str" ph="1">
        <f>IFERROR(INDEX([1]!_born[生没年],
MATCH(K2960,[1]!_born[作],0)),"")</f>
        <v/>
      </c>
      <c r="O2960" s="19" t="s" ph="1">
        <v>9356</v>
      </c>
      <c r="R2960" s="20" ph="1"/>
      <c r="T2960" s="19" t="s" ph="1">
        <v>9357</v>
      </c>
      <c r="U2960" s="20" t="s" ph="1">
        <v>9358</v>
      </c>
      <c r="V2960" s="21" ph="1">
        <v>500</v>
      </c>
      <c r="W2960" s="21" ph="1"/>
      <c r="X2960" s="19" t="s" ph="1">
        <v>1624</v>
      </c>
      <c r="Y2960" s="19" t="s" ph="1">
        <v>1642</v>
      </c>
    </row>
    <row r="2961" spans="1:25" s="19" customFormat="1" ht="22.5" customHeight="1" ph="1" x14ac:dyDescent="0.35">
      <c r="A2961" s="107" ph="1"/>
      <c r="B2961" s="18" ph="1"/>
      <c r="C2961" s="19" t="s" ph="1">
        <v>8023</v>
      </c>
      <c r="D2961" s="124" ph="1">
        <v>4</v>
      </c>
      <c r="E2961" s="124" ph="1">
        <v>9</v>
      </c>
      <c r="G2961" s="19" t="s" ph="1">
        <v>1574</v>
      </c>
      <c r="H2961" s="19" t="s" ph="1">
        <v>2987</v>
      </c>
      <c r="I2961" s="19" t="s" ph="1">
        <v>8981</v>
      </c>
      <c r="M2961" s="27" t="str" ph="1">
        <f>IFERROR(INDEX([1]!_born[生没年],
MATCH(I2961,[1]!_born[作],0)),"")</f>
        <v/>
      </c>
      <c r="N2961" s="27" t="str" ph="1">
        <f>IFERROR(INDEX([1]!_born[生没年],
MATCH(K2961,[1]!_born[作],0)),"")</f>
        <v/>
      </c>
      <c r="O2961" s="19" t="s" ph="1">
        <v>9356</v>
      </c>
      <c r="R2961" s="20" ph="1"/>
      <c r="T2961" s="19" t="s" ph="1">
        <v>9357</v>
      </c>
      <c r="U2961" s="20" t="s" ph="1">
        <v>9358</v>
      </c>
      <c r="V2961" s="21" ph="1">
        <v>500</v>
      </c>
      <c r="W2961" s="21" ph="1"/>
      <c r="X2961" s="19" t="s" ph="1">
        <v>1624</v>
      </c>
      <c r="Y2961" s="19" t="s" ph="1">
        <v>1642</v>
      </c>
    </row>
    <row r="2962" spans="1:25" s="19" customFormat="1" ht="22.5" customHeight="1" ph="1" x14ac:dyDescent="0.35">
      <c r="A2962" s="107" ph="1"/>
      <c r="B2962" s="18" ph="1"/>
      <c r="C2962" s="19" t="s" ph="1">
        <v>8023</v>
      </c>
      <c r="D2962" s="124" ph="1">
        <v>5</v>
      </c>
      <c r="E2962" s="124" ph="1">
        <v>9</v>
      </c>
      <c r="G2962" s="19" t="s" ph="1">
        <v>1574</v>
      </c>
      <c r="H2962" s="19" t="s" ph="1">
        <v>2987</v>
      </c>
      <c r="I2962" s="19" t="s" ph="1">
        <v>8981</v>
      </c>
      <c r="M2962" s="27" t="str" ph="1">
        <f>IFERROR(INDEX([1]!_born[生没年],
MATCH(I2962,[1]!_born[作],0)),"")</f>
        <v/>
      </c>
      <c r="N2962" s="27" t="str" ph="1">
        <f>IFERROR(INDEX([1]!_born[生没年],
MATCH(K2962,[1]!_born[作],0)),"")</f>
        <v/>
      </c>
      <c r="O2962" s="19" t="s" ph="1">
        <v>9356</v>
      </c>
      <c r="R2962" s="20" ph="1"/>
      <c r="T2962" s="19" t="s" ph="1">
        <v>9357</v>
      </c>
      <c r="U2962" s="20" t="s" ph="1">
        <v>9358</v>
      </c>
      <c r="V2962" s="21" ph="1">
        <v>500</v>
      </c>
      <c r="W2962" s="21" ph="1"/>
      <c r="X2962" s="19" t="s" ph="1">
        <v>1624</v>
      </c>
      <c r="Y2962" s="19" t="s" ph="1">
        <v>1642</v>
      </c>
    </row>
    <row r="2963" spans="1:25" s="19" customFormat="1" ht="22.5" customHeight="1" ph="1" x14ac:dyDescent="0.35">
      <c r="A2963" s="107" ph="1"/>
      <c r="B2963" s="18" ph="1"/>
      <c r="C2963" s="19" t="s" ph="1">
        <v>8023</v>
      </c>
      <c r="D2963" s="124" ph="1">
        <v>6</v>
      </c>
      <c r="E2963" s="124" ph="1">
        <v>9</v>
      </c>
      <c r="G2963" s="19" t="s" ph="1">
        <v>1574</v>
      </c>
      <c r="H2963" s="19" t="s" ph="1">
        <v>2987</v>
      </c>
      <c r="I2963" s="19" t="s" ph="1">
        <v>8981</v>
      </c>
      <c r="M2963" s="27" t="str" ph="1">
        <f>IFERROR(INDEX([1]!_born[生没年],
MATCH(I2963,[1]!_born[作],0)),"")</f>
        <v/>
      </c>
      <c r="N2963" s="27" t="str" ph="1">
        <f>IFERROR(INDEX([1]!_born[生没年],
MATCH(K2963,[1]!_born[作],0)),"")</f>
        <v/>
      </c>
      <c r="O2963" s="19" t="s" ph="1">
        <v>9356</v>
      </c>
      <c r="R2963" s="20" ph="1"/>
      <c r="T2963" s="19" t="s" ph="1">
        <v>9357</v>
      </c>
      <c r="U2963" s="20" t="s" ph="1">
        <v>9358</v>
      </c>
      <c r="V2963" s="21" ph="1">
        <v>500</v>
      </c>
      <c r="W2963" s="21" ph="1"/>
      <c r="X2963" s="19" t="s" ph="1">
        <v>1624</v>
      </c>
      <c r="Y2963" s="19" t="s" ph="1">
        <v>1642</v>
      </c>
    </row>
    <row r="2964" spans="1:25" s="19" customFormat="1" ht="22.5" customHeight="1" ph="1" x14ac:dyDescent="0.35">
      <c r="A2964" s="107" ph="1"/>
      <c r="B2964" s="18" ph="1"/>
      <c r="C2964" s="19" t="s" ph="1">
        <v>8023</v>
      </c>
      <c r="D2964" s="124" ph="1">
        <v>7</v>
      </c>
      <c r="E2964" s="124" ph="1">
        <v>9</v>
      </c>
      <c r="G2964" s="19" t="s" ph="1">
        <v>1574</v>
      </c>
      <c r="H2964" s="19" t="s" ph="1">
        <v>2987</v>
      </c>
      <c r="I2964" s="19" t="s" ph="1">
        <v>8981</v>
      </c>
      <c r="M2964" s="27" t="str" ph="1">
        <f>IFERROR(INDEX([1]!_born[生没年],
MATCH(I2964,[1]!_born[作],0)),"")</f>
        <v/>
      </c>
      <c r="N2964" s="27" t="str" ph="1">
        <f>IFERROR(INDEX([1]!_born[生没年],
MATCH(K2964,[1]!_born[作],0)),"")</f>
        <v/>
      </c>
      <c r="O2964" s="19" t="s" ph="1">
        <v>9356</v>
      </c>
      <c r="R2964" s="20" ph="1"/>
      <c r="T2964" s="19" t="s" ph="1">
        <v>9357</v>
      </c>
      <c r="U2964" s="20" t="s" ph="1">
        <v>9358</v>
      </c>
      <c r="V2964" s="21" ph="1">
        <v>500</v>
      </c>
      <c r="W2964" s="21" ph="1"/>
      <c r="X2964" s="19" t="s" ph="1">
        <v>1624</v>
      </c>
      <c r="Y2964" s="19" t="s" ph="1">
        <v>1642</v>
      </c>
    </row>
    <row r="2965" spans="1:25" s="19" customFormat="1" ht="22.5" customHeight="1" ph="1" x14ac:dyDescent="0.35">
      <c r="A2965" s="107" ph="1"/>
      <c r="B2965" s="18" ph="1"/>
      <c r="C2965" s="19" t="s" ph="1">
        <v>8023</v>
      </c>
      <c r="D2965" s="124" ph="1">
        <v>8</v>
      </c>
      <c r="E2965" s="124" ph="1">
        <v>9</v>
      </c>
      <c r="G2965" s="19" t="s" ph="1">
        <v>1574</v>
      </c>
      <c r="H2965" s="19" t="s" ph="1">
        <v>2987</v>
      </c>
      <c r="I2965" s="19" t="s" ph="1">
        <v>8981</v>
      </c>
      <c r="M2965" s="27" t="str" ph="1">
        <f>IFERROR(INDEX([1]!_born[生没年],
MATCH(I2965,[1]!_born[作],0)),"")</f>
        <v/>
      </c>
      <c r="N2965" s="27" t="str" ph="1">
        <f>IFERROR(INDEX([1]!_born[生没年],
MATCH(K2965,[1]!_born[作],0)),"")</f>
        <v/>
      </c>
      <c r="O2965" s="19" t="s" ph="1">
        <v>9356</v>
      </c>
      <c r="R2965" s="20" ph="1"/>
      <c r="T2965" s="19" t="s" ph="1">
        <v>9357</v>
      </c>
      <c r="U2965" s="20" t="s" ph="1">
        <v>9358</v>
      </c>
      <c r="V2965" s="21" ph="1">
        <v>500</v>
      </c>
      <c r="W2965" s="21" ph="1"/>
      <c r="X2965" s="19" t="s" ph="1">
        <v>1624</v>
      </c>
      <c r="Y2965" s="19" t="s" ph="1">
        <v>1642</v>
      </c>
    </row>
    <row r="2966" spans="1:25" s="19" customFormat="1" ht="22.5" customHeight="1" ph="1" x14ac:dyDescent="0.35">
      <c r="A2966" s="107" ph="1"/>
      <c r="B2966" s="18" ph="1"/>
      <c r="C2966" s="19" t="s" ph="1">
        <v>8023</v>
      </c>
      <c r="D2966" s="124" ph="1">
        <v>9</v>
      </c>
      <c r="E2966" s="124" ph="1">
        <v>9</v>
      </c>
      <c r="G2966" s="19" t="s" ph="1">
        <v>1574</v>
      </c>
      <c r="H2966" s="19" t="s" ph="1">
        <v>2987</v>
      </c>
      <c r="I2966" s="19" t="s" ph="1">
        <v>8981</v>
      </c>
      <c r="M2966" s="27" t="str" ph="1">
        <f>IFERROR(INDEX([1]!_born[生没年],
MATCH(I2966,[1]!_born[作],0)),"")</f>
        <v/>
      </c>
      <c r="N2966" s="27" t="str" ph="1">
        <f>IFERROR(INDEX([1]!_born[生没年],
MATCH(K2966,[1]!_born[作],0)),"")</f>
        <v/>
      </c>
      <c r="O2966" s="19" t="s" ph="1">
        <v>9356</v>
      </c>
      <c r="R2966" s="20" ph="1"/>
      <c r="T2966" s="19" t="s" ph="1">
        <v>9357</v>
      </c>
      <c r="U2966" s="20" t="s" ph="1">
        <v>9358</v>
      </c>
      <c r="V2966" s="21" ph="1">
        <v>500</v>
      </c>
      <c r="W2966" s="21" ph="1"/>
      <c r="X2966" s="19" t="s" ph="1">
        <v>1624</v>
      </c>
      <c r="Y2966" s="19" t="s" ph="1">
        <v>1642</v>
      </c>
    </row>
    <row r="2967" spans="1:25" s="19" customFormat="1" ht="22.5" customHeight="1" ph="1" x14ac:dyDescent="0.35">
      <c r="A2967" s="107" ph="1"/>
      <c r="B2967" s="18" ph="1"/>
      <c r="C2967" s="19" t="s" ph="1">
        <v>8023</v>
      </c>
      <c r="D2967" s="124" ph="1">
        <v>1</v>
      </c>
      <c r="E2967" s="124" ph="1">
        <v>3</v>
      </c>
      <c r="G2967" s="19" t="s" ph="1">
        <v>1574</v>
      </c>
      <c r="H2967" s="19" t="s" ph="1">
        <v>2987</v>
      </c>
      <c r="I2967" s="19" t="s" ph="1">
        <v>8981</v>
      </c>
      <c r="M2967" s="27" t="str" ph="1">
        <f>IFERROR(INDEX([1]!_born[生没年],
MATCH(I2967,[1]!_born[作],0)),"")</f>
        <v/>
      </c>
      <c r="N2967" s="27" t="str" ph="1">
        <f>IFERROR(INDEX([1]!_born[生没年],
MATCH(K2967,[1]!_born[作],0)),"")</f>
        <v/>
      </c>
      <c r="O2967" s="19" t="s" ph="1">
        <v>9359</v>
      </c>
      <c r="R2967" s="20" ph="1"/>
      <c r="T2967" s="19" t="s" ph="1">
        <v>9357</v>
      </c>
      <c r="U2967" s="20" ph="1">
        <v>34837</v>
      </c>
      <c r="V2967" s="21" ph="1">
        <v>450</v>
      </c>
      <c r="W2967" s="21" ph="1"/>
      <c r="X2967" s="19" t="s" ph="1">
        <v>1624</v>
      </c>
      <c r="Y2967" s="19" t="s" ph="1">
        <v>1642</v>
      </c>
    </row>
    <row r="2968" spans="1:25" s="19" customFormat="1" ht="22.5" customHeight="1" ph="1" x14ac:dyDescent="0.35">
      <c r="A2968" s="107" ph="1"/>
      <c r="B2968" s="18" ph="1"/>
      <c r="C2968" s="19" t="s" ph="1">
        <v>8023</v>
      </c>
      <c r="D2968" s="124" ph="1">
        <v>2</v>
      </c>
      <c r="E2968" s="124" ph="1">
        <v>3</v>
      </c>
      <c r="G2968" s="19" t="s" ph="1">
        <v>1574</v>
      </c>
      <c r="H2968" s="19" t="s" ph="1">
        <v>2987</v>
      </c>
      <c r="I2968" s="19" t="s" ph="1">
        <v>8981</v>
      </c>
      <c r="M2968" s="27" t="str" ph="1">
        <f>IFERROR(INDEX([1]!_born[生没年],
MATCH(I2968,[1]!_born[作],0)),"")</f>
        <v/>
      </c>
      <c r="N2968" s="27" t="str" ph="1">
        <f>IFERROR(INDEX([1]!_born[生没年],
MATCH(K2968,[1]!_born[作],0)),"")</f>
        <v/>
      </c>
      <c r="O2968" s="19" t="s" ph="1">
        <v>9359</v>
      </c>
      <c r="R2968" s="20" ph="1"/>
      <c r="T2968" s="19" t="s" ph="1">
        <v>9357</v>
      </c>
      <c r="U2968" s="20" ph="1">
        <v>34837</v>
      </c>
      <c r="V2968" s="21" ph="1">
        <v>450</v>
      </c>
      <c r="W2968" s="21" ph="1"/>
      <c r="X2968" s="19" t="s" ph="1">
        <v>1624</v>
      </c>
      <c r="Y2968" s="19" t="s" ph="1">
        <v>1642</v>
      </c>
    </row>
    <row r="2969" spans="1:25" s="19" customFormat="1" ht="22.5" customHeight="1" ph="1" x14ac:dyDescent="0.35">
      <c r="A2969" s="107" ph="1"/>
      <c r="B2969" s="18" ph="1"/>
      <c r="C2969" s="19" t="s" ph="1">
        <v>8023</v>
      </c>
      <c r="D2969" s="124" ph="1">
        <v>3</v>
      </c>
      <c r="E2969" s="124" ph="1">
        <v>3</v>
      </c>
      <c r="G2969" s="19" t="s" ph="1">
        <v>1574</v>
      </c>
      <c r="H2969" s="19" t="s" ph="1">
        <v>2987</v>
      </c>
      <c r="I2969" s="19" t="s" ph="1">
        <v>8981</v>
      </c>
      <c r="M2969" s="27" t="str" ph="1">
        <f>IFERROR(INDEX([1]!_born[生没年],
MATCH(I2969,[1]!_born[作],0)),"")</f>
        <v/>
      </c>
      <c r="N2969" s="27" t="str" ph="1">
        <f>IFERROR(INDEX([1]!_born[生没年],
MATCH(K2969,[1]!_born[作],0)),"")</f>
        <v/>
      </c>
      <c r="O2969" s="19" t="s" ph="1">
        <v>9359</v>
      </c>
      <c r="R2969" s="20" ph="1"/>
      <c r="T2969" s="19" t="s" ph="1">
        <v>9357</v>
      </c>
      <c r="U2969" s="20" ph="1">
        <v>34837</v>
      </c>
      <c r="V2969" s="21" ph="1">
        <v>450</v>
      </c>
      <c r="W2969" s="21" ph="1"/>
      <c r="X2969" s="19" t="s" ph="1">
        <v>1624</v>
      </c>
      <c r="Y2969" s="19" t="s" ph="1">
        <v>1642</v>
      </c>
    </row>
    <row r="2970" spans="1:25" s="19" customFormat="1" ht="22.5" customHeight="1" ph="1" x14ac:dyDescent="0.35">
      <c r="A2970" s="106" t="s" ph="1">
        <v>1656</v>
      </c>
      <c r="B2970" s="5" t="s" ph="1">
        <v>1618</v>
      </c>
      <c r="C2970" s="13" t="s" ph="1">
        <v>7591</v>
      </c>
      <c r="D2970" s="123" ph="1">
        <v>1</v>
      </c>
      <c r="E2970" s="123" ph="1">
        <v>2</v>
      </c>
      <c r="F2970" s="13" ph="1"/>
      <c r="G2970" s="13" t="s" ph="1">
        <v>699</v>
      </c>
      <c r="H2970" s="13" t="s" ph="1">
        <v>2987</v>
      </c>
      <c r="I2970" s="13" t="s" ph="1">
        <v>9132</v>
      </c>
      <c r="J2970" s="13" ph="1"/>
      <c r="K2970" s="13" ph="1"/>
      <c r="L2970" s="13" ph="1"/>
      <c r="M2970" s="14" t="str" ph="1">
        <f>IFERROR(INDEX([1]!_born[生没年],
MATCH(I2970,[1]!_born[作],0)),"")</f>
        <v/>
      </c>
      <c r="N2970" s="14" t="str" ph="1">
        <f>IFERROR(INDEX([1]!_born[生没年],
MATCH(K2970,[1]!_born[作],0)),"")</f>
        <v/>
      </c>
      <c r="O2970" s="13" t="s" ph="1">
        <v>9360</v>
      </c>
      <c r="P2970" s="13" ph="1"/>
      <c r="Q2970" s="13" ph="1"/>
      <c r="R2970" s="16" ph="1">
        <v>39015</v>
      </c>
      <c r="S2970" s="13" t="s" ph="1">
        <v>9361</v>
      </c>
      <c r="T2970" s="13" t="s" ph="1">
        <v>9362</v>
      </c>
      <c r="U2970" s="16" ph="1">
        <v>39191</v>
      </c>
      <c r="V2970" s="17" ph="1">
        <f>648*1.05</f>
        <v>680.4</v>
      </c>
      <c r="W2970" s="17" ph="1">
        <f>648*1.05</f>
        <v>680.4</v>
      </c>
      <c r="X2970" s="13" t="s" ph="1">
        <v>9363</v>
      </c>
      <c r="Y2970" s="13" ph="1"/>
    </row>
    <row r="2971" spans="1:25" s="19" customFormat="1" ht="22.5" customHeight="1" ph="1" x14ac:dyDescent="0.35">
      <c r="A2971" s="106" t="s" ph="1">
        <v>1657</v>
      </c>
      <c r="B2971" s="5" t="s" ph="1">
        <v>1618</v>
      </c>
      <c r="C2971" s="13" t="s" ph="1">
        <v>7591</v>
      </c>
      <c r="D2971" s="123" ph="1">
        <v>2</v>
      </c>
      <c r="E2971" s="123" ph="1">
        <v>2</v>
      </c>
      <c r="F2971" s="13" ph="1"/>
      <c r="G2971" s="13" t="s" ph="1">
        <v>1574</v>
      </c>
      <c r="H2971" s="13" t="s" ph="1">
        <v>2987</v>
      </c>
      <c r="I2971" s="13" t="s" ph="1">
        <v>9132</v>
      </c>
      <c r="J2971" s="13" ph="1"/>
      <c r="K2971" s="13" ph="1"/>
      <c r="L2971" s="13" ph="1"/>
      <c r="M2971" s="14" t="str" ph="1">
        <f>IFERROR(INDEX([1]!_born[生没年],
MATCH(I2971,[1]!_born[作],0)),"")</f>
        <v/>
      </c>
      <c r="N2971" s="14" t="str" ph="1">
        <f>IFERROR(INDEX([1]!_born[生没年],
MATCH(K2971,[1]!_born[作],0)),"")</f>
        <v/>
      </c>
      <c r="O2971" s="13" t="s" ph="1">
        <v>9364</v>
      </c>
      <c r="P2971" s="13" ph="1"/>
      <c r="Q2971" s="13" ph="1"/>
      <c r="R2971" s="16" ph="1">
        <v>39015</v>
      </c>
      <c r="S2971" s="13" t="s" ph="1">
        <v>9361</v>
      </c>
      <c r="T2971" s="13" t="s" ph="1">
        <v>9362</v>
      </c>
      <c r="U2971" s="16" ph="1">
        <v>39191</v>
      </c>
      <c r="V2971" s="17" ph="1">
        <f>648*1.05</f>
        <v>680.4</v>
      </c>
      <c r="W2971" s="17" ph="1">
        <f>648*1.05</f>
        <v>680.4</v>
      </c>
      <c r="X2971" s="13" t="s" ph="1">
        <v>9363</v>
      </c>
      <c r="Y2971" s="13" ph="1"/>
    </row>
    <row r="2972" spans="1:25" s="19" customFormat="1" ht="22.5" customHeight="1" ph="1" x14ac:dyDescent="0.35">
      <c r="A2972" s="106" t="s" ph="1">
        <v>2875</v>
      </c>
      <c r="B2972" s="5" t="s" ph="1">
        <v>1618</v>
      </c>
      <c r="C2972" s="13" t="s" ph="1">
        <v>7591</v>
      </c>
      <c r="D2972" s="123" ph="1">
        <v>1</v>
      </c>
      <c r="E2972" s="123" ph="1">
        <v>3</v>
      </c>
      <c r="F2972" s="13" ph="1"/>
      <c r="G2972" s="13" t="s" ph="1">
        <v>699</v>
      </c>
      <c r="H2972" s="13" t="s" ph="1">
        <v>2987</v>
      </c>
      <c r="I2972" s="13" t="s" ph="1">
        <v>9132</v>
      </c>
      <c r="J2972" s="13" ph="1"/>
      <c r="K2972" s="13" ph="1"/>
      <c r="L2972" s="13" ph="1"/>
      <c r="M2972" s="14" t="str" ph="1">
        <f>IFERROR(INDEX([1]!_born[生没年],
MATCH(I2972,[1]!_born[作],0)),"")</f>
        <v/>
      </c>
      <c r="N2972" s="14" t="str" ph="1">
        <f>IFERROR(INDEX([1]!_born[生没年],
MATCH(K2972,[1]!_born[作],0)),"")</f>
        <v/>
      </c>
      <c r="O2972" s="13" t="s" ph="1">
        <v>9365</v>
      </c>
      <c r="P2972" s="13" ph="1"/>
      <c r="Q2972" s="13" ph="1"/>
      <c r="R2972" s="16" t="s" ph="1">
        <v>2878</v>
      </c>
      <c r="S2972" s="13" t="s" ph="1">
        <v>9366</v>
      </c>
      <c r="T2972" s="13" t="s" ph="1">
        <v>9362</v>
      </c>
      <c r="U2972" s="16" ph="1">
        <v>42491</v>
      </c>
      <c r="V2972" s="17" ph="1">
        <f t="shared" ref="V2972:W2974" si="26">600*1.08</f>
        <v>648</v>
      </c>
      <c r="W2972" s="17" ph="1">
        <f t="shared" si="26"/>
        <v>648</v>
      </c>
      <c r="X2972" s="13" t="s" ph="1">
        <v>2874</v>
      </c>
      <c r="Y2972" s="13" ph="1"/>
    </row>
    <row r="2973" spans="1:25" s="19" customFormat="1" ht="22.5" customHeight="1" ph="1" x14ac:dyDescent="0.35">
      <c r="A2973" s="106" t="s" ph="1">
        <v>2876</v>
      </c>
      <c r="B2973" s="5" t="s" ph="1">
        <v>1618</v>
      </c>
      <c r="C2973" s="13" t="s" ph="1">
        <v>7591</v>
      </c>
      <c r="D2973" s="123" ph="1">
        <v>2</v>
      </c>
      <c r="E2973" s="123" ph="1">
        <v>3</v>
      </c>
      <c r="F2973" s="13" ph="1"/>
      <c r="G2973" s="13" t="s" ph="1">
        <v>699</v>
      </c>
      <c r="H2973" s="13" t="s" ph="1">
        <v>2987</v>
      </c>
      <c r="I2973" s="13" t="s" ph="1">
        <v>9132</v>
      </c>
      <c r="J2973" s="13" ph="1"/>
      <c r="K2973" s="13" ph="1"/>
      <c r="L2973" s="13" ph="1"/>
      <c r="M2973" s="14" t="str" ph="1">
        <f>IFERROR(INDEX([1]!_born[生没年],
MATCH(I2973,[1]!_born[作],0)),"")</f>
        <v/>
      </c>
      <c r="N2973" s="14" t="str" ph="1">
        <f>IFERROR(INDEX([1]!_born[生没年],
MATCH(K2973,[1]!_born[作],0)),"")</f>
        <v/>
      </c>
      <c r="O2973" s="13" t="s" ph="1">
        <v>9367</v>
      </c>
      <c r="P2973" s="13" ph="1"/>
      <c r="Q2973" s="13" ph="1"/>
      <c r="R2973" s="16" t="s" ph="1">
        <v>2877</v>
      </c>
      <c r="S2973" s="13" t="s" ph="1">
        <v>9366</v>
      </c>
      <c r="T2973" s="13" t="s" ph="1">
        <v>9362</v>
      </c>
      <c r="U2973" s="16" ph="1">
        <v>42491</v>
      </c>
      <c r="V2973" s="17" ph="1">
        <f t="shared" si="26"/>
        <v>648</v>
      </c>
      <c r="W2973" s="17" ph="1">
        <f t="shared" si="26"/>
        <v>648</v>
      </c>
      <c r="X2973" s="13" t="s" ph="1">
        <v>2874</v>
      </c>
      <c r="Y2973" s="13" ph="1"/>
    </row>
    <row r="2974" spans="1:25" s="19" customFormat="1" ht="22.5" customHeight="1" ph="1" x14ac:dyDescent="0.35">
      <c r="A2974" s="106" t="s" ph="1">
        <v>2872</v>
      </c>
      <c r="B2974" s="5" t="s" ph="1">
        <v>1618</v>
      </c>
      <c r="C2974" s="13" t="s" ph="1">
        <v>7591</v>
      </c>
      <c r="D2974" s="123" ph="1">
        <v>3</v>
      </c>
      <c r="E2974" s="123" ph="1">
        <v>3</v>
      </c>
      <c r="F2974" s="13" ph="1"/>
      <c r="G2974" s="13" t="s" ph="1">
        <v>1574</v>
      </c>
      <c r="H2974" s="13" t="s" ph="1">
        <v>2987</v>
      </c>
      <c r="I2974" s="13" t="s" ph="1">
        <v>9132</v>
      </c>
      <c r="J2974" s="13" ph="1"/>
      <c r="K2974" s="13" ph="1"/>
      <c r="L2974" s="13" ph="1"/>
      <c r="M2974" s="14" t="str" ph="1">
        <f>IFERROR(INDEX([1]!_born[生没年],
MATCH(I2974,[1]!_born[作],0)),"")</f>
        <v/>
      </c>
      <c r="N2974" s="14" t="str" ph="1">
        <f>IFERROR(INDEX([1]!_born[生没年],
MATCH(K2974,[1]!_born[作],0)),"")</f>
        <v/>
      </c>
      <c r="O2974" s="13" t="s" ph="1">
        <v>9368</v>
      </c>
      <c r="P2974" s="13" ph="1"/>
      <c r="Q2974" s="13" ph="1"/>
      <c r="R2974" s="16" t="s" ph="1">
        <v>2873</v>
      </c>
      <c r="S2974" s="13" t="s" ph="1">
        <v>9366</v>
      </c>
      <c r="T2974" s="13" t="s" ph="1">
        <v>9362</v>
      </c>
      <c r="U2974" s="16" ph="1">
        <v>42491</v>
      </c>
      <c r="V2974" s="17" ph="1">
        <f t="shared" si="26"/>
        <v>648</v>
      </c>
      <c r="W2974" s="17" ph="1">
        <f t="shared" si="26"/>
        <v>648</v>
      </c>
      <c r="X2974" s="13" t="s" ph="1">
        <v>2874</v>
      </c>
      <c r="Y2974" s="13" ph="1"/>
    </row>
    <row r="2975" spans="1:25" s="19" customFormat="1" ht="22.5" customHeight="1" ph="1" x14ac:dyDescent="0.35">
      <c r="A2975" s="106" t="s" ph="1">
        <v>3154</v>
      </c>
      <c r="B2975" s="5" t="s" ph="1">
        <v>3143</v>
      </c>
      <c r="C2975" s="13" t="s" ph="1">
        <v>7591</v>
      </c>
      <c r="D2975" s="123" ph="1">
        <v>1</v>
      </c>
      <c r="E2975" s="123" ph="1">
        <v>8</v>
      </c>
      <c r="F2975" s="13" ph="1"/>
      <c r="G2975" s="13" t="s" ph="1">
        <v>699</v>
      </c>
      <c r="H2975" s="13" t="s" ph="1">
        <v>2987</v>
      </c>
      <c r="I2975" s="13" t="s" ph="1">
        <v>9132</v>
      </c>
      <c r="J2975" s="13" ph="1"/>
      <c r="K2975" s="13" ph="1"/>
      <c r="L2975" s="13" ph="1"/>
      <c r="M2975" s="14" t="str" ph="1">
        <f>IFERROR(INDEX([1]!_born[生没年],
MATCH(I2975,[1]!_born[作],0)),"")</f>
        <v/>
      </c>
      <c r="N2975" s="14" t="str" ph="1">
        <f>IFERROR(INDEX([1]!_born[生没年],
MATCH(K2975,[1]!_born[作],0)),"")</f>
        <v/>
      </c>
      <c r="O2975" s="13" t="s" ph="1">
        <v>10248</v>
      </c>
      <c r="P2975" s="13" ph="1"/>
      <c r="Q2975" s="13" ph="1"/>
      <c r="R2975" s="16" ph="1">
        <v>37926</v>
      </c>
      <c r="S2975" s="13" t="s" ph="1">
        <v>3146</v>
      </c>
      <c r="T2975" s="13" t="s" ph="1">
        <v>9362</v>
      </c>
      <c r="U2975" s="16" ph="1">
        <v>44793</v>
      </c>
      <c r="V2975" s="17" ph="1">
        <f>590*1.1</f>
        <v>649</v>
      </c>
      <c r="W2975" s="17" ph="1">
        <f t="shared" ref="W2975:W2982" si="27">590*1.1</f>
        <v>649</v>
      </c>
      <c r="X2975" s="13" t="s" ph="1">
        <v>2874</v>
      </c>
      <c r="Y2975" s="13" ph="1"/>
    </row>
    <row r="2976" spans="1:25" s="19" customFormat="1" ht="22.5" customHeight="1" ph="1" x14ac:dyDescent="0.35">
      <c r="A2976" s="106" t="s" ph="1">
        <v>9369</v>
      </c>
      <c r="B2976" s="5" t="s" ph="1">
        <v>3143</v>
      </c>
      <c r="C2976" s="13" t="s" ph="1">
        <v>7591</v>
      </c>
      <c r="D2976" s="123" ph="1">
        <v>2</v>
      </c>
      <c r="E2976" s="123" ph="1">
        <v>8</v>
      </c>
      <c r="F2976" s="13" ph="1"/>
      <c r="G2976" s="13" t="s" ph="1">
        <v>699</v>
      </c>
      <c r="H2976" s="13" t="s" ph="1">
        <v>2987</v>
      </c>
      <c r="I2976" s="13" t="s" ph="1">
        <v>9132</v>
      </c>
      <c r="J2976" s="13" ph="1"/>
      <c r="K2976" s="13" ph="1"/>
      <c r="L2976" s="13" ph="1"/>
      <c r="M2976" s="14" t="str" ph="1">
        <f>IFERROR(INDEX([1]!_born[生没年],
MATCH(I2976,[1]!_born[作],0)),"")</f>
        <v/>
      </c>
      <c r="N2976" s="14" t="str" ph="1">
        <f>IFERROR(INDEX([1]!_born[生没年],
MATCH(K2976,[1]!_born[作],0)),"")</f>
        <v/>
      </c>
      <c r="O2976" s="13" t="s" ph="1">
        <v>10249</v>
      </c>
      <c r="P2976" s="13" ph="1"/>
      <c r="Q2976" s="13" ph="1"/>
      <c r="R2976" s="16" ph="1">
        <v>37956</v>
      </c>
      <c r="S2976" s="13" t="s" ph="1">
        <v>3147</v>
      </c>
      <c r="T2976" s="13" t="s" ph="1">
        <v>9362</v>
      </c>
      <c r="U2976" s="16" ph="1">
        <v>44793</v>
      </c>
      <c r="V2976" s="17" ph="1">
        <f t="shared" ref="V2976:V2982" si="28">590*1.1</f>
        <v>649</v>
      </c>
      <c r="W2976" s="17" ph="1">
        <f t="shared" si="27"/>
        <v>649</v>
      </c>
      <c r="X2976" s="13" t="s" ph="1">
        <v>2874</v>
      </c>
      <c r="Y2976" s="13" ph="1"/>
    </row>
    <row r="2977" spans="1:25" s="19" customFormat="1" ht="22.5" customHeight="1" ph="1" x14ac:dyDescent="0.35">
      <c r="A2977" s="106" t="s" ph="1">
        <v>3155</v>
      </c>
      <c r="B2977" s="5" t="s" ph="1">
        <v>3143</v>
      </c>
      <c r="C2977" s="13" t="s" ph="1">
        <v>7591</v>
      </c>
      <c r="D2977" s="123" ph="1">
        <v>3</v>
      </c>
      <c r="E2977" s="123" ph="1">
        <v>8</v>
      </c>
      <c r="F2977" s="13" ph="1"/>
      <c r="G2977" s="13" t="s" ph="1">
        <v>699</v>
      </c>
      <c r="H2977" s="13" t="s" ph="1">
        <v>2987</v>
      </c>
      <c r="I2977" s="13" t="s" ph="1">
        <v>9132</v>
      </c>
      <c r="J2977" s="13" ph="1"/>
      <c r="K2977" s="13" ph="1"/>
      <c r="L2977" s="13" ph="1"/>
      <c r="M2977" s="14" t="str" ph="1">
        <f>IFERROR(INDEX([1]!_born[生没年],
MATCH(I2977,[1]!_born[作],0)),"")</f>
        <v/>
      </c>
      <c r="N2977" s="14" t="str" ph="1">
        <f>IFERROR(INDEX([1]!_born[生没年],
MATCH(K2977,[1]!_born[作],0)),"")</f>
        <v/>
      </c>
      <c r="O2977" s="13" t="s" ph="1">
        <v>9370</v>
      </c>
      <c r="P2977" s="13" ph="1"/>
      <c r="Q2977" s="13" ph="1"/>
      <c r="R2977" s="16" ph="1">
        <v>37987</v>
      </c>
      <c r="S2977" s="13" t="s" ph="1">
        <v>3148</v>
      </c>
      <c r="T2977" s="13" t="s" ph="1">
        <v>9362</v>
      </c>
      <c r="U2977" s="16" ph="1">
        <v>44793</v>
      </c>
      <c r="V2977" s="17" ph="1">
        <f t="shared" si="28"/>
        <v>649</v>
      </c>
      <c r="W2977" s="17" ph="1">
        <f t="shared" si="27"/>
        <v>649</v>
      </c>
      <c r="X2977" s="13" t="s" ph="1">
        <v>2874</v>
      </c>
      <c r="Y2977" s="13" ph="1"/>
    </row>
    <row r="2978" spans="1:25" s="19" customFormat="1" ht="22.5" customHeight="1" ph="1" x14ac:dyDescent="0.35">
      <c r="A2978" s="106" t="s" ph="1">
        <v>3156</v>
      </c>
      <c r="B2978" s="5" t="s" ph="1">
        <v>3143</v>
      </c>
      <c r="C2978" s="13" t="s" ph="1">
        <v>7591</v>
      </c>
      <c r="D2978" s="123" ph="1">
        <v>4</v>
      </c>
      <c r="E2978" s="123" ph="1">
        <v>8</v>
      </c>
      <c r="F2978" s="13" ph="1"/>
      <c r="G2978" s="13" t="s" ph="1">
        <v>699</v>
      </c>
      <c r="H2978" s="13" t="s" ph="1">
        <v>2987</v>
      </c>
      <c r="I2978" s="13" t="s" ph="1">
        <v>9132</v>
      </c>
      <c r="J2978" s="13" ph="1"/>
      <c r="K2978" s="13" ph="1"/>
      <c r="L2978" s="13" ph="1"/>
      <c r="M2978" s="14" t="str" ph="1">
        <f>IFERROR(INDEX([1]!_born[生没年],
MATCH(I2978,[1]!_born[作],0)),"")</f>
        <v/>
      </c>
      <c r="N2978" s="14" t="str" ph="1">
        <f>IFERROR(INDEX([1]!_born[生没年],
MATCH(K2978,[1]!_born[作],0)),"")</f>
        <v/>
      </c>
      <c r="O2978" s="13" t="s" ph="1">
        <v>9371</v>
      </c>
      <c r="P2978" s="13" ph="1"/>
      <c r="Q2978" s="13" ph="1"/>
      <c r="R2978" s="16" ph="1">
        <v>38018</v>
      </c>
      <c r="S2978" s="13" t="s" ph="1">
        <v>3149</v>
      </c>
      <c r="T2978" s="13" t="s" ph="1">
        <v>9362</v>
      </c>
      <c r="U2978" s="16" ph="1">
        <v>44793</v>
      </c>
      <c r="V2978" s="17" ph="1">
        <f t="shared" si="28"/>
        <v>649</v>
      </c>
      <c r="W2978" s="17" ph="1">
        <f t="shared" si="27"/>
        <v>649</v>
      </c>
      <c r="X2978" s="13" t="s" ph="1">
        <v>2874</v>
      </c>
      <c r="Y2978" s="13" ph="1"/>
    </row>
    <row r="2979" spans="1:25" s="19" customFormat="1" ht="22.5" customHeight="1" ph="1" x14ac:dyDescent="0.35">
      <c r="A2979" s="106" t="s" ph="1">
        <v>3157</v>
      </c>
      <c r="B2979" s="5" t="s" ph="1">
        <v>3143</v>
      </c>
      <c r="C2979" s="13" t="s" ph="1">
        <v>7591</v>
      </c>
      <c r="D2979" s="123" ph="1">
        <v>5</v>
      </c>
      <c r="E2979" s="123" ph="1">
        <v>8</v>
      </c>
      <c r="F2979" s="13" ph="1"/>
      <c r="G2979" s="13" t="s" ph="1">
        <v>699</v>
      </c>
      <c r="H2979" s="13" t="s" ph="1">
        <v>2987</v>
      </c>
      <c r="I2979" s="13" t="s" ph="1">
        <v>9132</v>
      </c>
      <c r="J2979" s="13" ph="1"/>
      <c r="K2979" s="13" ph="1"/>
      <c r="L2979" s="13" ph="1"/>
      <c r="M2979" s="14" t="str" ph="1">
        <f>IFERROR(INDEX([1]!_born[生没年],
MATCH(I2979,[1]!_born[作],0)),"")</f>
        <v/>
      </c>
      <c r="N2979" s="14" t="str" ph="1">
        <f>IFERROR(INDEX([1]!_born[生没年],
MATCH(K2979,[1]!_born[作],0)),"")</f>
        <v/>
      </c>
      <c r="O2979" s="13" t="s" ph="1">
        <v>10250</v>
      </c>
      <c r="P2979" s="13" ph="1"/>
      <c r="Q2979" s="13" ph="1"/>
      <c r="R2979" s="16" ph="1">
        <v>38047</v>
      </c>
      <c r="S2979" s="13" t="s" ph="1">
        <v>3150</v>
      </c>
      <c r="T2979" s="13" t="s" ph="1">
        <v>9362</v>
      </c>
      <c r="U2979" s="16" ph="1">
        <v>44793</v>
      </c>
      <c r="V2979" s="17" ph="1">
        <f t="shared" si="28"/>
        <v>649</v>
      </c>
      <c r="W2979" s="17" ph="1">
        <f t="shared" si="27"/>
        <v>649</v>
      </c>
      <c r="X2979" s="13" t="s" ph="1">
        <v>2874</v>
      </c>
      <c r="Y2979" s="13" ph="1"/>
    </row>
    <row r="2980" spans="1:25" s="19" customFormat="1" ht="22.5" customHeight="1" ph="1" x14ac:dyDescent="0.35">
      <c r="A2980" s="106" t="s" ph="1">
        <v>3158</v>
      </c>
      <c r="B2980" s="5" t="s" ph="1">
        <v>3143</v>
      </c>
      <c r="C2980" s="13" t="s" ph="1">
        <v>7591</v>
      </c>
      <c r="D2980" s="123" ph="1">
        <v>6</v>
      </c>
      <c r="E2980" s="123" ph="1">
        <v>8</v>
      </c>
      <c r="F2980" s="13" ph="1"/>
      <c r="G2980" s="13" t="s" ph="1">
        <v>699</v>
      </c>
      <c r="H2980" s="13" t="s" ph="1">
        <v>2987</v>
      </c>
      <c r="I2980" s="13" t="s" ph="1">
        <v>9132</v>
      </c>
      <c r="J2980" s="13" ph="1"/>
      <c r="K2980" s="13" ph="1"/>
      <c r="L2980" s="13" ph="1"/>
      <c r="M2980" s="14" t="str" ph="1">
        <f>IFERROR(INDEX([1]!_born[生没年],
MATCH(I2980,[1]!_born[作],0)),"")</f>
        <v/>
      </c>
      <c r="N2980" s="14" t="str" ph="1">
        <f>IFERROR(INDEX([1]!_born[生没年],
MATCH(K2980,[1]!_born[作],0)),"")</f>
        <v/>
      </c>
      <c r="O2980" s="13" t="s" ph="1">
        <v>10251</v>
      </c>
      <c r="P2980" s="13" ph="1"/>
      <c r="Q2980" s="13" ph="1"/>
      <c r="R2980" s="16" ph="1">
        <v>38102</v>
      </c>
      <c r="S2980" s="13" t="s" ph="1">
        <v>3151</v>
      </c>
      <c r="T2980" s="13" t="s" ph="1">
        <v>9362</v>
      </c>
      <c r="U2980" s="16" ph="1">
        <v>44793</v>
      </c>
      <c r="V2980" s="17" ph="1">
        <f t="shared" si="28"/>
        <v>649</v>
      </c>
      <c r="W2980" s="17" ph="1">
        <f t="shared" si="27"/>
        <v>649</v>
      </c>
      <c r="X2980" s="13" t="s" ph="1">
        <v>2874</v>
      </c>
      <c r="Y2980" s="13" ph="1"/>
    </row>
    <row r="2981" spans="1:25" s="19" customFormat="1" ht="22.5" customHeight="1" ph="1" x14ac:dyDescent="0.35">
      <c r="A2981" s="106" t="s" ph="1">
        <v>9372</v>
      </c>
      <c r="B2981" s="5" t="s" ph="1">
        <v>3143</v>
      </c>
      <c r="C2981" s="13" t="s" ph="1">
        <v>7591</v>
      </c>
      <c r="D2981" s="123" ph="1">
        <v>7</v>
      </c>
      <c r="E2981" s="123" ph="1">
        <v>8</v>
      </c>
      <c r="F2981" s="13" ph="1"/>
      <c r="G2981" s="13" t="s" ph="1">
        <v>699</v>
      </c>
      <c r="H2981" s="13" t="s" ph="1">
        <v>2987</v>
      </c>
      <c r="I2981" s="13" t="s" ph="1">
        <v>9132</v>
      </c>
      <c r="J2981" s="13" ph="1"/>
      <c r="K2981" s="13" ph="1"/>
      <c r="L2981" s="13" ph="1"/>
      <c r="M2981" s="14" t="str" ph="1">
        <f>IFERROR(INDEX([1]!_born[生没年],
MATCH(I2981,[1]!_born[作],0)),"")</f>
        <v/>
      </c>
      <c r="N2981" s="14" t="str" ph="1">
        <f>IFERROR(INDEX([1]!_born[生没年],
MATCH(K2981,[1]!_born[作],0)),"")</f>
        <v/>
      </c>
      <c r="O2981" s="13" t="s" ph="1">
        <v>9373</v>
      </c>
      <c r="P2981" s="13" ph="1"/>
      <c r="Q2981" s="13" ph="1"/>
      <c r="R2981" s="16" ph="1">
        <v>38132</v>
      </c>
      <c r="S2981" s="13" t="s" ph="1">
        <v>3152</v>
      </c>
      <c r="T2981" s="13" t="s" ph="1">
        <v>9362</v>
      </c>
      <c r="U2981" s="16" ph="1">
        <v>44793</v>
      </c>
      <c r="V2981" s="17" ph="1">
        <f t="shared" si="28"/>
        <v>649</v>
      </c>
      <c r="W2981" s="17" ph="1">
        <f t="shared" si="27"/>
        <v>649</v>
      </c>
      <c r="X2981" s="13" t="s" ph="1">
        <v>2874</v>
      </c>
      <c r="Y2981" s="13" ph="1"/>
    </row>
    <row r="2982" spans="1:25" s="19" customFormat="1" ht="22.5" customHeight="1" ph="1" x14ac:dyDescent="0.35">
      <c r="A2982" s="106" t="s" ph="1">
        <v>3159</v>
      </c>
      <c r="B2982" s="5" t="s" ph="1">
        <v>3143</v>
      </c>
      <c r="C2982" s="13" t="s" ph="1">
        <v>7591</v>
      </c>
      <c r="D2982" s="123" ph="1">
        <v>5</v>
      </c>
      <c r="E2982" s="123" ph="1">
        <v>15</v>
      </c>
      <c r="F2982" s="13" ph="1"/>
      <c r="G2982" s="13" t="s" ph="1">
        <v>699</v>
      </c>
      <c r="H2982" s="13" t="s" ph="1">
        <v>2987</v>
      </c>
      <c r="I2982" s="13" t="s" ph="1">
        <v>9132</v>
      </c>
      <c r="J2982" s="13" ph="1"/>
      <c r="K2982" s="13" ph="1"/>
      <c r="L2982" s="13" ph="1"/>
      <c r="M2982" s="14" t="str" ph="1">
        <f>IFERROR(INDEX([1]!_born[生没年],
MATCH(I2982,[1]!_born[作],0)),"")</f>
        <v/>
      </c>
      <c r="N2982" s="14" t="str" ph="1">
        <f>IFERROR(INDEX([1]!_born[生没年],
MATCH(K2982,[1]!_born[作],0)),"")</f>
        <v/>
      </c>
      <c r="O2982" s="13" t="s" ph="1">
        <v>10252</v>
      </c>
      <c r="P2982" s="13" ph="1"/>
      <c r="Q2982" s="13" ph="1"/>
      <c r="R2982" s="16" ph="1">
        <v>38139</v>
      </c>
      <c r="S2982" s="13" t="s" ph="1">
        <v>3153</v>
      </c>
      <c r="T2982" s="13" t="s" ph="1">
        <v>9362</v>
      </c>
      <c r="U2982" s="16" ph="1">
        <v>44793</v>
      </c>
      <c r="V2982" s="17" ph="1">
        <f t="shared" si="28"/>
        <v>649</v>
      </c>
      <c r="W2982" s="17" ph="1">
        <f t="shared" si="27"/>
        <v>649</v>
      </c>
      <c r="X2982" s="13" t="s" ph="1">
        <v>2874</v>
      </c>
      <c r="Y2982" s="13" ph="1"/>
    </row>
    <row r="2983" spans="1:25" ht="22.5" customHeight="1" ph="1" x14ac:dyDescent="0.35">
      <c r="A2983" s="106" t="s" ph="1">
        <v>2824</v>
      </c>
      <c r="B2983" s="5" t="s" ph="1">
        <v>1618</v>
      </c>
      <c r="C2983" s="13" t="s" ph="1">
        <v>7591</v>
      </c>
      <c r="D2983" s="123" ph="1">
        <v>1</v>
      </c>
      <c r="E2983" s="123" t="s" ph="1">
        <v>3145</v>
      </c>
      <c r="G2983" s="13" t="s" ph="1">
        <v>699</v>
      </c>
      <c r="H2983" s="13" t="s" ph="1">
        <v>2987</v>
      </c>
      <c r="I2983" s="13" t="s" ph="1">
        <v>9132</v>
      </c>
      <c r="M2983" s="14" t="str" ph="1">
        <f>IFERROR(INDEX([1]!_born[生没年],
MATCH(I2983,[1]!_born[作],0)),"")</f>
        <v/>
      </c>
      <c r="N2983" s="14" t="str" ph="1">
        <f>IFERROR(INDEX([1]!_born[生没年],
MATCH(K2983,[1]!_born[作],0)),"")</f>
        <v/>
      </c>
      <c r="O2983" s="13" t="s" ph="1">
        <v>9374</v>
      </c>
      <c r="R2983" s="16" t="s" ph="1">
        <v>2825</v>
      </c>
      <c r="S2983" s="13" t="s" ph="1">
        <v>9375</v>
      </c>
      <c r="T2983" s="13" t="s" ph="1">
        <v>9362</v>
      </c>
      <c r="U2983" s="16" t="s" ph="1">
        <v>2826</v>
      </c>
      <c r="V2983" s="17" ph="1">
        <f>583*1.03</f>
        <v>600.49</v>
      </c>
      <c r="W2983" s="17" ph="1">
        <v>366</v>
      </c>
      <c r="X2983" s="13" t="s" ph="1">
        <v>2823</v>
      </c>
      <c r="Y2983" s="13" t="s" ph="1">
        <v>6627</v>
      </c>
    </row>
    <row r="2984" spans="1:25" ht="22.5" customHeight="1" ph="1" x14ac:dyDescent="0.35">
      <c r="A2984" s="106" t="s" ph="1">
        <v>2827</v>
      </c>
      <c r="B2984" s="5" t="s" ph="1">
        <v>1622</v>
      </c>
      <c r="C2984" s="13" t="s" ph="1">
        <v>7591</v>
      </c>
      <c r="G2984" s="13" t="s" ph="1">
        <v>699</v>
      </c>
      <c r="H2984" s="13" t="s" ph="1">
        <v>2987</v>
      </c>
      <c r="I2984" s="13" t="s" ph="1">
        <v>4850</v>
      </c>
      <c r="M2984" s="14" t="str" ph="1">
        <f>IFERROR(INDEX([1]!_born[生没年],
MATCH(I2984,[1]!_born[作],0)),"")</f>
        <v/>
      </c>
      <c r="N2984" s="14" t="str" ph="1">
        <f>IFERROR(INDEX([1]!_born[生没年],
MATCH(K2984,[1]!_born[作],0)),"")</f>
        <v/>
      </c>
      <c r="O2984" s="13" t="s" ph="1">
        <v>9376</v>
      </c>
      <c r="R2984" s="16" ph="1">
        <v>38513</v>
      </c>
      <c r="T2984" s="13" t="s" ph="1">
        <v>9330</v>
      </c>
      <c r="U2984" s="16" t="s" ph="1">
        <v>2797</v>
      </c>
      <c r="V2984" s="17" ph="1">
        <f>590*1.05</f>
        <v>619.5</v>
      </c>
      <c r="W2984" s="17" ph="1">
        <v>105</v>
      </c>
      <c r="X2984" s="13" t="s" ph="1">
        <v>2823</v>
      </c>
      <c r="Y2984" s="13" t="s" ph="1">
        <v>6627</v>
      </c>
    </row>
    <row r="2985" spans="1:25" ht="22.5" customHeight="1" ph="1" x14ac:dyDescent="0.35">
      <c r="A2985" s="106" t="s" ph="1">
        <v>2828</v>
      </c>
      <c r="B2985" s="5" t="s" ph="1">
        <v>1622</v>
      </c>
      <c r="C2985" s="13" t="s" ph="1">
        <v>7591</v>
      </c>
      <c r="G2985" s="13" t="s" ph="1">
        <v>699</v>
      </c>
      <c r="H2985" s="13" t="s" ph="1">
        <v>2987</v>
      </c>
      <c r="I2985" s="13" t="s" ph="1">
        <v>9377</v>
      </c>
      <c r="M2985" s="14" t="str" ph="1">
        <f>IFERROR(INDEX([1]!_born[生没年],
MATCH(I2985,[1]!_born[作],0)),"")</f>
        <v/>
      </c>
      <c r="N2985" s="14" t="str" ph="1">
        <f>IFERROR(INDEX([1]!_born[生没年],
MATCH(K2985,[1]!_born[作],0)),"")</f>
        <v/>
      </c>
      <c r="O2985" s="13" t="s" ph="1">
        <v>9378</v>
      </c>
      <c r="R2985" s="16" ph="1">
        <v>36122</v>
      </c>
      <c r="T2985" s="13" t="s" ph="1">
        <v>7864</v>
      </c>
      <c r="U2985" s="16" t="s" ph="1">
        <v>2797</v>
      </c>
      <c r="V2985" s="17" ph="1">
        <f>600*1.05</f>
        <v>630</v>
      </c>
      <c r="W2985" s="17" ph="1">
        <v>105</v>
      </c>
      <c r="X2985" s="13" t="s" ph="1">
        <v>2823</v>
      </c>
      <c r="Y2985" s="13" t="s" ph="1">
        <v>6627</v>
      </c>
    </row>
    <row r="2986" spans="1:25" s="19" customFormat="1" ht="22.5" customHeight="1" ph="1" x14ac:dyDescent="0.35">
      <c r="A2986" s="106" t="s" ph="1">
        <v>2469</v>
      </c>
      <c r="B2986" s="5" t="s" ph="1">
        <v>1622</v>
      </c>
      <c r="C2986" s="13" t="s" ph="1">
        <v>7591</v>
      </c>
      <c r="D2986" s="123" ph="1"/>
      <c r="E2986" s="123" ph="1"/>
      <c r="F2986" s="13" ph="1"/>
      <c r="G2986" s="13" t="s" ph="1">
        <v>699</v>
      </c>
      <c r="H2986" s="13" t="s" ph="1">
        <v>2446</v>
      </c>
      <c r="I2986" s="13" t="s" ph="1">
        <v>2447</v>
      </c>
      <c r="J2986" s="13" ph="1"/>
      <c r="K2986" s="13" t="s" ph="1">
        <v>9379</v>
      </c>
      <c r="L2986" s="13" t="s" ph="1">
        <v>3628</v>
      </c>
      <c r="M2986" s="14" t="str" ph="1">
        <f>IFERROR(INDEX([1]!_born[生没年],
MATCH(I2986,[1]!_born[作],0)),"")</f>
        <v/>
      </c>
      <c r="N2986" s="14" t="str" ph="1">
        <f>IFERROR(INDEX([1]!_born[生没年],
MATCH(K2986,[1]!_born[作],0)),"")</f>
        <v/>
      </c>
      <c r="O2986" s="13" t="s" ph="1">
        <v>9380</v>
      </c>
      <c r="P2986" s="13" ph="1"/>
      <c r="Q2986" s="13" ph="1"/>
      <c r="R2986" s="16" ph="1">
        <v>38045</v>
      </c>
      <c r="S2986" s="13" ph="1"/>
      <c r="T2986" s="13" t="s" ph="1">
        <v>8917</v>
      </c>
      <c r="U2986" s="16" ph="1">
        <v>40124</v>
      </c>
      <c r="V2986" s="17" ph="1">
        <f>700*1.05</f>
        <v>735</v>
      </c>
      <c r="W2986" s="17" ph="1">
        <v>350</v>
      </c>
      <c r="X2986" s="13" t="s" ph="1">
        <v>9381</v>
      </c>
      <c r="Y2986" s="13" ph="1"/>
    </row>
    <row r="2987" spans="1:25" s="19" customFormat="1" ht="22.5" customHeight="1" ph="1" x14ac:dyDescent="0.35">
      <c r="A2987" s="106" t="s" ph="1">
        <v>1628</v>
      </c>
      <c r="B2987" s="5" t="s" ph="1">
        <v>1622</v>
      </c>
      <c r="C2987" s="13" t="s" ph="1">
        <v>7591</v>
      </c>
      <c r="D2987" s="123" ph="1">
        <v>1</v>
      </c>
      <c r="E2987" s="123" ph="1">
        <v>2</v>
      </c>
      <c r="F2987" s="13" ph="1"/>
      <c r="G2987" s="13" t="s" ph="1">
        <v>1574</v>
      </c>
      <c r="H2987" s="13" t="s" ph="1">
        <v>1616</v>
      </c>
      <c r="I2987" s="13" t="s" ph="1">
        <v>9043</v>
      </c>
      <c r="J2987" s="13" ph="1"/>
      <c r="K2987" s="13" ph="1"/>
      <c r="L2987" s="13" ph="1"/>
      <c r="M2987" s="14" t="str" ph="1">
        <f>IFERROR(INDEX([1]!_born[生没年],
MATCH(I2987,[1]!_born[作],0)),"")</f>
        <v/>
      </c>
      <c r="N2987" s="14" t="str" ph="1">
        <f>IFERROR(INDEX([1]!_born[生没年],
MATCH(K2987,[1]!_born[作],0)),"")</f>
        <v/>
      </c>
      <c r="O2987" s="15" t="s" ph="1">
        <v>9382</v>
      </c>
      <c r="P2987" s="13" ph="1"/>
      <c r="Q2987" s="13" ph="1"/>
      <c r="R2987" s="16" ph="1"/>
      <c r="S2987" s="13" ph="1"/>
      <c r="T2987" s="13" t="s" ph="1">
        <v>9383</v>
      </c>
      <c r="U2987" s="16" ph="1">
        <v>34837</v>
      </c>
      <c r="V2987" s="17" ph="1">
        <f>620*1.03</f>
        <v>638.6</v>
      </c>
      <c r="W2987" s="17" ph="1"/>
      <c r="X2987" s="13" t="s" ph="1">
        <v>1624</v>
      </c>
      <c r="Y2987" s="13" ph="1"/>
    </row>
    <row r="2988" spans="1:25" s="19" customFormat="1" ht="22.5" customHeight="1" ph="1" x14ac:dyDescent="0.35">
      <c r="A2988" s="106" t="s" ph="1">
        <v>1629</v>
      </c>
      <c r="B2988" s="5" t="s" ph="1">
        <v>1622</v>
      </c>
      <c r="C2988" s="13" t="s" ph="1">
        <v>7591</v>
      </c>
      <c r="D2988" s="123" ph="1">
        <v>2</v>
      </c>
      <c r="E2988" s="123" ph="1">
        <v>2</v>
      </c>
      <c r="F2988" s="13" ph="1"/>
      <c r="G2988" s="13" t="s" ph="1">
        <v>1574</v>
      </c>
      <c r="H2988" s="13" t="s" ph="1">
        <v>1616</v>
      </c>
      <c r="I2988" s="13" t="s" ph="1">
        <v>9043</v>
      </c>
      <c r="J2988" s="13" ph="1"/>
      <c r="K2988" s="13" ph="1"/>
      <c r="L2988" s="13" ph="1"/>
      <c r="M2988" s="14" t="str" ph="1">
        <f>IFERROR(INDEX([1]!_born[生没年],
MATCH(I2988,[1]!_born[作],0)),"")</f>
        <v/>
      </c>
      <c r="N2988" s="14" t="str" ph="1">
        <f>IFERROR(INDEX([1]!_born[生没年],
MATCH(K2988,[1]!_born[作],0)),"")</f>
        <v/>
      </c>
      <c r="O2988" s="15" t="s" ph="1">
        <v>9382</v>
      </c>
      <c r="P2988" s="13" ph="1"/>
      <c r="Q2988" s="13" ph="1"/>
      <c r="R2988" s="16" ph="1"/>
      <c r="S2988" s="13" ph="1"/>
      <c r="T2988" s="13" t="s" ph="1">
        <v>9383</v>
      </c>
      <c r="U2988" s="16" ph="1">
        <v>34837</v>
      </c>
      <c r="V2988" s="17" ph="1">
        <f>620*1.03</f>
        <v>638.6</v>
      </c>
      <c r="W2988" s="17" ph="1"/>
      <c r="X2988" s="13" t="s" ph="1">
        <v>1624</v>
      </c>
      <c r="Y2988" s="13" ph="1"/>
    </row>
    <row r="2989" spans="1:25" s="19" customFormat="1" ht="22.5" customHeight="1" ph="1" x14ac:dyDescent="0.35">
      <c r="A2989" s="106" t="s" ph="1">
        <v>1623</v>
      </c>
      <c r="B2989" s="5" t="s" ph="1">
        <v>1622</v>
      </c>
      <c r="C2989" s="13" t="s" ph="1">
        <v>7591</v>
      </c>
      <c r="D2989" s="123" ph="1">
        <v>1</v>
      </c>
      <c r="E2989" s="123" ph="1">
        <v>4</v>
      </c>
      <c r="F2989" s="13" ph="1"/>
      <c r="G2989" s="13" t="s" ph="1">
        <v>1574</v>
      </c>
      <c r="H2989" s="13" t="s" ph="1">
        <v>1616</v>
      </c>
      <c r="I2989" s="13" t="s" ph="1">
        <v>9043</v>
      </c>
      <c r="J2989" s="13" ph="1"/>
      <c r="K2989" s="13" ph="1"/>
      <c r="L2989" s="13" ph="1"/>
      <c r="M2989" s="14" t="str" ph="1">
        <f>IFERROR(INDEX([1]!_born[生没年],
MATCH(I2989,[1]!_born[作],0)),"")</f>
        <v/>
      </c>
      <c r="N2989" s="14" t="str" ph="1">
        <f>IFERROR(INDEX([1]!_born[生没年],
MATCH(K2989,[1]!_born[作],0)),"")</f>
        <v/>
      </c>
      <c r="O2989" s="15" t="s" ph="1">
        <v>9384</v>
      </c>
      <c r="P2989" s="13" ph="1"/>
      <c r="Q2989" s="13" ph="1"/>
      <c r="R2989" s="16" ph="1"/>
      <c r="S2989" s="13" ph="1"/>
      <c r="T2989" s="13" t="s" ph="1">
        <v>9383</v>
      </c>
      <c r="U2989" s="16" ph="1">
        <v>34837</v>
      </c>
      <c r="V2989" s="17" ph="1">
        <f>563*1.03</f>
        <v>579.89</v>
      </c>
      <c r="W2989" s="17" ph="1"/>
      <c r="X2989" s="13" t="s" ph="1">
        <v>1624</v>
      </c>
      <c r="Y2989" s="13" ph="1"/>
    </row>
    <row r="2990" spans="1:25" s="19" customFormat="1" ht="22.5" customHeight="1" ph="1" x14ac:dyDescent="0.35">
      <c r="A2990" s="106" t="s" ph="1">
        <v>1625</v>
      </c>
      <c r="B2990" s="5" t="s" ph="1">
        <v>1622</v>
      </c>
      <c r="C2990" s="13" t="s" ph="1">
        <v>7591</v>
      </c>
      <c r="D2990" s="123" ph="1">
        <v>2</v>
      </c>
      <c r="E2990" s="123" ph="1">
        <v>4</v>
      </c>
      <c r="F2990" s="13" ph="1"/>
      <c r="G2990" s="13" t="s" ph="1">
        <v>1574</v>
      </c>
      <c r="H2990" s="13" t="s" ph="1">
        <v>1616</v>
      </c>
      <c r="I2990" s="13" t="s" ph="1">
        <v>9043</v>
      </c>
      <c r="J2990" s="13" ph="1"/>
      <c r="K2990" s="13" ph="1"/>
      <c r="L2990" s="13" ph="1"/>
      <c r="M2990" s="14" t="str" ph="1">
        <f>IFERROR(INDEX([1]!_born[生没年],
MATCH(I2990,[1]!_born[作],0)),"")</f>
        <v/>
      </c>
      <c r="N2990" s="14" t="str" ph="1">
        <f>IFERROR(INDEX([1]!_born[生没年],
MATCH(K2990,[1]!_born[作],0)),"")</f>
        <v/>
      </c>
      <c r="O2990" s="15" t="s" ph="1">
        <v>9384</v>
      </c>
      <c r="P2990" s="13" ph="1"/>
      <c r="Q2990" s="13" ph="1"/>
      <c r="R2990" s="16" ph="1"/>
      <c r="S2990" s="13" ph="1"/>
      <c r="T2990" s="13" t="s" ph="1">
        <v>9383</v>
      </c>
      <c r="U2990" s="16" ph="1">
        <v>34837</v>
      </c>
      <c r="V2990" s="17" ph="1">
        <f>563*1.03</f>
        <v>579.89</v>
      </c>
      <c r="W2990" s="17" ph="1"/>
      <c r="X2990" s="13" t="s" ph="1">
        <v>1624</v>
      </c>
      <c r="Y2990" s="13" ph="1"/>
    </row>
    <row r="2991" spans="1:25" s="19" customFormat="1" ht="22.5" customHeight="1" ph="1" x14ac:dyDescent="0.35">
      <c r="A2991" s="106" t="s" ph="1">
        <v>1626</v>
      </c>
      <c r="B2991" s="5" t="s" ph="1">
        <v>1622</v>
      </c>
      <c r="C2991" s="13" t="s" ph="1">
        <v>7591</v>
      </c>
      <c r="D2991" s="123" ph="1">
        <v>3</v>
      </c>
      <c r="E2991" s="123" ph="1">
        <v>4</v>
      </c>
      <c r="F2991" s="13" ph="1"/>
      <c r="G2991" s="13" t="s" ph="1">
        <v>1574</v>
      </c>
      <c r="H2991" s="13" t="s" ph="1">
        <v>1616</v>
      </c>
      <c r="I2991" s="13" t="s" ph="1">
        <v>9043</v>
      </c>
      <c r="J2991" s="13" ph="1"/>
      <c r="K2991" s="13" ph="1"/>
      <c r="L2991" s="13" ph="1"/>
      <c r="M2991" s="14" t="str" ph="1">
        <f>IFERROR(INDEX([1]!_born[生没年],
MATCH(I2991,[1]!_born[作],0)),"")</f>
        <v/>
      </c>
      <c r="N2991" s="14" t="str" ph="1">
        <f>IFERROR(INDEX([1]!_born[生没年],
MATCH(K2991,[1]!_born[作],0)),"")</f>
        <v/>
      </c>
      <c r="O2991" s="15" t="s" ph="1">
        <v>9384</v>
      </c>
      <c r="P2991" s="13" ph="1"/>
      <c r="Q2991" s="13" ph="1"/>
      <c r="R2991" s="16" ph="1"/>
      <c r="S2991" s="13" ph="1"/>
      <c r="T2991" s="13" t="s" ph="1">
        <v>9383</v>
      </c>
      <c r="U2991" s="16" ph="1">
        <v>34837</v>
      </c>
      <c r="V2991" s="17" ph="1">
        <f>563*1.03</f>
        <v>579.89</v>
      </c>
      <c r="W2991" s="17" ph="1"/>
      <c r="X2991" s="13" t="s" ph="1">
        <v>1624</v>
      </c>
      <c r="Y2991" s="13" ph="1"/>
    </row>
    <row r="2992" spans="1:25" s="19" customFormat="1" ht="22.5" customHeight="1" ph="1" x14ac:dyDescent="0.35">
      <c r="A2992" s="106" t="s" ph="1">
        <v>1627</v>
      </c>
      <c r="B2992" s="5" t="s" ph="1">
        <v>1622</v>
      </c>
      <c r="C2992" s="13" t="s" ph="1">
        <v>7591</v>
      </c>
      <c r="D2992" s="123" ph="1">
        <v>4</v>
      </c>
      <c r="E2992" s="123" ph="1">
        <v>4</v>
      </c>
      <c r="F2992" s="13" ph="1"/>
      <c r="G2992" s="13" t="s" ph="1">
        <v>1574</v>
      </c>
      <c r="H2992" s="13" t="s" ph="1">
        <v>1616</v>
      </c>
      <c r="I2992" s="13" t="s" ph="1">
        <v>9043</v>
      </c>
      <c r="J2992" s="13" ph="1"/>
      <c r="K2992" s="13" ph="1"/>
      <c r="L2992" s="13" ph="1"/>
      <c r="M2992" s="14" t="str" ph="1">
        <f>IFERROR(INDEX([1]!_born[生没年],
MATCH(I2992,[1]!_born[作],0)),"")</f>
        <v/>
      </c>
      <c r="N2992" s="14" t="str" ph="1">
        <f>IFERROR(INDEX([1]!_born[生没年],
MATCH(K2992,[1]!_born[作],0)),"")</f>
        <v/>
      </c>
      <c r="O2992" s="15" t="s" ph="1">
        <v>9384</v>
      </c>
      <c r="P2992" s="13" ph="1"/>
      <c r="Q2992" s="13" ph="1"/>
      <c r="R2992" s="16" ph="1"/>
      <c r="S2992" s="13" ph="1"/>
      <c r="T2992" s="13" t="s" ph="1">
        <v>9383</v>
      </c>
      <c r="U2992" s="16" ph="1">
        <v>34837</v>
      </c>
      <c r="V2992" s="17" ph="1">
        <f>563*1.03</f>
        <v>579.89</v>
      </c>
      <c r="W2992" s="17" ph="1"/>
      <c r="X2992" s="13" t="s" ph="1">
        <v>1624</v>
      </c>
      <c r="Y2992" s="13" ph="1"/>
    </row>
    <row r="2993" spans="1:23" s="19" customFormat="1" ht="22.5" customHeight="1" ph="1" x14ac:dyDescent="0.35">
      <c r="A2993" s="107" ph="1"/>
      <c r="B2993" s="18" ph="1"/>
      <c r="C2993" s="19" t="s" ph="1">
        <v>8023</v>
      </c>
      <c r="D2993" s="124" ph="1">
        <v>1</v>
      </c>
      <c r="E2993" s="124" ph="1">
        <v>10</v>
      </c>
      <c r="G2993" s="19" t="s" ph="1">
        <v>1574</v>
      </c>
      <c r="H2993" s="19" t="s" ph="1">
        <v>2987</v>
      </c>
      <c r="I2993" s="19" t="s" ph="1">
        <v>9385</v>
      </c>
      <c r="M2993" s="27" t="str" ph="1">
        <f>IFERROR(INDEX([1]!_born[生没年],
MATCH(I2993,[1]!_born[作],0)),"")</f>
        <v/>
      </c>
      <c r="N2993" s="27" t="str" ph="1">
        <f>IFERROR(INDEX([1]!_born[生没年],
MATCH(K2993,[1]!_born[作],0)),"")</f>
        <v/>
      </c>
      <c r="O2993" s="19" t="s" ph="1">
        <v>9386</v>
      </c>
      <c r="R2993" s="20" ph="1"/>
      <c r="S2993" s="19" t="s" ph="1">
        <v>9387</v>
      </c>
      <c r="U2993" s="20" t="s" ph="1">
        <v>1612</v>
      </c>
      <c r="V2993" s="21" ph="1"/>
      <c r="W2993" s="21" ph="1"/>
    </row>
    <row r="2994" spans="1:23" s="19" customFormat="1" ht="22.5" customHeight="1" ph="1" x14ac:dyDescent="0.35">
      <c r="A2994" s="107" ph="1"/>
      <c r="B2994" s="18" ph="1"/>
      <c r="C2994" s="19" t="s" ph="1">
        <v>8023</v>
      </c>
      <c r="D2994" s="124" ph="1">
        <v>2</v>
      </c>
      <c r="E2994" s="124" ph="1">
        <v>10</v>
      </c>
      <c r="G2994" s="19" t="s" ph="1">
        <v>1574</v>
      </c>
      <c r="H2994" s="19" t="s" ph="1">
        <v>2987</v>
      </c>
      <c r="I2994" s="19" t="s" ph="1">
        <v>9385</v>
      </c>
      <c r="M2994" s="27" t="str" ph="1">
        <f>IFERROR(INDEX([1]!_born[生没年],
MATCH(I2994,[1]!_born[作],0)),"")</f>
        <v/>
      </c>
      <c r="N2994" s="27" t="str" ph="1">
        <f>IFERROR(INDEX([1]!_born[生没年],
MATCH(K2994,[1]!_born[作],0)),"")</f>
        <v/>
      </c>
      <c r="O2994" s="19" t="s" ph="1">
        <v>9386</v>
      </c>
      <c r="R2994" s="20" ph="1"/>
      <c r="S2994" s="19" t="s" ph="1">
        <v>9387</v>
      </c>
      <c r="U2994" s="20" t="s" ph="1">
        <v>1612</v>
      </c>
      <c r="V2994" s="21" ph="1"/>
      <c r="W2994" s="21" ph="1"/>
    </row>
    <row r="2995" spans="1:23" s="19" customFormat="1" ht="22.5" customHeight="1" ph="1" x14ac:dyDescent="0.35">
      <c r="A2995" s="107" ph="1"/>
      <c r="B2995" s="18" ph="1"/>
      <c r="C2995" s="19" t="s" ph="1">
        <v>8023</v>
      </c>
      <c r="D2995" s="124" ph="1">
        <v>3</v>
      </c>
      <c r="E2995" s="124" ph="1">
        <v>10</v>
      </c>
      <c r="G2995" s="19" t="s" ph="1">
        <v>1574</v>
      </c>
      <c r="H2995" s="19" t="s" ph="1">
        <v>2987</v>
      </c>
      <c r="I2995" s="19" t="s" ph="1">
        <v>9385</v>
      </c>
      <c r="M2995" s="27" t="str" ph="1">
        <f>IFERROR(INDEX([1]!_born[生没年],
MATCH(I2995,[1]!_born[作],0)),"")</f>
        <v/>
      </c>
      <c r="N2995" s="27" t="str" ph="1">
        <f>IFERROR(INDEX([1]!_born[生没年],
MATCH(K2995,[1]!_born[作],0)),"")</f>
        <v/>
      </c>
      <c r="O2995" s="19" t="s" ph="1">
        <v>9386</v>
      </c>
      <c r="R2995" s="20" ph="1"/>
      <c r="S2995" s="19" t="s" ph="1">
        <v>9387</v>
      </c>
      <c r="U2995" s="20" t="s" ph="1">
        <v>1612</v>
      </c>
      <c r="V2995" s="21" ph="1"/>
      <c r="W2995" s="21" ph="1"/>
    </row>
    <row r="2996" spans="1:23" s="19" customFormat="1" ht="22.5" customHeight="1" ph="1" x14ac:dyDescent="0.35">
      <c r="A2996" s="107" ph="1"/>
      <c r="B2996" s="18" ph="1"/>
      <c r="C2996" s="19" t="s" ph="1">
        <v>8023</v>
      </c>
      <c r="D2996" s="124" ph="1">
        <v>4</v>
      </c>
      <c r="E2996" s="124" ph="1">
        <v>10</v>
      </c>
      <c r="G2996" s="19" t="s" ph="1">
        <v>1574</v>
      </c>
      <c r="H2996" s="19" t="s" ph="1">
        <v>2987</v>
      </c>
      <c r="I2996" s="19" t="s" ph="1">
        <v>9385</v>
      </c>
      <c r="M2996" s="27" t="str" ph="1">
        <f>IFERROR(INDEX([1]!_born[生没年],
MATCH(I2996,[1]!_born[作],0)),"")</f>
        <v/>
      </c>
      <c r="N2996" s="27" t="str" ph="1">
        <f>IFERROR(INDEX([1]!_born[生没年],
MATCH(K2996,[1]!_born[作],0)),"")</f>
        <v/>
      </c>
      <c r="O2996" s="19" t="s" ph="1">
        <v>9386</v>
      </c>
      <c r="R2996" s="20" ph="1"/>
      <c r="S2996" s="19" t="s" ph="1">
        <v>9387</v>
      </c>
      <c r="U2996" s="20" t="s" ph="1">
        <v>1612</v>
      </c>
      <c r="V2996" s="21" ph="1"/>
      <c r="W2996" s="21" ph="1"/>
    </row>
    <row r="2997" spans="1:23" s="19" customFormat="1" ht="22.5" customHeight="1" ph="1" x14ac:dyDescent="0.35">
      <c r="A2997" s="107" ph="1"/>
      <c r="B2997" s="18" ph="1"/>
      <c r="C2997" s="19" t="s" ph="1">
        <v>8023</v>
      </c>
      <c r="D2997" s="124" ph="1">
        <v>5</v>
      </c>
      <c r="E2997" s="124" ph="1">
        <v>10</v>
      </c>
      <c r="G2997" s="19" t="s" ph="1">
        <v>1574</v>
      </c>
      <c r="H2997" s="19" t="s" ph="1">
        <v>2987</v>
      </c>
      <c r="I2997" s="19" t="s" ph="1">
        <v>9385</v>
      </c>
      <c r="M2997" s="27" t="str" ph="1">
        <f>IFERROR(INDEX([1]!_born[生没年],
MATCH(I2997,[1]!_born[作],0)),"")</f>
        <v/>
      </c>
      <c r="N2997" s="27" t="str" ph="1">
        <f>IFERROR(INDEX([1]!_born[生没年],
MATCH(K2997,[1]!_born[作],0)),"")</f>
        <v/>
      </c>
      <c r="O2997" s="19" t="s" ph="1">
        <v>9386</v>
      </c>
      <c r="R2997" s="20" ph="1"/>
      <c r="S2997" s="19" t="s" ph="1">
        <v>9387</v>
      </c>
      <c r="U2997" s="20" t="s" ph="1">
        <v>1612</v>
      </c>
      <c r="V2997" s="21" ph="1"/>
      <c r="W2997" s="21" ph="1"/>
    </row>
    <row r="2998" spans="1:23" s="19" customFormat="1" ht="22.5" customHeight="1" ph="1" x14ac:dyDescent="0.35">
      <c r="A2998" s="107" ph="1"/>
      <c r="B2998" s="18" ph="1"/>
      <c r="C2998" s="19" t="s" ph="1">
        <v>8023</v>
      </c>
      <c r="D2998" s="124" ph="1">
        <v>6</v>
      </c>
      <c r="E2998" s="124" ph="1">
        <v>10</v>
      </c>
      <c r="G2998" s="19" t="s" ph="1">
        <v>1574</v>
      </c>
      <c r="H2998" s="19" t="s" ph="1">
        <v>2987</v>
      </c>
      <c r="I2998" s="19" t="s" ph="1">
        <v>9385</v>
      </c>
      <c r="M2998" s="27" t="str" ph="1">
        <f>IFERROR(INDEX([1]!_born[生没年],
MATCH(I2998,[1]!_born[作],0)),"")</f>
        <v/>
      </c>
      <c r="N2998" s="27" t="str" ph="1">
        <f>IFERROR(INDEX([1]!_born[生没年],
MATCH(K2998,[1]!_born[作],0)),"")</f>
        <v/>
      </c>
      <c r="O2998" s="19" t="s" ph="1">
        <v>9386</v>
      </c>
      <c r="R2998" s="20" ph="1"/>
      <c r="S2998" s="19" t="s" ph="1">
        <v>9387</v>
      </c>
      <c r="U2998" s="20" t="s" ph="1">
        <v>1612</v>
      </c>
      <c r="V2998" s="21" ph="1"/>
      <c r="W2998" s="21" ph="1"/>
    </row>
    <row r="2999" spans="1:23" s="19" customFormat="1" ht="22.5" customHeight="1" ph="1" x14ac:dyDescent="0.35">
      <c r="A2999" s="107" ph="1"/>
      <c r="B2999" s="18" ph="1"/>
      <c r="C2999" s="19" t="s" ph="1">
        <v>8023</v>
      </c>
      <c r="D2999" s="124" ph="1">
        <v>7</v>
      </c>
      <c r="E2999" s="124" ph="1">
        <v>10</v>
      </c>
      <c r="G2999" s="19" t="s" ph="1">
        <v>1574</v>
      </c>
      <c r="H2999" s="19" t="s" ph="1">
        <v>2987</v>
      </c>
      <c r="I2999" s="19" t="s" ph="1">
        <v>9385</v>
      </c>
      <c r="M2999" s="27" t="str" ph="1">
        <f>IFERROR(INDEX([1]!_born[生没年],
MATCH(I2999,[1]!_born[作],0)),"")</f>
        <v/>
      </c>
      <c r="N2999" s="27" t="str" ph="1">
        <f>IFERROR(INDEX([1]!_born[生没年],
MATCH(K2999,[1]!_born[作],0)),"")</f>
        <v/>
      </c>
      <c r="O2999" s="19" t="s" ph="1">
        <v>9386</v>
      </c>
      <c r="R2999" s="20" ph="1"/>
      <c r="S2999" s="19" t="s" ph="1">
        <v>9387</v>
      </c>
      <c r="U2999" s="20" t="s" ph="1">
        <v>1612</v>
      </c>
      <c r="V2999" s="21" ph="1"/>
      <c r="W2999" s="21" ph="1"/>
    </row>
    <row r="3000" spans="1:23" s="19" customFormat="1" ht="22.5" customHeight="1" ph="1" x14ac:dyDescent="0.35">
      <c r="A3000" s="107" ph="1"/>
      <c r="B3000" s="18" ph="1"/>
      <c r="C3000" s="19" t="s" ph="1">
        <v>8023</v>
      </c>
      <c r="D3000" s="124" ph="1">
        <v>8</v>
      </c>
      <c r="E3000" s="124" ph="1">
        <v>10</v>
      </c>
      <c r="G3000" s="19" t="s" ph="1">
        <v>1574</v>
      </c>
      <c r="H3000" s="19" t="s" ph="1">
        <v>2987</v>
      </c>
      <c r="I3000" s="19" t="s" ph="1">
        <v>9385</v>
      </c>
      <c r="M3000" s="27" t="str" ph="1">
        <f>IFERROR(INDEX([1]!_born[生没年],
MATCH(I3000,[1]!_born[作],0)),"")</f>
        <v/>
      </c>
      <c r="N3000" s="27" t="str" ph="1">
        <f>IFERROR(INDEX([1]!_born[生没年],
MATCH(K3000,[1]!_born[作],0)),"")</f>
        <v/>
      </c>
      <c r="O3000" s="19" t="s" ph="1">
        <v>9386</v>
      </c>
      <c r="R3000" s="20" ph="1"/>
      <c r="S3000" s="19" t="s" ph="1">
        <v>9387</v>
      </c>
      <c r="U3000" s="20" t="s" ph="1">
        <v>1612</v>
      </c>
      <c r="V3000" s="21" ph="1"/>
      <c r="W3000" s="21" ph="1"/>
    </row>
    <row r="3001" spans="1:23" s="19" customFormat="1" ht="22.5" customHeight="1" ph="1" x14ac:dyDescent="0.35">
      <c r="A3001" s="107" ph="1"/>
      <c r="B3001" s="18" ph="1"/>
      <c r="C3001" s="19" t="s" ph="1">
        <v>8023</v>
      </c>
      <c r="D3001" s="124" ph="1">
        <v>9</v>
      </c>
      <c r="E3001" s="124" ph="1">
        <v>10</v>
      </c>
      <c r="G3001" s="19" t="s" ph="1">
        <v>1574</v>
      </c>
      <c r="H3001" s="19" t="s" ph="1">
        <v>2987</v>
      </c>
      <c r="I3001" s="19" t="s" ph="1">
        <v>9385</v>
      </c>
      <c r="M3001" s="27" t="str" ph="1">
        <f>IFERROR(INDEX([1]!_born[生没年],
MATCH(I3001,[1]!_born[作],0)),"")</f>
        <v/>
      </c>
      <c r="N3001" s="27" t="str" ph="1">
        <f>IFERROR(INDEX([1]!_born[生没年],
MATCH(K3001,[1]!_born[作],0)),"")</f>
        <v/>
      </c>
      <c r="O3001" s="19" t="s" ph="1">
        <v>9386</v>
      </c>
      <c r="R3001" s="20" ph="1"/>
      <c r="S3001" s="19" t="s" ph="1">
        <v>9387</v>
      </c>
      <c r="U3001" s="20" t="s" ph="1">
        <v>1612</v>
      </c>
      <c r="V3001" s="21" ph="1"/>
      <c r="W3001" s="21" ph="1"/>
    </row>
    <row r="3002" spans="1:23" s="19" customFormat="1" ht="22.5" customHeight="1" ph="1" x14ac:dyDescent="0.35">
      <c r="A3002" s="107" ph="1"/>
      <c r="B3002" s="18" ph="1"/>
      <c r="C3002" s="19" t="s" ph="1">
        <v>8023</v>
      </c>
      <c r="D3002" s="124" ph="1">
        <v>10</v>
      </c>
      <c r="E3002" s="124" ph="1">
        <v>10</v>
      </c>
      <c r="G3002" s="19" t="s" ph="1">
        <v>1574</v>
      </c>
      <c r="H3002" s="19" t="s" ph="1">
        <v>2987</v>
      </c>
      <c r="I3002" s="19" t="s" ph="1">
        <v>9385</v>
      </c>
      <c r="M3002" s="27" t="str" ph="1">
        <f>IFERROR(INDEX([1]!_born[生没年],
MATCH(I3002,[1]!_born[作],0)),"")</f>
        <v/>
      </c>
      <c r="N3002" s="27" t="str" ph="1">
        <f>IFERROR(INDEX([1]!_born[生没年],
MATCH(K3002,[1]!_born[作],0)),"")</f>
        <v/>
      </c>
      <c r="O3002" s="19" t="s" ph="1">
        <v>9386</v>
      </c>
      <c r="R3002" s="20" ph="1"/>
      <c r="S3002" s="19" t="s" ph="1">
        <v>9387</v>
      </c>
      <c r="U3002" s="20" t="s" ph="1">
        <v>1612</v>
      </c>
      <c r="V3002" s="21" ph="1"/>
      <c r="W3002" s="21" ph="1"/>
    </row>
    <row r="3003" spans="1:23" s="19" customFormat="1" ht="22.5" customHeight="1" ph="1" x14ac:dyDescent="0.35">
      <c r="A3003" s="107" ph="1"/>
      <c r="B3003" s="18" ph="1"/>
      <c r="C3003" s="19" t="s" ph="1">
        <v>8023</v>
      </c>
      <c r="D3003" s="124" ph="1">
        <v>1</v>
      </c>
      <c r="E3003" s="124" ph="1">
        <v>15</v>
      </c>
      <c r="G3003" s="19" t="s" ph="1">
        <v>1574</v>
      </c>
      <c r="H3003" s="19" t="s" ph="1">
        <v>2987</v>
      </c>
      <c r="I3003" s="19" t="s" ph="1">
        <v>9385</v>
      </c>
      <c r="M3003" s="27" t="str" ph="1">
        <f>IFERROR(INDEX([1]!_born[生没年],
MATCH(I3003,[1]!_born[作],0)),"")</f>
        <v/>
      </c>
      <c r="N3003" s="27" t="str" ph="1">
        <f>IFERROR(INDEX([1]!_born[生没年],
MATCH(K3003,[1]!_born[作],0)),"")</f>
        <v/>
      </c>
      <c r="O3003" s="23" t="s" ph="1">
        <v>9388</v>
      </c>
      <c r="R3003" s="20" ph="1"/>
      <c r="S3003" s="19" t="s" ph="1">
        <v>9389</v>
      </c>
      <c r="U3003" s="20" t="s" ph="1">
        <v>1612</v>
      </c>
      <c r="V3003" s="21" ph="1"/>
      <c r="W3003" s="21" ph="1"/>
    </row>
    <row r="3004" spans="1:23" s="19" customFormat="1" ht="22.5" customHeight="1" ph="1" x14ac:dyDescent="0.35">
      <c r="A3004" s="107" ph="1"/>
      <c r="B3004" s="18" ph="1"/>
      <c r="C3004" s="19" t="s" ph="1">
        <v>8023</v>
      </c>
      <c r="D3004" s="124" ph="1">
        <v>2</v>
      </c>
      <c r="E3004" s="124" ph="1">
        <v>15</v>
      </c>
      <c r="G3004" s="19" t="s" ph="1">
        <v>1574</v>
      </c>
      <c r="H3004" s="19" t="s" ph="1">
        <v>2987</v>
      </c>
      <c r="I3004" s="19" t="s" ph="1">
        <v>9385</v>
      </c>
      <c r="M3004" s="27" t="str" ph="1">
        <f>IFERROR(INDEX([1]!_born[生没年],
MATCH(I3004,[1]!_born[作],0)),"")</f>
        <v/>
      </c>
      <c r="N3004" s="27" t="str" ph="1">
        <f>IFERROR(INDEX([1]!_born[生没年],
MATCH(K3004,[1]!_born[作],0)),"")</f>
        <v/>
      </c>
      <c r="O3004" s="23" t="s" ph="1">
        <v>9388</v>
      </c>
      <c r="R3004" s="20" ph="1"/>
      <c r="S3004" s="19" t="s" ph="1">
        <v>9389</v>
      </c>
      <c r="U3004" s="20" t="s" ph="1">
        <v>1612</v>
      </c>
      <c r="V3004" s="21" ph="1"/>
      <c r="W3004" s="21" ph="1"/>
    </row>
    <row r="3005" spans="1:23" s="19" customFormat="1" ht="22.5" customHeight="1" ph="1" x14ac:dyDescent="0.35">
      <c r="A3005" s="107" ph="1"/>
      <c r="B3005" s="18" ph="1"/>
      <c r="C3005" s="19" t="s" ph="1">
        <v>8023</v>
      </c>
      <c r="D3005" s="124" ph="1">
        <v>3</v>
      </c>
      <c r="E3005" s="124" ph="1">
        <v>15</v>
      </c>
      <c r="G3005" s="19" t="s" ph="1">
        <v>1574</v>
      </c>
      <c r="H3005" s="19" t="s" ph="1">
        <v>2987</v>
      </c>
      <c r="I3005" s="19" t="s" ph="1">
        <v>9385</v>
      </c>
      <c r="M3005" s="27" t="str" ph="1">
        <f>IFERROR(INDEX([1]!_born[生没年],
MATCH(I3005,[1]!_born[作],0)),"")</f>
        <v/>
      </c>
      <c r="N3005" s="27" t="str" ph="1">
        <f>IFERROR(INDEX([1]!_born[生没年],
MATCH(K3005,[1]!_born[作],0)),"")</f>
        <v/>
      </c>
      <c r="O3005" s="23" t="s" ph="1">
        <v>9388</v>
      </c>
      <c r="R3005" s="20" ph="1"/>
      <c r="S3005" s="19" t="s" ph="1">
        <v>9389</v>
      </c>
      <c r="U3005" s="20" t="s" ph="1">
        <v>1612</v>
      </c>
      <c r="V3005" s="21" ph="1"/>
      <c r="W3005" s="21" ph="1"/>
    </row>
    <row r="3006" spans="1:23" s="19" customFormat="1" ht="22.5" customHeight="1" ph="1" x14ac:dyDescent="0.35">
      <c r="A3006" s="107" ph="1"/>
      <c r="B3006" s="18" ph="1"/>
      <c r="C3006" s="19" t="s" ph="1">
        <v>8023</v>
      </c>
      <c r="D3006" s="124" ph="1">
        <v>4</v>
      </c>
      <c r="E3006" s="124" ph="1">
        <v>15</v>
      </c>
      <c r="G3006" s="19" t="s" ph="1">
        <v>1574</v>
      </c>
      <c r="H3006" s="19" t="s" ph="1">
        <v>2987</v>
      </c>
      <c r="I3006" s="19" t="s" ph="1">
        <v>9385</v>
      </c>
      <c r="M3006" s="27" t="str" ph="1">
        <f>IFERROR(INDEX([1]!_born[生没年],
MATCH(I3006,[1]!_born[作],0)),"")</f>
        <v/>
      </c>
      <c r="N3006" s="27" t="str" ph="1">
        <f>IFERROR(INDEX([1]!_born[生没年],
MATCH(K3006,[1]!_born[作],0)),"")</f>
        <v/>
      </c>
      <c r="O3006" s="23" t="s" ph="1">
        <v>9388</v>
      </c>
      <c r="R3006" s="20" ph="1"/>
      <c r="S3006" s="19" t="s" ph="1">
        <v>9389</v>
      </c>
      <c r="U3006" s="20" t="s" ph="1">
        <v>1612</v>
      </c>
      <c r="V3006" s="21" ph="1"/>
      <c r="W3006" s="21" ph="1"/>
    </row>
    <row r="3007" spans="1:23" s="19" customFormat="1" ht="22.5" customHeight="1" ph="1" x14ac:dyDescent="0.35">
      <c r="A3007" s="107" ph="1"/>
      <c r="B3007" s="18" ph="1"/>
      <c r="C3007" s="19" t="s" ph="1">
        <v>8023</v>
      </c>
      <c r="D3007" s="124" ph="1">
        <v>5</v>
      </c>
      <c r="E3007" s="124" ph="1">
        <v>15</v>
      </c>
      <c r="G3007" s="19" t="s" ph="1">
        <v>1574</v>
      </c>
      <c r="H3007" s="19" t="s" ph="1">
        <v>2987</v>
      </c>
      <c r="I3007" s="19" t="s" ph="1">
        <v>9385</v>
      </c>
      <c r="M3007" s="27" t="str" ph="1">
        <f>IFERROR(INDEX([1]!_born[生没年],
MATCH(I3007,[1]!_born[作],0)),"")</f>
        <v/>
      </c>
      <c r="N3007" s="27" t="str" ph="1">
        <f>IFERROR(INDEX([1]!_born[生没年],
MATCH(K3007,[1]!_born[作],0)),"")</f>
        <v/>
      </c>
      <c r="O3007" s="23" t="s" ph="1">
        <v>9388</v>
      </c>
      <c r="R3007" s="20" ph="1"/>
      <c r="S3007" s="19" t="s" ph="1">
        <v>9389</v>
      </c>
      <c r="U3007" s="20" t="s" ph="1">
        <v>1612</v>
      </c>
      <c r="V3007" s="21" ph="1"/>
      <c r="W3007" s="21" ph="1"/>
    </row>
    <row r="3008" spans="1:23" s="19" customFormat="1" ht="22.5" customHeight="1" ph="1" x14ac:dyDescent="0.35">
      <c r="A3008" s="107" ph="1"/>
      <c r="B3008" s="18" ph="1"/>
      <c r="C3008" s="19" t="s" ph="1">
        <v>8023</v>
      </c>
      <c r="D3008" s="124" ph="1">
        <v>6</v>
      </c>
      <c r="E3008" s="124" ph="1">
        <v>15</v>
      </c>
      <c r="G3008" s="19" t="s" ph="1">
        <v>1574</v>
      </c>
      <c r="H3008" s="19" t="s" ph="1">
        <v>2987</v>
      </c>
      <c r="I3008" s="19" t="s" ph="1">
        <v>9385</v>
      </c>
      <c r="M3008" s="27" t="str" ph="1">
        <f>IFERROR(INDEX([1]!_born[生没年],
MATCH(I3008,[1]!_born[作],0)),"")</f>
        <v/>
      </c>
      <c r="N3008" s="27" t="str" ph="1">
        <f>IFERROR(INDEX([1]!_born[生没年],
MATCH(K3008,[1]!_born[作],0)),"")</f>
        <v/>
      </c>
      <c r="O3008" s="23" t="s" ph="1">
        <v>9388</v>
      </c>
      <c r="R3008" s="20" ph="1"/>
      <c r="S3008" s="19" t="s" ph="1">
        <v>9389</v>
      </c>
      <c r="U3008" s="20" t="s" ph="1">
        <v>1612</v>
      </c>
      <c r="V3008" s="21" ph="1"/>
      <c r="W3008" s="21" ph="1"/>
    </row>
    <row r="3009" spans="1:23" s="19" customFormat="1" ht="22.5" customHeight="1" ph="1" x14ac:dyDescent="0.35">
      <c r="A3009" s="107" ph="1"/>
      <c r="B3009" s="18" ph="1"/>
      <c r="C3009" s="19" t="s" ph="1">
        <v>8023</v>
      </c>
      <c r="D3009" s="124" ph="1">
        <v>7</v>
      </c>
      <c r="E3009" s="124" ph="1">
        <v>15</v>
      </c>
      <c r="G3009" s="19" t="s" ph="1">
        <v>1574</v>
      </c>
      <c r="H3009" s="19" t="s" ph="1">
        <v>2987</v>
      </c>
      <c r="I3009" s="19" t="s" ph="1">
        <v>9385</v>
      </c>
      <c r="M3009" s="27" t="str" ph="1">
        <f>IFERROR(INDEX([1]!_born[生没年],
MATCH(I3009,[1]!_born[作],0)),"")</f>
        <v/>
      </c>
      <c r="N3009" s="27" t="str" ph="1">
        <f>IFERROR(INDEX([1]!_born[生没年],
MATCH(K3009,[1]!_born[作],0)),"")</f>
        <v/>
      </c>
      <c r="O3009" s="23" t="s" ph="1">
        <v>9388</v>
      </c>
      <c r="R3009" s="20" ph="1"/>
      <c r="S3009" s="19" t="s" ph="1">
        <v>9389</v>
      </c>
      <c r="U3009" s="20" t="s" ph="1">
        <v>1612</v>
      </c>
      <c r="V3009" s="21" ph="1"/>
      <c r="W3009" s="21" ph="1"/>
    </row>
    <row r="3010" spans="1:23" s="19" customFormat="1" ht="22.5" customHeight="1" ph="1" x14ac:dyDescent="0.35">
      <c r="A3010" s="107" ph="1"/>
      <c r="B3010" s="18" ph="1"/>
      <c r="C3010" s="19" t="s" ph="1">
        <v>8023</v>
      </c>
      <c r="D3010" s="124" ph="1">
        <v>8</v>
      </c>
      <c r="E3010" s="124" ph="1">
        <v>15</v>
      </c>
      <c r="G3010" s="19" t="s" ph="1">
        <v>1574</v>
      </c>
      <c r="H3010" s="19" t="s" ph="1">
        <v>2987</v>
      </c>
      <c r="I3010" s="19" t="s" ph="1">
        <v>9385</v>
      </c>
      <c r="M3010" s="27" t="str" ph="1">
        <f>IFERROR(INDEX([1]!_born[生没年],
MATCH(I3010,[1]!_born[作],0)),"")</f>
        <v/>
      </c>
      <c r="N3010" s="27" t="str" ph="1">
        <f>IFERROR(INDEX([1]!_born[生没年],
MATCH(K3010,[1]!_born[作],0)),"")</f>
        <v/>
      </c>
      <c r="O3010" s="23" t="s" ph="1">
        <v>9388</v>
      </c>
      <c r="R3010" s="20" ph="1"/>
      <c r="S3010" s="19" t="s" ph="1">
        <v>9389</v>
      </c>
      <c r="U3010" s="20" t="s" ph="1">
        <v>1612</v>
      </c>
      <c r="V3010" s="21" ph="1"/>
      <c r="W3010" s="21" ph="1"/>
    </row>
    <row r="3011" spans="1:23" s="19" customFormat="1" ht="22.5" customHeight="1" ph="1" x14ac:dyDescent="0.35">
      <c r="A3011" s="107" ph="1"/>
      <c r="B3011" s="18" ph="1"/>
      <c r="C3011" s="19" t="s" ph="1">
        <v>8023</v>
      </c>
      <c r="D3011" s="124" ph="1">
        <v>9</v>
      </c>
      <c r="E3011" s="124" ph="1">
        <v>15</v>
      </c>
      <c r="G3011" s="19" t="s" ph="1">
        <v>1574</v>
      </c>
      <c r="H3011" s="19" t="s" ph="1">
        <v>2987</v>
      </c>
      <c r="I3011" s="19" t="s" ph="1">
        <v>9385</v>
      </c>
      <c r="M3011" s="27" t="str" ph="1">
        <f>IFERROR(INDEX([1]!_born[生没年],
MATCH(I3011,[1]!_born[作],0)),"")</f>
        <v/>
      </c>
      <c r="N3011" s="27" t="str" ph="1">
        <f>IFERROR(INDEX([1]!_born[生没年],
MATCH(K3011,[1]!_born[作],0)),"")</f>
        <v/>
      </c>
      <c r="O3011" s="23" t="s" ph="1">
        <v>9388</v>
      </c>
      <c r="R3011" s="20" ph="1"/>
      <c r="S3011" s="19" t="s" ph="1">
        <v>9389</v>
      </c>
      <c r="U3011" s="20" t="s" ph="1">
        <v>1612</v>
      </c>
      <c r="V3011" s="21" ph="1"/>
      <c r="W3011" s="21" ph="1"/>
    </row>
    <row r="3012" spans="1:23" s="19" customFormat="1" ht="22.5" customHeight="1" ph="1" x14ac:dyDescent="0.35">
      <c r="A3012" s="107" ph="1"/>
      <c r="B3012" s="18" ph="1"/>
      <c r="C3012" s="19" t="s" ph="1">
        <v>8023</v>
      </c>
      <c r="D3012" s="124" ph="1">
        <v>10</v>
      </c>
      <c r="E3012" s="124" ph="1">
        <v>15</v>
      </c>
      <c r="G3012" s="19" t="s" ph="1">
        <v>1574</v>
      </c>
      <c r="H3012" s="19" t="s" ph="1">
        <v>2987</v>
      </c>
      <c r="I3012" s="19" t="s" ph="1">
        <v>9385</v>
      </c>
      <c r="M3012" s="27" t="str" ph="1">
        <f>IFERROR(INDEX([1]!_born[生没年],
MATCH(I3012,[1]!_born[作],0)),"")</f>
        <v/>
      </c>
      <c r="N3012" s="27" t="str" ph="1">
        <f>IFERROR(INDEX([1]!_born[生没年],
MATCH(K3012,[1]!_born[作],0)),"")</f>
        <v/>
      </c>
      <c r="O3012" s="23" t="s" ph="1">
        <v>9388</v>
      </c>
      <c r="R3012" s="20" ph="1"/>
      <c r="S3012" s="19" t="s" ph="1">
        <v>9389</v>
      </c>
      <c r="U3012" s="20" t="s" ph="1">
        <v>1612</v>
      </c>
      <c r="V3012" s="21" ph="1"/>
      <c r="W3012" s="21" ph="1"/>
    </row>
    <row r="3013" spans="1:23" s="19" customFormat="1" ht="22.5" customHeight="1" ph="1" x14ac:dyDescent="0.35">
      <c r="A3013" s="107" ph="1"/>
      <c r="B3013" s="18" ph="1"/>
      <c r="C3013" s="19" t="s" ph="1">
        <v>8023</v>
      </c>
      <c r="D3013" s="124" ph="1">
        <v>11</v>
      </c>
      <c r="E3013" s="124" ph="1">
        <v>15</v>
      </c>
      <c r="G3013" s="19" t="s" ph="1">
        <v>1574</v>
      </c>
      <c r="H3013" s="19" t="s" ph="1">
        <v>2987</v>
      </c>
      <c r="I3013" s="19" t="s" ph="1">
        <v>9385</v>
      </c>
      <c r="M3013" s="27" t="str" ph="1">
        <f>IFERROR(INDEX([1]!_born[生没年],
MATCH(I3013,[1]!_born[作],0)),"")</f>
        <v/>
      </c>
      <c r="N3013" s="27" t="str" ph="1">
        <f>IFERROR(INDEX([1]!_born[生没年],
MATCH(K3013,[1]!_born[作],0)),"")</f>
        <v/>
      </c>
      <c r="O3013" s="23" t="s" ph="1">
        <v>9388</v>
      </c>
      <c r="R3013" s="20" ph="1"/>
      <c r="S3013" s="19" t="s" ph="1">
        <v>9389</v>
      </c>
      <c r="U3013" s="20" t="s" ph="1">
        <v>1612</v>
      </c>
      <c r="V3013" s="21" ph="1"/>
      <c r="W3013" s="21" ph="1"/>
    </row>
    <row r="3014" spans="1:23" s="19" customFormat="1" ht="22.5" customHeight="1" ph="1" x14ac:dyDescent="0.35">
      <c r="A3014" s="107" ph="1"/>
      <c r="B3014" s="18" ph="1"/>
      <c r="C3014" s="19" t="s" ph="1">
        <v>8023</v>
      </c>
      <c r="D3014" s="124" ph="1">
        <v>12</v>
      </c>
      <c r="E3014" s="124" ph="1">
        <v>15</v>
      </c>
      <c r="G3014" s="19" t="s" ph="1">
        <v>1574</v>
      </c>
      <c r="H3014" s="19" t="s" ph="1">
        <v>2987</v>
      </c>
      <c r="I3014" s="19" t="s" ph="1">
        <v>9385</v>
      </c>
      <c r="M3014" s="27" t="str" ph="1">
        <f>IFERROR(INDEX([1]!_born[生没年],
MATCH(I3014,[1]!_born[作],0)),"")</f>
        <v/>
      </c>
      <c r="N3014" s="27" t="str" ph="1">
        <f>IFERROR(INDEX([1]!_born[生没年],
MATCH(K3014,[1]!_born[作],0)),"")</f>
        <v/>
      </c>
      <c r="O3014" s="23" t="s" ph="1">
        <v>9388</v>
      </c>
      <c r="R3014" s="20" ph="1"/>
      <c r="S3014" s="19" t="s" ph="1">
        <v>9389</v>
      </c>
      <c r="U3014" s="20" t="s" ph="1">
        <v>1612</v>
      </c>
      <c r="V3014" s="21" ph="1"/>
      <c r="W3014" s="21" ph="1"/>
    </row>
    <row r="3015" spans="1:23" s="19" customFormat="1" ht="22.5" customHeight="1" ph="1" x14ac:dyDescent="0.35">
      <c r="A3015" s="107" ph="1"/>
      <c r="B3015" s="18" ph="1"/>
      <c r="C3015" s="19" t="s" ph="1">
        <v>8023</v>
      </c>
      <c r="D3015" s="124" ph="1">
        <v>13</v>
      </c>
      <c r="E3015" s="124" ph="1">
        <v>15</v>
      </c>
      <c r="G3015" s="19" t="s" ph="1">
        <v>1574</v>
      </c>
      <c r="H3015" s="19" t="s" ph="1">
        <v>2987</v>
      </c>
      <c r="I3015" s="19" t="s" ph="1">
        <v>9385</v>
      </c>
      <c r="M3015" s="27" t="str" ph="1">
        <f>IFERROR(INDEX([1]!_born[生没年],
MATCH(I3015,[1]!_born[作],0)),"")</f>
        <v/>
      </c>
      <c r="N3015" s="27" t="str" ph="1">
        <f>IFERROR(INDEX([1]!_born[生没年],
MATCH(K3015,[1]!_born[作],0)),"")</f>
        <v/>
      </c>
      <c r="O3015" s="23" t="s" ph="1">
        <v>9388</v>
      </c>
      <c r="R3015" s="20" ph="1"/>
      <c r="S3015" s="19" t="s" ph="1">
        <v>9389</v>
      </c>
      <c r="U3015" s="20" t="s" ph="1">
        <v>1612</v>
      </c>
      <c r="V3015" s="21" ph="1"/>
      <c r="W3015" s="21" ph="1"/>
    </row>
    <row r="3016" spans="1:23" s="19" customFormat="1" ht="22.5" customHeight="1" ph="1" x14ac:dyDescent="0.35">
      <c r="A3016" s="107" ph="1"/>
      <c r="B3016" s="18" ph="1"/>
      <c r="C3016" s="19" t="s" ph="1">
        <v>8023</v>
      </c>
      <c r="D3016" s="124" ph="1">
        <v>14</v>
      </c>
      <c r="E3016" s="124" ph="1">
        <v>15</v>
      </c>
      <c r="G3016" s="19" t="s" ph="1">
        <v>1574</v>
      </c>
      <c r="H3016" s="19" t="s" ph="1">
        <v>2987</v>
      </c>
      <c r="I3016" s="19" t="s" ph="1">
        <v>9385</v>
      </c>
      <c r="M3016" s="27" t="str" ph="1">
        <f>IFERROR(INDEX([1]!_born[生没年],
MATCH(I3016,[1]!_born[作],0)),"")</f>
        <v/>
      </c>
      <c r="N3016" s="27" t="str" ph="1">
        <f>IFERROR(INDEX([1]!_born[生没年],
MATCH(K3016,[1]!_born[作],0)),"")</f>
        <v/>
      </c>
      <c r="O3016" s="23" t="s" ph="1">
        <v>9388</v>
      </c>
      <c r="R3016" s="20" ph="1"/>
      <c r="S3016" s="19" t="s" ph="1">
        <v>9389</v>
      </c>
      <c r="U3016" s="20" t="s" ph="1">
        <v>1612</v>
      </c>
      <c r="V3016" s="21" ph="1"/>
      <c r="W3016" s="21" ph="1"/>
    </row>
    <row r="3017" spans="1:23" s="19" customFormat="1" ht="22.5" customHeight="1" ph="1" x14ac:dyDescent="0.35">
      <c r="A3017" s="107" ph="1"/>
      <c r="B3017" s="18" ph="1"/>
      <c r="C3017" s="19" t="s" ph="1">
        <v>8023</v>
      </c>
      <c r="D3017" s="124" ph="1">
        <v>15</v>
      </c>
      <c r="E3017" s="124" ph="1">
        <v>15</v>
      </c>
      <c r="G3017" s="19" t="s" ph="1">
        <v>1574</v>
      </c>
      <c r="H3017" s="19" t="s" ph="1">
        <v>2987</v>
      </c>
      <c r="I3017" s="19" t="s" ph="1">
        <v>9385</v>
      </c>
      <c r="M3017" s="27" t="str" ph="1">
        <f>IFERROR(INDEX([1]!_born[生没年],
MATCH(I3017,[1]!_born[作],0)),"")</f>
        <v/>
      </c>
      <c r="N3017" s="27" t="str" ph="1">
        <f>IFERROR(INDEX([1]!_born[生没年],
MATCH(K3017,[1]!_born[作],0)),"")</f>
        <v/>
      </c>
      <c r="O3017" s="23" t="s" ph="1">
        <v>9388</v>
      </c>
      <c r="R3017" s="20" ph="1"/>
      <c r="S3017" s="19" t="s" ph="1">
        <v>9389</v>
      </c>
      <c r="U3017" s="20" t="s" ph="1">
        <v>1612</v>
      </c>
      <c r="V3017" s="21" ph="1"/>
      <c r="W3017" s="21" ph="1"/>
    </row>
    <row r="3018" spans="1:23" s="19" customFormat="1" ht="22.5" customHeight="1" ph="1" x14ac:dyDescent="0.35">
      <c r="A3018" s="107" ph="1"/>
      <c r="B3018" s="18" ph="1"/>
      <c r="C3018" s="19" t="s" ph="1">
        <v>8023</v>
      </c>
      <c r="D3018" s="124" ph="1">
        <v>1</v>
      </c>
      <c r="E3018" s="124" ph="1">
        <v>4</v>
      </c>
      <c r="G3018" s="19" t="s" ph="1">
        <v>1574</v>
      </c>
      <c r="H3018" s="19" t="s" ph="1">
        <v>2987</v>
      </c>
      <c r="I3018" s="19" t="s" ph="1">
        <v>9385</v>
      </c>
      <c r="M3018" s="27" t="str" ph="1">
        <f>IFERROR(INDEX([1]!_born[生没年],
MATCH(I3018,[1]!_born[作],0)),"")</f>
        <v/>
      </c>
      <c r="N3018" s="27" t="str" ph="1">
        <f>IFERROR(INDEX([1]!_born[生没年],
MATCH(K3018,[1]!_born[作],0)),"")</f>
        <v/>
      </c>
      <c r="O3018" s="19" t="s" ph="1">
        <v>9390</v>
      </c>
      <c r="R3018" s="20" ph="1"/>
      <c r="S3018" s="19" t="s" ph="1">
        <v>9391</v>
      </c>
      <c r="U3018" s="20" ph="1"/>
      <c r="V3018" s="21" ph="1"/>
      <c r="W3018" s="21" ph="1"/>
    </row>
    <row r="3019" spans="1:23" s="19" customFormat="1" ht="22.5" customHeight="1" ph="1" x14ac:dyDescent="0.35">
      <c r="A3019" s="107" ph="1"/>
      <c r="B3019" s="18" ph="1"/>
      <c r="C3019" s="19" t="s" ph="1">
        <v>8023</v>
      </c>
      <c r="D3019" s="124" ph="1">
        <v>2</v>
      </c>
      <c r="E3019" s="124" ph="1">
        <v>4</v>
      </c>
      <c r="G3019" s="19" t="s" ph="1">
        <v>1574</v>
      </c>
      <c r="H3019" s="19" t="s" ph="1">
        <v>2987</v>
      </c>
      <c r="I3019" s="19" t="s" ph="1">
        <v>9385</v>
      </c>
      <c r="M3019" s="27" t="str" ph="1">
        <f>IFERROR(INDEX([1]!_born[生没年],
MATCH(I3019,[1]!_born[作],0)),"")</f>
        <v/>
      </c>
      <c r="N3019" s="27" t="str" ph="1">
        <f>IFERROR(INDEX([1]!_born[生没年],
MATCH(K3019,[1]!_born[作],0)),"")</f>
        <v/>
      </c>
      <c r="O3019" s="19" t="s" ph="1">
        <v>9390</v>
      </c>
      <c r="R3019" s="20" ph="1"/>
      <c r="S3019" s="19" t="s" ph="1">
        <v>9391</v>
      </c>
      <c r="U3019" s="20" ph="1"/>
      <c r="V3019" s="21" ph="1"/>
      <c r="W3019" s="21" ph="1"/>
    </row>
    <row r="3020" spans="1:23" s="19" customFormat="1" ht="22.5" customHeight="1" ph="1" x14ac:dyDescent="0.35">
      <c r="A3020" s="107" ph="1"/>
      <c r="B3020" s="18" ph="1"/>
      <c r="C3020" s="19" t="s" ph="1">
        <v>8023</v>
      </c>
      <c r="D3020" s="124" ph="1">
        <v>3</v>
      </c>
      <c r="E3020" s="124" ph="1">
        <v>4</v>
      </c>
      <c r="G3020" s="19" t="s" ph="1">
        <v>1574</v>
      </c>
      <c r="H3020" s="19" t="s" ph="1">
        <v>2987</v>
      </c>
      <c r="I3020" s="19" t="s" ph="1">
        <v>9385</v>
      </c>
      <c r="M3020" s="27" t="str" ph="1">
        <f>IFERROR(INDEX([1]!_born[生没年],
MATCH(I3020,[1]!_born[作],0)),"")</f>
        <v/>
      </c>
      <c r="N3020" s="27" t="str" ph="1">
        <f>IFERROR(INDEX([1]!_born[生没年],
MATCH(K3020,[1]!_born[作],0)),"")</f>
        <v/>
      </c>
      <c r="O3020" s="19" t="s" ph="1">
        <v>9390</v>
      </c>
      <c r="R3020" s="20" ph="1"/>
      <c r="S3020" s="19" t="s" ph="1">
        <v>9391</v>
      </c>
      <c r="U3020" s="20" ph="1"/>
      <c r="V3020" s="21" ph="1"/>
      <c r="W3020" s="21" ph="1"/>
    </row>
    <row r="3021" spans="1:23" s="19" customFormat="1" ht="22.5" customHeight="1" ph="1" x14ac:dyDescent="0.35">
      <c r="A3021" s="107" ph="1"/>
      <c r="B3021" s="18" ph="1"/>
      <c r="C3021" s="19" t="s" ph="1">
        <v>8023</v>
      </c>
      <c r="D3021" s="124" ph="1">
        <v>4</v>
      </c>
      <c r="E3021" s="124" ph="1">
        <v>4</v>
      </c>
      <c r="G3021" s="19" t="s" ph="1">
        <v>1574</v>
      </c>
      <c r="H3021" s="19" t="s" ph="1">
        <v>2987</v>
      </c>
      <c r="I3021" s="19" t="s" ph="1">
        <v>9385</v>
      </c>
      <c r="M3021" s="27" t="str" ph="1">
        <f>IFERROR(INDEX([1]!_born[生没年],
MATCH(I3021,[1]!_born[作],0)),"")</f>
        <v/>
      </c>
      <c r="N3021" s="27" t="str" ph="1">
        <f>IFERROR(INDEX([1]!_born[生没年],
MATCH(K3021,[1]!_born[作],0)),"")</f>
        <v/>
      </c>
      <c r="O3021" s="19" t="s" ph="1">
        <v>9390</v>
      </c>
      <c r="R3021" s="20" ph="1"/>
      <c r="S3021" s="19" t="s" ph="1">
        <v>9391</v>
      </c>
      <c r="U3021" s="20" ph="1"/>
      <c r="V3021" s="21" ph="1"/>
      <c r="W3021" s="21" ph="1"/>
    </row>
    <row r="3022" spans="1:23" s="19" customFormat="1" ht="22.5" customHeight="1" ph="1" x14ac:dyDescent="0.35">
      <c r="A3022" s="107" ph="1"/>
      <c r="B3022" s="18" ph="1"/>
      <c r="C3022" s="19" t="s" ph="1">
        <v>8023</v>
      </c>
      <c r="D3022" s="124" ph="1">
        <v>1</v>
      </c>
      <c r="E3022" s="124" t="s" ph="1">
        <v>3122</v>
      </c>
      <c r="G3022" s="19" t="s" ph="1">
        <v>1574</v>
      </c>
      <c r="H3022" s="19" t="s" ph="1">
        <v>2987</v>
      </c>
      <c r="I3022" s="19" t="s" ph="1">
        <v>9385</v>
      </c>
      <c r="M3022" s="27" t="str" ph="1">
        <f>IFERROR(INDEX([1]!_born[生没年],
MATCH(I3022,[1]!_born[作],0)),"")</f>
        <v/>
      </c>
      <c r="N3022" s="27" t="str" ph="1">
        <f>IFERROR(INDEX([1]!_born[生没年],
MATCH(K3022,[1]!_born[作],0)),"")</f>
        <v/>
      </c>
      <c r="O3022" s="19" t="s" ph="1">
        <v>9392</v>
      </c>
      <c r="R3022" s="20" ph="1"/>
      <c r="S3022" s="19" t="s" ph="1">
        <v>9393</v>
      </c>
      <c r="U3022" s="20" t="s" ph="1">
        <v>1612</v>
      </c>
      <c r="V3022" s="21" ph="1"/>
      <c r="W3022" s="21" ph="1"/>
    </row>
    <row r="3023" spans="1:23" s="19" customFormat="1" ht="22.5" customHeight="1" ph="1" x14ac:dyDescent="0.35">
      <c r="A3023" s="107" ph="1"/>
      <c r="B3023" s="18" ph="1"/>
      <c r="C3023" s="19" t="s" ph="1">
        <v>8023</v>
      </c>
      <c r="D3023" s="124" ph="1">
        <v>2</v>
      </c>
      <c r="E3023" s="124" t="s" ph="1">
        <v>3122</v>
      </c>
      <c r="G3023" s="19" t="s" ph="1">
        <v>1574</v>
      </c>
      <c r="H3023" s="19" t="s" ph="1">
        <v>2987</v>
      </c>
      <c r="I3023" s="19" t="s" ph="1">
        <v>9385</v>
      </c>
      <c r="M3023" s="27" t="str" ph="1">
        <f>IFERROR(INDEX([1]!_born[生没年],
MATCH(I3023,[1]!_born[作],0)),"")</f>
        <v/>
      </c>
      <c r="N3023" s="27" t="str" ph="1">
        <f>IFERROR(INDEX([1]!_born[生没年],
MATCH(K3023,[1]!_born[作],0)),"")</f>
        <v/>
      </c>
      <c r="O3023" s="19" t="s" ph="1">
        <v>9392</v>
      </c>
      <c r="R3023" s="20" ph="1"/>
      <c r="S3023" s="19" t="s" ph="1">
        <v>9393</v>
      </c>
      <c r="U3023" s="20" t="s" ph="1">
        <v>1612</v>
      </c>
      <c r="V3023" s="21" ph="1"/>
      <c r="W3023" s="21" ph="1"/>
    </row>
    <row r="3024" spans="1:23" s="19" customFormat="1" ht="22.5" customHeight="1" ph="1" x14ac:dyDescent="0.35">
      <c r="A3024" s="107" ph="1"/>
      <c r="B3024" s="18" ph="1"/>
      <c r="C3024" s="19" t="s" ph="1">
        <v>8023</v>
      </c>
      <c r="D3024" s="124" ph="1">
        <v>3</v>
      </c>
      <c r="E3024" s="124" t="s" ph="1">
        <v>3122</v>
      </c>
      <c r="G3024" s="19" t="s" ph="1">
        <v>1574</v>
      </c>
      <c r="H3024" s="19" t="s" ph="1">
        <v>2987</v>
      </c>
      <c r="I3024" s="19" t="s" ph="1">
        <v>9385</v>
      </c>
      <c r="M3024" s="27" t="str" ph="1">
        <f>IFERROR(INDEX([1]!_born[生没年],
MATCH(I3024,[1]!_born[作],0)),"")</f>
        <v/>
      </c>
      <c r="N3024" s="27" t="str" ph="1">
        <f>IFERROR(INDEX([1]!_born[生没年],
MATCH(K3024,[1]!_born[作],0)),"")</f>
        <v/>
      </c>
      <c r="O3024" s="19" t="s" ph="1">
        <v>9392</v>
      </c>
      <c r="R3024" s="20" ph="1"/>
      <c r="S3024" s="19" t="s" ph="1">
        <v>9393</v>
      </c>
      <c r="U3024" s="20" t="s" ph="1">
        <v>1612</v>
      </c>
      <c r="V3024" s="21" ph="1"/>
      <c r="W3024" s="21" ph="1"/>
    </row>
    <row r="3025" spans="1:25" s="19" customFormat="1" ht="22.5" customHeight="1" ph="1" x14ac:dyDescent="0.35">
      <c r="A3025" s="107" ph="1"/>
      <c r="B3025" s="18" ph="1"/>
      <c r="C3025" s="19" t="s" ph="1">
        <v>8023</v>
      </c>
      <c r="D3025" s="124" ph="1">
        <v>4</v>
      </c>
      <c r="E3025" s="124" t="s" ph="1">
        <v>3122</v>
      </c>
      <c r="G3025" s="19" t="s" ph="1">
        <v>1574</v>
      </c>
      <c r="H3025" s="19" t="s" ph="1">
        <v>2987</v>
      </c>
      <c r="I3025" s="19" t="s" ph="1">
        <v>9385</v>
      </c>
      <c r="M3025" s="27" t="str" ph="1">
        <f>IFERROR(INDEX([1]!_born[生没年],
MATCH(I3025,[1]!_born[作],0)),"")</f>
        <v/>
      </c>
      <c r="N3025" s="27" t="str" ph="1">
        <f>IFERROR(INDEX([1]!_born[生没年],
MATCH(K3025,[1]!_born[作],0)),"")</f>
        <v/>
      </c>
      <c r="O3025" s="19" t="s" ph="1">
        <v>9392</v>
      </c>
      <c r="R3025" s="20" ph="1"/>
      <c r="S3025" s="19" t="s" ph="1">
        <v>9393</v>
      </c>
      <c r="U3025" s="20" t="s" ph="1">
        <v>1612</v>
      </c>
      <c r="V3025" s="21" ph="1"/>
      <c r="W3025" s="21" ph="1"/>
    </row>
    <row r="3026" spans="1:25" s="19" customFormat="1" ht="22.5" customHeight="1" ph="1" x14ac:dyDescent="0.35">
      <c r="A3026" s="107" ph="1"/>
      <c r="B3026" s="18" ph="1"/>
      <c r="C3026" s="19" t="s" ph="1">
        <v>8023</v>
      </c>
      <c r="D3026" s="124" ph="1">
        <v>5</v>
      </c>
      <c r="E3026" s="124" t="s" ph="1">
        <v>3122</v>
      </c>
      <c r="G3026" s="19" t="s" ph="1">
        <v>1574</v>
      </c>
      <c r="H3026" s="19" t="s" ph="1">
        <v>2987</v>
      </c>
      <c r="I3026" s="19" t="s" ph="1">
        <v>9385</v>
      </c>
      <c r="M3026" s="27" t="str" ph="1">
        <f>IFERROR(INDEX([1]!_born[生没年],
MATCH(I3026,[1]!_born[作],0)),"")</f>
        <v/>
      </c>
      <c r="N3026" s="27" t="str" ph="1">
        <f>IFERROR(INDEX([1]!_born[生没年],
MATCH(K3026,[1]!_born[作],0)),"")</f>
        <v/>
      </c>
      <c r="O3026" s="19" t="s" ph="1">
        <v>9392</v>
      </c>
      <c r="R3026" s="20" ph="1"/>
      <c r="S3026" s="19" t="s" ph="1">
        <v>9393</v>
      </c>
      <c r="U3026" s="20" t="s" ph="1">
        <v>1612</v>
      </c>
      <c r="V3026" s="21" ph="1"/>
      <c r="W3026" s="21" ph="1"/>
    </row>
    <row r="3027" spans="1:25" s="19" customFormat="1" ht="22.5" customHeight="1" ph="1" x14ac:dyDescent="0.35">
      <c r="A3027" s="107" ph="1"/>
      <c r="B3027" s="18" ph="1"/>
      <c r="C3027" s="19" t="s" ph="1">
        <v>8023</v>
      </c>
      <c r="D3027" s="124" ph="1">
        <v>6</v>
      </c>
      <c r="E3027" s="124" t="s" ph="1">
        <v>3122</v>
      </c>
      <c r="G3027" s="19" t="s" ph="1">
        <v>1574</v>
      </c>
      <c r="H3027" s="19" t="s" ph="1">
        <v>2987</v>
      </c>
      <c r="I3027" s="19" t="s" ph="1">
        <v>9385</v>
      </c>
      <c r="M3027" s="27" t="str" ph="1">
        <f>IFERROR(INDEX([1]!_born[生没年],
MATCH(I3027,[1]!_born[作],0)),"")</f>
        <v/>
      </c>
      <c r="N3027" s="27" t="str" ph="1">
        <f>IFERROR(INDEX([1]!_born[生没年],
MATCH(K3027,[1]!_born[作],0)),"")</f>
        <v/>
      </c>
      <c r="O3027" s="19" t="s" ph="1">
        <v>9392</v>
      </c>
      <c r="R3027" s="20" ph="1"/>
      <c r="S3027" s="19" t="s" ph="1">
        <v>9393</v>
      </c>
      <c r="U3027" s="20" t="s" ph="1">
        <v>1612</v>
      </c>
      <c r="V3027" s="21" ph="1"/>
      <c r="W3027" s="21" ph="1"/>
    </row>
    <row r="3028" spans="1:25" s="19" customFormat="1" ht="22.5" customHeight="1" ph="1" x14ac:dyDescent="0.35">
      <c r="A3028" s="107" ph="1"/>
      <c r="B3028" s="18" ph="1"/>
      <c r="C3028" s="19" t="s" ph="1">
        <v>8023</v>
      </c>
      <c r="D3028" s="124" ph="1">
        <v>7</v>
      </c>
      <c r="E3028" s="124" t="s" ph="1">
        <v>3122</v>
      </c>
      <c r="G3028" s="19" t="s" ph="1">
        <v>1574</v>
      </c>
      <c r="H3028" s="19" t="s" ph="1">
        <v>2987</v>
      </c>
      <c r="I3028" s="19" t="s" ph="1">
        <v>9385</v>
      </c>
      <c r="M3028" s="27" t="str" ph="1">
        <f>IFERROR(INDEX([1]!_born[生没年],
MATCH(I3028,[1]!_born[作],0)),"")</f>
        <v/>
      </c>
      <c r="N3028" s="27" t="str" ph="1">
        <f>IFERROR(INDEX([1]!_born[生没年],
MATCH(K3028,[1]!_born[作],0)),"")</f>
        <v/>
      </c>
      <c r="O3028" s="19" t="s" ph="1">
        <v>9392</v>
      </c>
      <c r="R3028" s="20" ph="1"/>
      <c r="S3028" s="19" t="s" ph="1">
        <v>9393</v>
      </c>
      <c r="U3028" s="20" t="s" ph="1">
        <v>1612</v>
      </c>
      <c r="V3028" s="21" ph="1"/>
      <c r="W3028" s="21" ph="1"/>
    </row>
    <row r="3029" spans="1:25" s="19" customFormat="1" ht="22.5" customHeight="1" ph="1" x14ac:dyDescent="0.35">
      <c r="A3029" s="107" ph="1"/>
      <c r="B3029" s="18" ph="1"/>
      <c r="C3029" s="19" t="s" ph="1">
        <v>8023</v>
      </c>
      <c r="D3029" s="124" ph="1">
        <v>8</v>
      </c>
      <c r="E3029" s="124" t="s" ph="1">
        <v>3122</v>
      </c>
      <c r="G3029" s="19" t="s" ph="1">
        <v>1574</v>
      </c>
      <c r="H3029" s="19" t="s" ph="1">
        <v>2987</v>
      </c>
      <c r="I3029" s="19" t="s" ph="1">
        <v>9385</v>
      </c>
      <c r="M3029" s="27" t="str" ph="1">
        <f>IFERROR(INDEX([1]!_born[生没年],
MATCH(I3029,[1]!_born[作],0)),"")</f>
        <v/>
      </c>
      <c r="N3029" s="27" t="str" ph="1">
        <f>IFERROR(INDEX([1]!_born[生没年],
MATCH(K3029,[1]!_born[作],0)),"")</f>
        <v/>
      </c>
      <c r="O3029" s="19" t="s" ph="1">
        <v>9392</v>
      </c>
      <c r="R3029" s="20" ph="1"/>
      <c r="S3029" s="19" t="s" ph="1">
        <v>9393</v>
      </c>
      <c r="U3029" s="20" t="s" ph="1">
        <v>1612</v>
      </c>
      <c r="V3029" s="21" ph="1"/>
      <c r="W3029" s="21" ph="1"/>
    </row>
    <row r="3030" spans="1:25" s="19" customFormat="1" ht="22.5" customHeight="1" ph="1" x14ac:dyDescent="0.35">
      <c r="A3030" s="107" ph="1"/>
      <c r="B3030" s="18" ph="1"/>
      <c r="C3030" s="19" t="s" ph="1">
        <v>8023</v>
      </c>
      <c r="D3030" s="124" ph="1">
        <v>9</v>
      </c>
      <c r="E3030" s="124" t="s" ph="1">
        <v>3122</v>
      </c>
      <c r="G3030" s="19" t="s" ph="1">
        <v>1574</v>
      </c>
      <c r="H3030" s="19" t="s" ph="1">
        <v>2987</v>
      </c>
      <c r="I3030" s="19" t="s" ph="1">
        <v>9385</v>
      </c>
      <c r="M3030" s="27" t="str" ph="1">
        <f>IFERROR(INDEX([1]!_born[生没年],
MATCH(I3030,[1]!_born[作],0)),"")</f>
        <v/>
      </c>
      <c r="N3030" s="27" t="str" ph="1">
        <f>IFERROR(INDEX([1]!_born[生没年],
MATCH(K3030,[1]!_born[作],0)),"")</f>
        <v/>
      </c>
      <c r="O3030" s="19" t="s" ph="1">
        <v>9392</v>
      </c>
      <c r="R3030" s="20" ph="1"/>
      <c r="S3030" s="19" t="s" ph="1">
        <v>9393</v>
      </c>
      <c r="U3030" s="20" t="s" ph="1">
        <v>1612</v>
      </c>
      <c r="V3030" s="21" ph="1"/>
      <c r="W3030" s="21" ph="1"/>
    </row>
    <row r="3031" spans="1:25" s="19" customFormat="1" ht="22.5" customHeight="1" ph="1" x14ac:dyDescent="0.35">
      <c r="A3031" s="107" ph="1"/>
      <c r="B3031" s="18" ph="1"/>
      <c r="C3031" s="19" t="s" ph="1">
        <v>8023</v>
      </c>
      <c r="D3031" s="124" ph="1">
        <v>10</v>
      </c>
      <c r="E3031" s="124" t="s" ph="1">
        <v>3122</v>
      </c>
      <c r="G3031" s="19" t="s" ph="1">
        <v>1574</v>
      </c>
      <c r="H3031" s="19" t="s" ph="1">
        <v>2987</v>
      </c>
      <c r="I3031" s="19" t="s" ph="1">
        <v>9385</v>
      </c>
      <c r="M3031" s="27" t="str" ph="1">
        <f>IFERROR(INDEX([1]!_born[生没年],
MATCH(I3031,[1]!_born[作],0)),"")</f>
        <v/>
      </c>
      <c r="N3031" s="27" t="str" ph="1">
        <f>IFERROR(INDEX([1]!_born[生没年],
MATCH(K3031,[1]!_born[作],0)),"")</f>
        <v/>
      </c>
      <c r="O3031" s="19" t="s" ph="1">
        <v>9392</v>
      </c>
      <c r="R3031" s="20" ph="1"/>
      <c r="S3031" s="19" t="s" ph="1">
        <v>9393</v>
      </c>
      <c r="U3031" s="20" t="s" ph="1">
        <v>1612</v>
      </c>
      <c r="V3031" s="21" ph="1"/>
      <c r="W3031" s="21" ph="1"/>
    </row>
    <row r="3032" spans="1:25" s="19" customFormat="1" ht="22.5" customHeight="1" ph="1" x14ac:dyDescent="0.35">
      <c r="A3032" s="106" ph="1"/>
      <c r="B3032" s="5" ph="1"/>
      <c r="C3032" s="13" t="s" ph="1">
        <v>7591</v>
      </c>
      <c r="D3032" s="123" ph="1"/>
      <c r="E3032" s="123" ph="1"/>
      <c r="F3032" s="13" ph="1"/>
      <c r="G3032" s="13" t="s" ph="1">
        <v>1574</v>
      </c>
      <c r="H3032" s="13" t="s" ph="1">
        <v>2987</v>
      </c>
      <c r="I3032" s="13" t="s" ph="1">
        <v>9047</v>
      </c>
      <c r="J3032" s="13" ph="1"/>
      <c r="K3032" s="13" ph="1"/>
      <c r="L3032" s="13" ph="1"/>
      <c r="M3032" s="14" t="str" ph="1">
        <f>IFERROR(INDEX([1]!_born[生没年],
MATCH(I3032,[1]!_born[作],0)),"")</f>
        <v/>
      </c>
      <c r="N3032" s="14" t="str" ph="1">
        <f>IFERROR(INDEX([1]!_born[生没年],
MATCH(K3032,[1]!_born[作],0)),"")</f>
        <v/>
      </c>
      <c r="O3032" s="13" t="s" ph="1">
        <v>9394</v>
      </c>
      <c r="P3032" s="13" ph="1"/>
      <c r="Q3032" s="13" ph="1"/>
      <c r="R3032" s="16" t="s" ph="1">
        <v>1630</v>
      </c>
      <c r="S3032" s="13" ph="1"/>
      <c r="T3032" s="13" t="s" ph="1">
        <v>7730</v>
      </c>
      <c r="U3032" s="16" ph="1"/>
      <c r="V3032" s="17" ph="1">
        <v>520</v>
      </c>
      <c r="W3032" s="17" ph="1"/>
      <c r="X3032" s="13" ph="1"/>
      <c r="Y3032" s="13" ph="1"/>
    </row>
    <row r="3033" spans="1:25" s="19" customFormat="1" ht="22.5" customHeight="1" ph="1" x14ac:dyDescent="0.35">
      <c r="A3033" s="106" t="s" ph="1">
        <v>1677</v>
      </c>
      <c r="B3033" s="5" t="s" ph="1">
        <v>1622</v>
      </c>
      <c r="C3033" s="13" t="s" ph="1">
        <v>7591</v>
      </c>
      <c r="D3033" s="123" ph="1"/>
      <c r="E3033" s="123" ph="1"/>
      <c r="F3033" s="13" ph="1"/>
      <c r="G3033" s="13" t="s" ph="1">
        <v>1574</v>
      </c>
      <c r="H3033" s="13" t="s" ph="1">
        <v>2987</v>
      </c>
      <c r="I3033" s="13" t="s" ph="1">
        <v>9395</v>
      </c>
      <c r="J3033" s="13" ph="1"/>
      <c r="K3033" s="13" ph="1"/>
      <c r="L3033" s="13" ph="1"/>
      <c r="M3033" s="14" t="str" ph="1">
        <f>IFERROR(INDEX([1]!_born[生没年],
MATCH(I3033,[1]!_born[作],0)),"")</f>
        <v/>
      </c>
      <c r="N3033" s="14" t="str" ph="1">
        <f>IFERROR(INDEX([1]!_born[生没年],
MATCH(K3033,[1]!_born[作],0)),"")</f>
        <v/>
      </c>
      <c r="O3033" s="13" t="s" ph="1">
        <v>9396</v>
      </c>
      <c r="P3033" s="13" ph="1"/>
      <c r="Q3033" s="13" ph="1"/>
      <c r="R3033" s="16" ph="1"/>
      <c r="S3033" s="13" ph="1"/>
      <c r="T3033" s="13" t="s" ph="1">
        <v>7730</v>
      </c>
      <c r="U3033" s="16" ph="1"/>
      <c r="V3033" s="17" ph="1">
        <f>1087*1.03</f>
        <v>1119.6100000000001</v>
      </c>
      <c r="W3033" s="17" ph="1"/>
      <c r="X3033" s="13" ph="1"/>
      <c r="Y3033" s="13" ph="1"/>
    </row>
    <row r="3034" spans="1:25" s="19" customFormat="1" ht="22.5" customHeight="1" ph="1" x14ac:dyDescent="0.35">
      <c r="A3034" s="106" t="s" ph="1">
        <v>1712</v>
      </c>
      <c r="B3034" s="5" t="s" ph="1">
        <v>1618</v>
      </c>
      <c r="C3034" s="13" t="s" ph="1">
        <v>7591</v>
      </c>
      <c r="D3034" s="123" ph="1">
        <v>1</v>
      </c>
      <c r="E3034" s="123" ph="1">
        <v>3</v>
      </c>
      <c r="F3034" s="13" ph="1"/>
      <c r="G3034" s="13" t="s" ph="1">
        <v>1574</v>
      </c>
      <c r="H3034" s="13" t="s" ph="1">
        <v>2987</v>
      </c>
      <c r="I3034" s="13" t="s" ph="1">
        <v>9397</v>
      </c>
      <c r="J3034" s="13" ph="1"/>
      <c r="K3034" s="13" ph="1"/>
      <c r="L3034" s="13" ph="1"/>
      <c r="M3034" s="14" t="str" ph="1">
        <f>IFERROR(INDEX([1]!_born[生没年],
MATCH(I3034,[1]!_born[作],0)),"")</f>
        <v/>
      </c>
      <c r="N3034" s="14" t="str" ph="1">
        <f>IFERROR(INDEX([1]!_born[生没年],
MATCH(K3034,[1]!_born[作],0)),"")</f>
        <v/>
      </c>
      <c r="O3034" s="13" t="s" ph="1">
        <v>9398</v>
      </c>
      <c r="P3034" s="13" ph="1"/>
      <c r="Q3034" s="13" ph="1"/>
      <c r="R3034" s="16" ph="1"/>
      <c r="S3034" s="13" ph="1"/>
      <c r="T3034" s="13" t="s" ph="1">
        <v>9321</v>
      </c>
      <c r="U3034" s="16" ph="1">
        <v>34925</v>
      </c>
      <c r="V3034" s="17" ph="1">
        <f>583*1.03</f>
        <v>600.49</v>
      </c>
      <c r="W3034" s="17" ph="1"/>
      <c r="X3034" s="13" t="s" ph="1">
        <v>1624</v>
      </c>
      <c r="Y3034" s="13" ph="1"/>
    </row>
    <row r="3035" spans="1:25" s="19" customFormat="1" ht="22.5" customHeight="1" ph="1" x14ac:dyDescent="0.35">
      <c r="A3035" s="106" t="s" ph="1">
        <v>1713</v>
      </c>
      <c r="B3035" s="5" t="s" ph="1">
        <v>1618</v>
      </c>
      <c r="C3035" s="13" t="s" ph="1">
        <v>7591</v>
      </c>
      <c r="D3035" s="123" ph="1">
        <v>2</v>
      </c>
      <c r="E3035" s="123" ph="1">
        <v>3</v>
      </c>
      <c r="F3035" s="13" ph="1"/>
      <c r="G3035" s="13" t="s" ph="1">
        <v>1574</v>
      </c>
      <c r="H3035" s="13" t="s" ph="1">
        <v>2987</v>
      </c>
      <c r="I3035" s="13" t="s" ph="1">
        <v>9397</v>
      </c>
      <c r="J3035" s="13" ph="1"/>
      <c r="K3035" s="13" ph="1"/>
      <c r="L3035" s="13" ph="1"/>
      <c r="M3035" s="14" t="str" ph="1">
        <f>IFERROR(INDEX([1]!_born[生没年],
MATCH(I3035,[1]!_born[作],0)),"")</f>
        <v/>
      </c>
      <c r="N3035" s="14" t="str" ph="1">
        <f>IFERROR(INDEX([1]!_born[生没年],
MATCH(K3035,[1]!_born[作],0)),"")</f>
        <v/>
      </c>
      <c r="O3035" s="13" t="s" ph="1">
        <v>9398</v>
      </c>
      <c r="P3035" s="13" ph="1"/>
      <c r="Q3035" s="13" ph="1"/>
      <c r="R3035" s="16" ph="1"/>
      <c r="S3035" s="13" ph="1"/>
      <c r="T3035" s="13" t="s" ph="1">
        <v>9321</v>
      </c>
      <c r="U3035" s="16" ph="1">
        <v>34925</v>
      </c>
      <c r="V3035" s="17" ph="1">
        <f>583*1.03</f>
        <v>600.49</v>
      </c>
      <c r="W3035" s="17" ph="1"/>
      <c r="X3035" s="13" t="s" ph="1">
        <v>1624</v>
      </c>
      <c r="Y3035" s="13" ph="1"/>
    </row>
    <row r="3036" spans="1:25" s="19" customFormat="1" ht="22.5" customHeight="1" ph="1" x14ac:dyDescent="0.35">
      <c r="A3036" s="106" t="s" ph="1">
        <v>1714</v>
      </c>
      <c r="B3036" s="5" t="s" ph="1">
        <v>1618</v>
      </c>
      <c r="C3036" s="13" t="s" ph="1">
        <v>7591</v>
      </c>
      <c r="D3036" s="123" ph="1">
        <v>3</v>
      </c>
      <c r="E3036" s="123" ph="1">
        <v>3</v>
      </c>
      <c r="F3036" s="13" ph="1"/>
      <c r="G3036" s="13" t="s" ph="1">
        <v>1574</v>
      </c>
      <c r="H3036" s="13" t="s" ph="1">
        <v>2987</v>
      </c>
      <c r="I3036" s="13" t="s" ph="1">
        <v>9397</v>
      </c>
      <c r="J3036" s="13" ph="1"/>
      <c r="K3036" s="13" ph="1"/>
      <c r="L3036" s="13" ph="1"/>
      <c r="M3036" s="14" t="str" ph="1">
        <f>IFERROR(INDEX([1]!_born[生没年],
MATCH(I3036,[1]!_born[作],0)),"")</f>
        <v/>
      </c>
      <c r="N3036" s="14" t="str" ph="1">
        <f>IFERROR(INDEX([1]!_born[生没年],
MATCH(K3036,[1]!_born[作],0)),"")</f>
        <v/>
      </c>
      <c r="O3036" s="13" t="s" ph="1">
        <v>9398</v>
      </c>
      <c r="P3036" s="13" ph="1"/>
      <c r="Q3036" s="13" ph="1"/>
      <c r="R3036" s="16" ph="1"/>
      <c r="S3036" s="13" ph="1"/>
      <c r="T3036" s="13" t="s" ph="1">
        <v>9321</v>
      </c>
      <c r="U3036" s="16" ph="1">
        <v>34925</v>
      </c>
      <c r="V3036" s="17" ph="1">
        <f>583*1.03</f>
        <v>600.49</v>
      </c>
      <c r="W3036" s="17" ph="1"/>
      <c r="X3036" s="13" t="s" ph="1">
        <v>1624</v>
      </c>
      <c r="Y3036" s="13" ph="1"/>
    </row>
    <row r="3037" spans="1:25" s="19" customFormat="1" ht="22.5" customHeight="1" ph="1" x14ac:dyDescent="0.35">
      <c r="A3037" s="106" t="s" ph="1">
        <v>1672</v>
      </c>
      <c r="B3037" s="5" t="s" ph="1">
        <v>1622</v>
      </c>
      <c r="C3037" s="13" t="s" ph="1">
        <v>7591</v>
      </c>
      <c r="D3037" s="123" ph="1"/>
      <c r="E3037" s="123" ph="1"/>
      <c r="F3037" s="13" ph="1"/>
      <c r="G3037" s="13" t="s" ph="1">
        <v>1574</v>
      </c>
      <c r="H3037" s="13" t="s" ph="1">
        <v>2987</v>
      </c>
      <c r="I3037" s="13" t="s" ph="1">
        <v>9399</v>
      </c>
      <c r="J3037" s="13" ph="1"/>
      <c r="K3037" s="13" ph="1"/>
      <c r="L3037" s="13" ph="1"/>
      <c r="M3037" s="14" t="str" ph="1">
        <f>IFERROR(INDEX([1]!_born[生没年],
MATCH(I3037,[1]!_born[作],0)),"")</f>
        <v/>
      </c>
      <c r="N3037" s="14" t="str" ph="1">
        <f>IFERROR(INDEX([1]!_born[生没年],
MATCH(K3037,[1]!_born[作],0)),"")</f>
        <v/>
      </c>
      <c r="O3037" s="13" t="s" ph="1">
        <v>9400</v>
      </c>
      <c r="P3037" s="13" ph="1"/>
      <c r="Q3037" s="13" ph="1"/>
      <c r="R3037" s="16" ph="1"/>
      <c r="S3037" s="13" ph="1"/>
      <c r="T3037" s="13" t="s" ph="1">
        <v>9401</v>
      </c>
      <c r="U3037" s="16" ph="1"/>
      <c r="V3037" s="17" ph="1">
        <f>485*1.03</f>
        <v>499.55</v>
      </c>
      <c r="W3037" s="17" ph="1"/>
      <c r="X3037" s="13" ph="1"/>
      <c r="Y3037" s="13" ph="1"/>
    </row>
    <row r="3038" spans="1:25" s="19" customFormat="1" ht="22.5" customHeight="1" ph="1" x14ac:dyDescent="0.35">
      <c r="A3038" s="107" ph="1"/>
      <c r="B3038" s="18" t="s" ph="1">
        <v>1622</v>
      </c>
      <c r="C3038" s="19" t="s" ph="1">
        <v>8023</v>
      </c>
      <c r="D3038" s="124" ph="1">
        <v>1</v>
      </c>
      <c r="E3038" s="124" ph="1">
        <v>2</v>
      </c>
      <c r="G3038" s="19" t="s" ph="1">
        <v>1574</v>
      </c>
      <c r="H3038" s="19" t="s" ph="1">
        <v>2987</v>
      </c>
      <c r="I3038" s="19" t="s" ph="1">
        <v>9402</v>
      </c>
      <c r="M3038" s="27" t="str" ph="1">
        <f>IFERROR(INDEX([1]!_born[生没年],
MATCH(I3038,[1]!_born[作],0)),"")</f>
        <v/>
      </c>
      <c r="N3038" s="27" t="str" ph="1">
        <f>IFERROR(INDEX([1]!_born[生没年],
MATCH(K3038,[1]!_born[作],0)),"")</f>
        <v/>
      </c>
      <c r="O3038" s="19" t="s" ph="1">
        <v>420</v>
      </c>
      <c r="R3038" s="20" ph="1"/>
      <c r="U3038" s="20" ph="1"/>
      <c r="V3038" s="21" ph="1"/>
      <c r="W3038" s="21" ph="1"/>
      <c r="Y3038" s="19" t="s" ph="1">
        <v>9403</v>
      </c>
    </row>
    <row r="3039" spans="1:25" s="19" customFormat="1" ht="22.5" customHeight="1" ph="1" x14ac:dyDescent="0.35">
      <c r="A3039" s="107" ph="1"/>
      <c r="B3039" s="18" t="s" ph="1">
        <v>1622</v>
      </c>
      <c r="C3039" s="19" t="s" ph="1">
        <v>8023</v>
      </c>
      <c r="D3039" s="124" ph="1">
        <v>2</v>
      </c>
      <c r="E3039" s="124" ph="1">
        <v>2</v>
      </c>
      <c r="G3039" s="19" t="s" ph="1">
        <v>1574</v>
      </c>
      <c r="H3039" s="19" t="s" ph="1">
        <v>2987</v>
      </c>
      <c r="I3039" s="19" t="s" ph="1">
        <v>9402</v>
      </c>
      <c r="M3039" s="27" t="str" ph="1">
        <f>IFERROR(INDEX([1]!_born[生没年],
MATCH(I3039,[1]!_born[作],0)),"")</f>
        <v/>
      </c>
      <c r="N3039" s="27" t="str" ph="1">
        <f>IFERROR(INDEX([1]!_born[生没年],
MATCH(K3039,[1]!_born[作],0)),"")</f>
        <v/>
      </c>
      <c r="O3039" s="19" t="s" ph="1">
        <v>420</v>
      </c>
      <c r="R3039" s="20" ph="1"/>
      <c r="U3039" s="20" ph="1"/>
      <c r="V3039" s="21" ph="1"/>
      <c r="W3039" s="21" ph="1"/>
      <c r="Y3039" s="19" t="s" ph="1">
        <v>9403</v>
      </c>
    </row>
    <row r="3040" spans="1:25" s="19" customFormat="1" ht="22.5" customHeight="1" ph="1" x14ac:dyDescent="0.35">
      <c r="A3040" s="114"/>
      <c r="B3040" s="18" t="s" ph="1">
        <v>1622</v>
      </c>
      <c r="C3040" s="19" t="s" ph="1">
        <v>8023</v>
      </c>
      <c r="D3040" s="124" ph="1">
        <v>1</v>
      </c>
      <c r="E3040" s="124" ph="1">
        <v>4</v>
      </c>
      <c r="G3040" s="19" t="s" ph="1">
        <v>1574</v>
      </c>
      <c r="H3040" s="19" t="s" ph="1">
        <v>2987</v>
      </c>
      <c r="I3040" s="19" t="s" ph="1">
        <v>9402</v>
      </c>
      <c r="M3040" s="27" t="str" ph="1">
        <f>IFERROR(INDEX([1]!_born[生没年],
MATCH(I3040,[1]!_born[作],0)),"")</f>
        <v/>
      </c>
      <c r="N3040" s="27" t="str" ph="1">
        <f>IFERROR(INDEX([1]!_born[生没年],
MATCH(K3040,[1]!_born[作],0)),"")</f>
        <v/>
      </c>
      <c r="O3040" s="19" t="s" ph="1">
        <v>9404</v>
      </c>
      <c r="R3040" s="20" ph="1"/>
      <c r="U3040" s="20" ph="1"/>
      <c r="V3040" s="21" ph="1"/>
      <c r="W3040" s="21" ph="1"/>
      <c r="Y3040" s="19" t="s" ph="1">
        <v>1642</v>
      </c>
    </row>
    <row r="3041" spans="1:25" s="19" customFormat="1" ht="22.5" customHeight="1" ph="1" x14ac:dyDescent="0.35">
      <c r="A3041" s="114"/>
      <c r="B3041" s="18" t="s" ph="1">
        <v>1622</v>
      </c>
      <c r="C3041" s="19" t="s" ph="1">
        <v>8023</v>
      </c>
      <c r="D3041" s="124" ph="1">
        <v>2</v>
      </c>
      <c r="E3041" s="124" ph="1">
        <v>4</v>
      </c>
      <c r="G3041" s="19" t="s" ph="1">
        <v>1574</v>
      </c>
      <c r="H3041" s="19" t="s" ph="1">
        <v>2987</v>
      </c>
      <c r="I3041" s="19" t="s" ph="1">
        <v>9402</v>
      </c>
      <c r="M3041" s="27" t="str" ph="1">
        <f>IFERROR(INDEX([1]!_born[生没年],
MATCH(I3041,[1]!_born[作],0)),"")</f>
        <v/>
      </c>
      <c r="N3041" s="27" t="str" ph="1">
        <f>IFERROR(INDEX([1]!_born[生没年],
MATCH(K3041,[1]!_born[作],0)),"")</f>
        <v/>
      </c>
      <c r="O3041" s="19" t="s" ph="1">
        <v>9404</v>
      </c>
      <c r="R3041" s="20" ph="1"/>
      <c r="U3041" s="20" ph="1"/>
      <c r="V3041" s="21" ph="1"/>
      <c r="W3041" s="21" ph="1"/>
      <c r="Y3041" s="19" t="s" ph="1">
        <v>1642</v>
      </c>
    </row>
    <row r="3042" spans="1:25" s="19" customFormat="1" ht="22.5" customHeight="1" ph="1" x14ac:dyDescent="0.35">
      <c r="A3042" s="114"/>
      <c r="B3042" s="18" t="s" ph="1">
        <v>1622</v>
      </c>
      <c r="C3042" s="19" t="s" ph="1">
        <v>8023</v>
      </c>
      <c r="D3042" s="124" ph="1">
        <v>3</v>
      </c>
      <c r="E3042" s="124" ph="1">
        <v>4</v>
      </c>
      <c r="G3042" s="19" t="s" ph="1">
        <v>1574</v>
      </c>
      <c r="H3042" s="19" t="s" ph="1">
        <v>2987</v>
      </c>
      <c r="I3042" s="19" t="s" ph="1">
        <v>9402</v>
      </c>
      <c r="M3042" s="27" t="str" ph="1">
        <f>IFERROR(INDEX([1]!_born[生没年],
MATCH(I3042,[1]!_born[作],0)),"")</f>
        <v/>
      </c>
      <c r="N3042" s="27" t="str" ph="1">
        <f>IFERROR(INDEX([1]!_born[生没年],
MATCH(K3042,[1]!_born[作],0)),"")</f>
        <v/>
      </c>
      <c r="O3042" s="19" t="s" ph="1">
        <v>9404</v>
      </c>
      <c r="R3042" s="20" ph="1"/>
      <c r="U3042" s="20" ph="1"/>
      <c r="V3042" s="21" ph="1"/>
      <c r="W3042" s="21" ph="1"/>
      <c r="Y3042" s="19" t="s" ph="1">
        <v>1642</v>
      </c>
    </row>
    <row r="3043" spans="1:25" s="19" customFormat="1" ht="22.5" customHeight="1" ph="1" x14ac:dyDescent="0.35">
      <c r="A3043" s="114"/>
      <c r="B3043" s="18" t="s" ph="1">
        <v>1622</v>
      </c>
      <c r="C3043" s="19" t="s" ph="1">
        <v>8023</v>
      </c>
      <c r="D3043" s="124" ph="1">
        <v>4</v>
      </c>
      <c r="E3043" s="124" ph="1">
        <v>4</v>
      </c>
      <c r="G3043" s="19" t="s" ph="1">
        <v>1574</v>
      </c>
      <c r="H3043" s="19" t="s" ph="1">
        <v>2987</v>
      </c>
      <c r="I3043" s="19" t="s" ph="1">
        <v>9402</v>
      </c>
      <c r="M3043" s="27" t="str" ph="1">
        <f>IFERROR(INDEX([1]!_born[生没年],
MATCH(I3043,[1]!_born[作],0)),"")</f>
        <v/>
      </c>
      <c r="N3043" s="27" t="str" ph="1">
        <f>IFERROR(INDEX([1]!_born[生没年],
MATCH(K3043,[1]!_born[作],0)),"")</f>
        <v/>
      </c>
      <c r="O3043" s="19" t="s" ph="1">
        <v>9404</v>
      </c>
      <c r="R3043" s="20" ph="1"/>
      <c r="U3043" s="20" ph="1"/>
      <c r="V3043" s="21" ph="1"/>
      <c r="W3043" s="21" ph="1"/>
      <c r="Y3043" s="19" t="s" ph="1">
        <v>1642</v>
      </c>
    </row>
    <row r="3044" spans="1:25" s="19" customFormat="1" ht="22.5" customHeight="1" ph="1" x14ac:dyDescent="0.35">
      <c r="A3044" s="107" ph="1"/>
      <c r="B3044" s="18" t="s" ph="1">
        <v>1622</v>
      </c>
      <c r="C3044" s="19" t="s" ph="1">
        <v>8023</v>
      </c>
      <c r="D3044" s="124" ph="1"/>
      <c r="E3044" s="124" ph="1"/>
      <c r="G3044" s="19" t="s" ph="1">
        <v>1574</v>
      </c>
      <c r="H3044" s="19" t="s" ph="1">
        <v>2987</v>
      </c>
      <c r="I3044" s="19" t="s" ph="1">
        <v>9402</v>
      </c>
      <c r="M3044" s="27" t="str" ph="1">
        <f>IFERROR(INDEX([1]!_born[生没年],
MATCH(I3044,[1]!_born[作],0)),"")</f>
        <v/>
      </c>
      <c r="N3044" s="27" t="str" ph="1">
        <f>IFERROR(INDEX([1]!_born[生没年],
MATCH(K3044,[1]!_born[作],0)),"")</f>
        <v/>
      </c>
      <c r="O3044" s="19" t="s" ph="1">
        <v>9405</v>
      </c>
      <c r="R3044" s="20" ph="1"/>
      <c r="U3044" s="20" ph="1"/>
      <c r="V3044" s="21" ph="1"/>
      <c r="W3044" s="21" ph="1"/>
      <c r="Y3044" s="19" t="s" ph="1">
        <v>4649</v>
      </c>
    </row>
    <row r="3045" spans="1:25" ht="22.5" customHeight="1" ph="1" x14ac:dyDescent="0.35">
      <c r="A3045" s="106" t="s" ph="1">
        <v>1653</v>
      </c>
      <c r="B3045" s="5" t="s" ph="1">
        <v>1622</v>
      </c>
      <c r="C3045" s="13" t="s" ph="1">
        <v>7591</v>
      </c>
      <c r="G3045" s="13" t="s" ph="1">
        <v>1574</v>
      </c>
      <c r="H3045" s="13" t="s" ph="1">
        <v>2987</v>
      </c>
      <c r="I3045" s="13" t="s" ph="1">
        <v>6473</v>
      </c>
      <c r="M3045" s="14" t="str" ph="1">
        <f>IFERROR(INDEX([1]!_born[生没年],
MATCH(I3045,[1]!_born[作],0)),"")</f>
        <v/>
      </c>
      <c r="N3045" s="14" t="str" ph="1">
        <f>IFERROR(INDEX([1]!_born[生没年],
MATCH(K3045,[1]!_born[作],0)),"")</f>
        <v/>
      </c>
      <c r="O3045" s="13" t="s" ph="1">
        <v>9406</v>
      </c>
      <c r="S3045" s="13" t="s" ph="1">
        <v>9407</v>
      </c>
      <c r="T3045" s="13" t="s" ph="1">
        <v>7864</v>
      </c>
      <c r="U3045" s="16" t="s" ph="1">
        <v>1654</v>
      </c>
      <c r="V3045" s="17" ph="1">
        <f>638*1.05</f>
        <v>669.9</v>
      </c>
      <c r="W3045" s="17" ph="1">
        <f>638*1.05</f>
        <v>669.9</v>
      </c>
    </row>
    <row r="3046" spans="1:25" ht="22.5" customHeight="1" ph="1" x14ac:dyDescent="0.35">
      <c r="A3046" s="106" t="s" ph="1">
        <v>1639</v>
      </c>
      <c r="B3046" s="5" t="s" ph="1">
        <v>1622</v>
      </c>
      <c r="C3046" s="13" t="s" ph="1">
        <v>7591</v>
      </c>
      <c r="D3046" s="123" ph="1">
        <v>1</v>
      </c>
      <c r="E3046" s="123" ph="1">
        <v>3</v>
      </c>
      <c r="G3046" s="13" t="s" ph="1">
        <v>1574</v>
      </c>
      <c r="H3046" s="13" t="s" ph="1">
        <v>2987</v>
      </c>
      <c r="I3046" s="13" t="s" ph="1">
        <v>6473</v>
      </c>
      <c r="M3046" s="14" t="str" ph="1">
        <f>IFERROR(INDEX([1]!_born[生没年],
MATCH(I3046,[1]!_born[作],0)),"")</f>
        <v/>
      </c>
      <c r="N3046" s="14" t="str" ph="1">
        <f>IFERROR(INDEX([1]!_born[生没年],
MATCH(K3046,[1]!_born[作],0)),"")</f>
        <v/>
      </c>
      <c r="O3046" s="13" t="s" ph="1">
        <v>9408</v>
      </c>
      <c r="T3046" s="13" t="s" ph="1">
        <v>9409</v>
      </c>
      <c r="U3046" s="16" t="s" ph="1">
        <v>1612</v>
      </c>
      <c r="V3046" s="17" ph="1">
        <f>583*1.03</f>
        <v>600.49</v>
      </c>
    </row>
    <row r="3047" spans="1:25" ht="22.5" customHeight="1" ph="1" x14ac:dyDescent="0.35">
      <c r="A3047" s="106" t="s" ph="1">
        <v>1640</v>
      </c>
      <c r="B3047" s="5" t="s" ph="1">
        <v>1622</v>
      </c>
      <c r="C3047" s="13" t="s" ph="1">
        <v>7591</v>
      </c>
      <c r="D3047" s="123" ph="1">
        <v>2</v>
      </c>
      <c r="E3047" s="123" ph="1">
        <v>3</v>
      </c>
      <c r="G3047" s="13" t="s" ph="1">
        <v>1574</v>
      </c>
      <c r="H3047" s="13" t="s" ph="1">
        <v>2987</v>
      </c>
      <c r="I3047" s="13" t="s" ph="1">
        <v>6473</v>
      </c>
      <c r="M3047" s="14" t="str" ph="1">
        <f>IFERROR(INDEX([1]!_born[生没年],
MATCH(I3047,[1]!_born[作],0)),"")</f>
        <v/>
      </c>
      <c r="N3047" s="14" t="str" ph="1">
        <f>IFERROR(INDEX([1]!_born[生没年],
MATCH(K3047,[1]!_born[作],0)),"")</f>
        <v/>
      </c>
      <c r="O3047" s="13" t="s" ph="1">
        <v>9408</v>
      </c>
      <c r="T3047" s="13" t="s" ph="1">
        <v>9409</v>
      </c>
      <c r="U3047" s="16" t="s" ph="1">
        <v>1612</v>
      </c>
      <c r="V3047" s="17" ph="1">
        <f>563*1.03</f>
        <v>579.89</v>
      </c>
    </row>
    <row r="3048" spans="1:25" ht="22.5" customHeight="1" ph="1" x14ac:dyDescent="0.35">
      <c r="A3048" s="106" t="s" ph="1">
        <v>1641</v>
      </c>
      <c r="B3048" s="5" t="s" ph="1">
        <v>1622</v>
      </c>
      <c r="C3048" s="13" t="s" ph="1">
        <v>7591</v>
      </c>
      <c r="D3048" s="123" ph="1">
        <v>3</v>
      </c>
      <c r="E3048" s="123" ph="1">
        <v>3</v>
      </c>
      <c r="G3048" s="13" t="s" ph="1">
        <v>1574</v>
      </c>
      <c r="H3048" s="13" t="s" ph="1">
        <v>2987</v>
      </c>
      <c r="I3048" s="13" t="s" ph="1">
        <v>6473</v>
      </c>
      <c r="M3048" s="14" t="str" ph="1">
        <f>IFERROR(INDEX([1]!_born[生没年],
MATCH(I3048,[1]!_born[作],0)),"")</f>
        <v/>
      </c>
      <c r="N3048" s="14" t="str" ph="1">
        <f>IFERROR(INDEX([1]!_born[生没年],
MATCH(K3048,[1]!_born[作],0)),"")</f>
        <v/>
      </c>
      <c r="O3048" s="13" t="s" ph="1">
        <v>9408</v>
      </c>
      <c r="T3048" s="13" t="s" ph="1">
        <v>9409</v>
      </c>
      <c r="U3048" s="16" t="s" ph="1">
        <v>1612</v>
      </c>
      <c r="V3048" s="17" ph="1">
        <f>563*1.03</f>
        <v>579.89</v>
      </c>
    </row>
    <row r="3049" spans="1:25" ht="22.5" customHeight="1" ph="1" x14ac:dyDescent="0.35">
      <c r="A3049" s="106" t="s" ph="1">
        <v>1644</v>
      </c>
      <c r="B3049" s="5" t="s" ph="1">
        <v>1645</v>
      </c>
      <c r="C3049" s="13" t="s" ph="1">
        <v>7591</v>
      </c>
      <c r="G3049" s="13" t="s" ph="1">
        <v>1574</v>
      </c>
      <c r="H3049" s="13" t="s" ph="1">
        <v>2987</v>
      </c>
      <c r="I3049" s="13" t="s" ph="1">
        <v>6473</v>
      </c>
      <c r="M3049" s="14" t="str" ph="1">
        <f>IFERROR(INDEX([1]!_born[生没年],
MATCH(I3049,[1]!_born[作],0)),"")</f>
        <v/>
      </c>
      <c r="N3049" s="14" t="str" ph="1">
        <f>IFERROR(INDEX([1]!_born[生没年],
MATCH(K3049,[1]!_born[作],0)),"")</f>
        <v/>
      </c>
      <c r="O3049" s="13" t="s" ph="1">
        <v>9410</v>
      </c>
      <c r="T3049" s="13" t="s" ph="1">
        <v>8917</v>
      </c>
      <c r="U3049" s="16" ph="1">
        <v>34939</v>
      </c>
      <c r="V3049" s="17" ph="1">
        <f>660*1.03</f>
        <v>679.80000000000007</v>
      </c>
      <c r="X3049" s="13" t="s" ph="1">
        <v>1624</v>
      </c>
    </row>
    <row r="3050" spans="1:25" ht="22.5" customHeight="1" ph="1" x14ac:dyDescent="0.35">
      <c r="A3050" s="106" t="s" ph="1">
        <v>1646</v>
      </c>
      <c r="B3050" s="5" t="s" ph="1">
        <v>1622</v>
      </c>
      <c r="C3050" s="13" t="s" ph="1">
        <v>7591</v>
      </c>
      <c r="D3050" s="123" ph="1">
        <v>1</v>
      </c>
      <c r="E3050" s="123" ph="1">
        <v>3</v>
      </c>
      <c r="G3050" s="13" t="s" ph="1">
        <v>1574</v>
      </c>
      <c r="H3050" s="13" t="s" ph="1">
        <v>2987</v>
      </c>
      <c r="I3050" s="13" t="s" ph="1">
        <v>6473</v>
      </c>
      <c r="M3050" s="14" t="str" ph="1">
        <f>IFERROR(INDEX([1]!_born[生没年],
MATCH(I3050,[1]!_born[作],0)),"")</f>
        <v/>
      </c>
      <c r="N3050" s="14" t="str" ph="1">
        <f>IFERROR(INDEX([1]!_born[生没年],
MATCH(K3050,[1]!_born[作],0)),"")</f>
        <v/>
      </c>
      <c r="O3050" s="13" t="s" ph="1">
        <v>9411</v>
      </c>
      <c r="V3050" s="17" ph="1">
        <f>563*1.03</f>
        <v>579.89</v>
      </c>
    </row>
    <row r="3051" spans="1:25" ht="22.5" customHeight="1" ph="1" x14ac:dyDescent="0.35">
      <c r="A3051" s="106" t="s" ph="1">
        <v>1647</v>
      </c>
      <c r="B3051" s="5" t="s" ph="1">
        <v>1622</v>
      </c>
      <c r="C3051" s="13" t="s" ph="1">
        <v>7591</v>
      </c>
      <c r="D3051" s="123" ph="1">
        <v>2</v>
      </c>
      <c r="E3051" s="123" ph="1">
        <v>3</v>
      </c>
      <c r="G3051" s="13" t="s" ph="1">
        <v>1574</v>
      </c>
      <c r="H3051" s="13" t="s" ph="1">
        <v>2987</v>
      </c>
      <c r="I3051" s="13" t="s" ph="1">
        <v>6473</v>
      </c>
      <c r="M3051" s="14" t="str" ph="1">
        <f>IFERROR(INDEX([1]!_born[生没年],
MATCH(I3051,[1]!_born[作],0)),"")</f>
        <v/>
      </c>
      <c r="N3051" s="14" t="str" ph="1">
        <f>IFERROR(INDEX([1]!_born[生没年],
MATCH(K3051,[1]!_born[作],0)),"")</f>
        <v/>
      </c>
      <c r="O3051" s="13" t="s" ph="1">
        <v>9411</v>
      </c>
      <c r="V3051" s="17" ph="1">
        <f>563*1.03</f>
        <v>579.89</v>
      </c>
    </row>
    <row r="3052" spans="1:25" ht="22.5" customHeight="1" ph="1" x14ac:dyDescent="0.35">
      <c r="A3052" s="106" t="s" ph="1">
        <v>1648</v>
      </c>
      <c r="B3052" s="5" t="s" ph="1">
        <v>1622</v>
      </c>
      <c r="C3052" s="13" t="s" ph="1">
        <v>7591</v>
      </c>
      <c r="D3052" s="123" ph="1">
        <v>3</v>
      </c>
      <c r="E3052" s="123" ph="1">
        <v>3</v>
      </c>
      <c r="G3052" s="13" t="s" ph="1">
        <v>1574</v>
      </c>
      <c r="H3052" s="13" t="s" ph="1">
        <v>2987</v>
      </c>
      <c r="I3052" s="13" t="s" ph="1">
        <v>6473</v>
      </c>
      <c r="M3052" s="14" t="str" ph="1">
        <f>IFERROR(INDEX([1]!_born[生没年],
MATCH(I3052,[1]!_born[作],0)),"")</f>
        <v/>
      </c>
      <c r="N3052" s="14" t="str" ph="1">
        <f>IFERROR(INDEX([1]!_born[生没年],
MATCH(K3052,[1]!_born[作],0)),"")</f>
        <v/>
      </c>
      <c r="O3052" s="13" t="s" ph="1">
        <v>9411</v>
      </c>
      <c r="V3052" s="17" ph="1">
        <f>563*1.03</f>
        <v>579.89</v>
      </c>
    </row>
    <row r="3053" spans="1:25" ht="22.5" customHeight="1" ph="1" x14ac:dyDescent="0.35">
      <c r="A3053" s="106" t="s" ph="1">
        <v>1643</v>
      </c>
      <c r="B3053" s="5" t="s" ph="1">
        <v>1622</v>
      </c>
      <c r="C3053" s="13" t="s" ph="1">
        <v>7591</v>
      </c>
      <c r="G3053" s="13" t="s" ph="1">
        <v>699</v>
      </c>
      <c r="H3053" s="13" t="s" ph="1">
        <v>2987</v>
      </c>
      <c r="I3053" s="13" t="s" ph="1">
        <v>6473</v>
      </c>
      <c r="M3053" s="14" t="str" ph="1">
        <f>IFERROR(INDEX([1]!_born[生没年],
MATCH(I3053,[1]!_born[作],0)),"")</f>
        <v/>
      </c>
      <c r="N3053" s="14" t="str" ph="1">
        <f>IFERROR(INDEX([1]!_born[生没年],
MATCH(K3053,[1]!_born[作],0)),"")</f>
        <v/>
      </c>
      <c r="O3053" s="13" t="s" ph="1">
        <v>9412</v>
      </c>
      <c r="T3053" s="13" t="s" ph="1">
        <v>8917</v>
      </c>
      <c r="U3053" s="16" ph="1">
        <v>34939</v>
      </c>
      <c r="V3053" s="17" ph="1">
        <f>621*1.03</f>
        <v>639.63</v>
      </c>
      <c r="X3053" s="13" t="s" ph="1">
        <v>1397</v>
      </c>
    </row>
    <row r="3054" spans="1:25" ht="22.5" customHeight="1" ph="1" x14ac:dyDescent="0.35">
      <c r="A3054" s="106" t="s" ph="1">
        <v>2468</v>
      </c>
      <c r="B3054" s="5" t="s" ph="1">
        <v>1622</v>
      </c>
      <c r="C3054" s="13" t="s" ph="1">
        <v>7591</v>
      </c>
      <c r="G3054" s="13" t="s" ph="1">
        <v>1574</v>
      </c>
      <c r="H3054" s="13" t="s" ph="1">
        <v>2987</v>
      </c>
      <c r="I3054" s="13" t="s" ph="1">
        <v>6473</v>
      </c>
      <c r="M3054" s="14" t="str" ph="1">
        <f>IFERROR(INDEX([1]!_born[生没年],
MATCH(I3054,[1]!_born[作],0)),"")</f>
        <v/>
      </c>
      <c r="N3054" s="14" t="str" ph="1">
        <f>IFERROR(INDEX([1]!_born[生没年],
MATCH(K3054,[1]!_born[作],0)),"")</f>
        <v/>
      </c>
      <c r="O3054" s="13" t="s" ph="1">
        <v>9413</v>
      </c>
      <c r="T3054" s="13" t="s" ph="1">
        <v>9414</v>
      </c>
      <c r="U3054" s="16" ph="1">
        <v>40123</v>
      </c>
      <c r="V3054" s="17" ph="1">
        <f>600*1.05</f>
        <v>630</v>
      </c>
      <c r="W3054" s="17" ph="1">
        <v>315</v>
      </c>
    </row>
    <row r="3055" spans="1:25" s="19" customFormat="1" ht="22.5" customHeight="1" ph="1" x14ac:dyDescent="0.35">
      <c r="A3055" s="107" ph="1"/>
      <c r="B3055" s="18" t="s" ph="1">
        <v>1622</v>
      </c>
      <c r="C3055" s="19" t="s" ph="1">
        <v>8023</v>
      </c>
      <c r="D3055" s="124" ph="1">
        <v>1</v>
      </c>
      <c r="E3055" s="124" ph="1">
        <v>12</v>
      </c>
      <c r="G3055" s="19" t="s" ph="1">
        <v>1574</v>
      </c>
      <c r="H3055" s="19" t="s" ph="1">
        <v>2987</v>
      </c>
      <c r="I3055" s="19" t="s" ph="1">
        <v>9402</v>
      </c>
      <c r="M3055" s="27" t="str" ph="1">
        <f>IFERROR(INDEX([1]!_born[生没年],
MATCH(I3055,[1]!_born[作],0)),"")</f>
        <v/>
      </c>
      <c r="N3055" s="27" t="str" ph="1">
        <f>IFERROR(INDEX([1]!_born[生没年],
MATCH(K3055,[1]!_born[作],0)),"")</f>
        <v/>
      </c>
      <c r="O3055" s="19" t="s" ph="1">
        <v>9415</v>
      </c>
      <c r="R3055" s="20" ph="1"/>
      <c r="T3055" s="19" t="s" ph="1">
        <v>9416</v>
      </c>
      <c r="U3055" s="20" t="s" ph="1">
        <v>1612</v>
      </c>
      <c r="V3055" s="21" ph="1">
        <v>500</v>
      </c>
      <c r="W3055" s="21" ph="1"/>
      <c r="Y3055" s="19" t="s" ph="1">
        <v>1642</v>
      </c>
    </row>
    <row r="3056" spans="1:25" s="19" customFormat="1" ht="22.5" customHeight="1" ph="1" x14ac:dyDescent="0.35">
      <c r="A3056" s="107" ph="1"/>
      <c r="B3056" s="18" t="s" ph="1">
        <v>1622</v>
      </c>
      <c r="C3056" s="19" t="s" ph="1">
        <v>8023</v>
      </c>
      <c r="D3056" s="124" ph="1">
        <v>2</v>
      </c>
      <c r="E3056" s="124" ph="1">
        <v>12</v>
      </c>
      <c r="G3056" s="19" t="s" ph="1">
        <v>1574</v>
      </c>
      <c r="H3056" s="19" t="s" ph="1">
        <v>2987</v>
      </c>
      <c r="I3056" s="19" t="s" ph="1">
        <v>9402</v>
      </c>
      <c r="M3056" s="27" t="str" ph="1">
        <f>IFERROR(INDEX([1]!_born[生没年],
MATCH(I3056,[1]!_born[作],0)),"")</f>
        <v/>
      </c>
      <c r="N3056" s="27" t="str" ph="1">
        <f>IFERROR(INDEX([1]!_born[生没年],
MATCH(K3056,[1]!_born[作],0)),"")</f>
        <v/>
      </c>
      <c r="O3056" s="19" t="s" ph="1">
        <v>9415</v>
      </c>
      <c r="R3056" s="20" ph="1"/>
      <c r="T3056" s="19" t="s" ph="1">
        <v>9416</v>
      </c>
      <c r="U3056" s="20" t="s" ph="1">
        <v>1612</v>
      </c>
      <c r="V3056" s="21" ph="1">
        <v>500</v>
      </c>
      <c r="W3056" s="21" ph="1"/>
      <c r="Y3056" s="19" t="s" ph="1">
        <v>1642</v>
      </c>
    </row>
    <row r="3057" spans="1:25" s="19" customFormat="1" ht="22.5" customHeight="1" ph="1" x14ac:dyDescent="0.35">
      <c r="A3057" s="107" ph="1"/>
      <c r="B3057" s="18" t="s" ph="1">
        <v>1622</v>
      </c>
      <c r="C3057" s="19" t="s" ph="1">
        <v>8023</v>
      </c>
      <c r="D3057" s="124" ph="1">
        <v>3</v>
      </c>
      <c r="E3057" s="124" ph="1">
        <v>12</v>
      </c>
      <c r="G3057" s="19" t="s" ph="1">
        <v>1574</v>
      </c>
      <c r="H3057" s="19" t="s" ph="1">
        <v>2987</v>
      </c>
      <c r="I3057" s="19" t="s" ph="1">
        <v>9402</v>
      </c>
      <c r="M3057" s="27" t="str" ph="1">
        <f>IFERROR(INDEX([1]!_born[生没年],
MATCH(I3057,[1]!_born[作],0)),"")</f>
        <v/>
      </c>
      <c r="N3057" s="27" t="str" ph="1">
        <f>IFERROR(INDEX([1]!_born[生没年],
MATCH(K3057,[1]!_born[作],0)),"")</f>
        <v/>
      </c>
      <c r="O3057" s="19" t="s" ph="1">
        <v>9415</v>
      </c>
      <c r="R3057" s="20" ph="1"/>
      <c r="T3057" s="19" t="s" ph="1">
        <v>9416</v>
      </c>
      <c r="U3057" s="20" t="s" ph="1">
        <v>1612</v>
      </c>
      <c r="V3057" s="21" ph="1">
        <v>500</v>
      </c>
      <c r="W3057" s="21" ph="1"/>
      <c r="Y3057" s="19" t="s" ph="1">
        <v>1642</v>
      </c>
    </row>
    <row r="3058" spans="1:25" s="19" customFormat="1" ht="22.5" customHeight="1" ph="1" x14ac:dyDescent="0.35">
      <c r="A3058" s="107" ph="1"/>
      <c r="B3058" s="18" t="s" ph="1">
        <v>1622</v>
      </c>
      <c r="C3058" s="19" t="s" ph="1">
        <v>8023</v>
      </c>
      <c r="D3058" s="124" ph="1">
        <v>4</v>
      </c>
      <c r="E3058" s="124" ph="1">
        <v>12</v>
      </c>
      <c r="G3058" s="19" t="s" ph="1">
        <v>1574</v>
      </c>
      <c r="H3058" s="19" t="s" ph="1">
        <v>2987</v>
      </c>
      <c r="I3058" s="19" t="s" ph="1">
        <v>9402</v>
      </c>
      <c r="M3058" s="27" t="str" ph="1">
        <f>IFERROR(INDEX([1]!_born[生没年],
MATCH(I3058,[1]!_born[作],0)),"")</f>
        <v/>
      </c>
      <c r="N3058" s="27" t="str" ph="1">
        <f>IFERROR(INDEX([1]!_born[生没年],
MATCH(K3058,[1]!_born[作],0)),"")</f>
        <v/>
      </c>
      <c r="O3058" s="19" t="s" ph="1">
        <v>9415</v>
      </c>
      <c r="R3058" s="20" ph="1"/>
      <c r="T3058" s="19" t="s" ph="1">
        <v>9416</v>
      </c>
      <c r="U3058" s="20" t="s" ph="1">
        <v>1612</v>
      </c>
      <c r="V3058" s="21" ph="1">
        <v>500</v>
      </c>
      <c r="W3058" s="21" ph="1"/>
      <c r="Y3058" s="19" t="s" ph="1">
        <v>1642</v>
      </c>
    </row>
    <row r="3059" spans="1:25" s="19" customFormat="1" ht="22.5" customHeight="1" ph="1" x14ac:dyDescent="0.35">
      <c r="A3059" s="107" ph="1"/>
      <c r="B3059" s="18" t="s" ph="1">
        <v>1622</v>
      </c>
      <c r="C3059" s="19" t="s" ph="1">
        <v>8023</v>
      </c>
      <c r="D3059" s="124" ph="1">
        <v>5</v>
      </c>
      <c r="E3059" s="124" ph="1">
        <v>12</v>
      </c>
      <c r="G3059" s="19" t="s" ph="1">
        <v>1574</v>
      </c>
      <c r="H3059" s="19" t="s" ph="1">
        <v>2987</v>
      </c>
      <c r="I3059" s="19" t="s" ph="1">
        <v>9402</v>
      </c>
      <c r="M3059" s="27" t="str" ph="1">
        <f>IFERROR(INDEX([1]!_born[生没年],
MATCH(I3059,[1]!_born[作],0)),"")</f>
        <v/>
      </c>
      <c r="N3059" s="27" t="str" ph="1">
        <f>IFERROR(INDEX([1]!_born[生没年],
MATCH(K3059,[1]!_born[作],0)),"")</f>
        <v/>
      </c>
      <c r="O3059" s="19" t="s" ph="1">
        <v>9415</v>
      </c>
      <c r="R3059" s="20" ph="1"/>
      <c r="T3059" s="19" t="s" ph="1">
        <v>9416</v>
      </c>
      <c r="U3059" s="20" t="s" ph="1">
        <v>1612</v>
      </c>
      <c r="V3059" s="21" ph="1">
        <v>500</v>
      </c>
      <c r="W3059" s="21" ph="1"/>
      <c r="Y3059" s="19" t="s" ph="1">
        <v>1642</v>
      </c>
    </row>
    <row r="3060" spans="1:25" s="19" customFormat="1" ht="22.5" customHeight="1" ph="1" x14ac:dyDescent="0.35">
      <c r="A3060" s="107" ph="1"/>
      <c r="B3060" s="18" t="s" ph="1">
        <v>1622</v>
      </c>
      <c r="C3060" s="19" t="s" ph="1">
        <v>8023</v>
      </c>
      <c r="D3060" s="124" ph="1">
        <v>6</v>
      </c>
      <c r="E3060" s="124" ph="1">
        <v>12</v>
      </c>
      <c r="G3060" s="19" t="s" ph="1">
        <v>1574</v>
      </c>
      <c r="H3060" s="19" t="s" ph="1">
        <v>2987</v>
      </c>
      <c r="I3060" s="19" t="s" ph="1">
        <v>9402</v>
      </c>
      <c r="M3060" s="27" t="str" ph="1">
        <f>IFERROR(INDEX([1]!_born[生没年],
MATCH(I3060,[1]!_born[作],0)),"")</f>
        <v/>
      </c>
      <c r="N3060" s="27" t="str" ph="1">
        <f>IFERROR(INDEX([1]!_born[生没年],
MATCH(K3060,[1]!_born[作],0)),"")</f>
        <v/>
      </c>
      <c r="O3060" s="19" t="s" ph="1">
        <v>9415</v>
      </c>
      <c r="R3060" s="20" ph="1"/>
      <c r="T3060" s="19" t="s" ph="1">
        <v>9416</v>
      </c>
      <c r="U3060" s="20" t="s" ph="1">
        <v>1612</v>
      </c>
      <c r="V3060" s="21" ph="1">
        <v>500</v>
      </c>
      <c r="W3060" s="21" ph="1"/>
      <c r="Y3060" s="19" t="s" ph="1">
        <v>1642</v>
      </c>
    </row>
    <row r="3061" spans="1:25" s="19" customFormat="1" ht="22.5" customHeight="1" ph="1" x14ac:dyDescent="0.35">
      <c r="A3061" s="107" ph="1"/>
      <c r="B3061" s="18" t="s" ph="1">
        <v>1622</v>
      </c>
      <c r="C3061" s="19" t="s" ph="1">
        <v>8023</v>
      </c>
      <c r="D3061" s="124" ph="1">
        <v>7</v>
      </c>
      <c r="E3061" s="124" ph="1">
        <v>12</v>
      </c>
      <c r="G3061" s="19" t="s" ph="1">
        <v>1574</v>
      </c>
      <c r="H3061" s="19" t="s" ph="1">
        <v>2987</v>
      </c>
      <c r="I3061" s="19" t="s" ph="1">
        <v>9402</v>
      </c>
      <c r="M3061" s="27" t="str" ph="1">
        <f>IFERROR(INDEX([1]!_born[生没年],
MATCH(I3061,[1]!_born[作],0)),"")</f>
        <v/>
      </c>
      <c r="N3061" s="27" t="str" ph="1">
        <f>IFERROR(INDEX([1]!_born[生没年],
MATCH(K3061,[1]!_born[作],0)),"")</f>
        <v/>
      </c>
      <c r="O3061" s="19" t="s" ph="1">
        <v>9415</v>
      </c>
      <c r="R3061" s="20" ph="1"/>
      <c r="T3061" s="19" t="s" ph="1">
        <v>9416</v>
      </c>
      <c r="U3061" s="20" t="s" ph="1">
        <v>1612</v>
      </c>
      <c r="V3061" s="21" ph="1">
        <v>500</v>
      </c>
      <c r="W3061" s="21" ph="1"/>
      <c r="Y3061" s="19" t="s" ph="1">
        <v>1642</v>
      </c>
    </row>
    <row r="3062" spans="1:25" s="19" customFormat="1" ht="22.5" customHeight="1" ph="1" x14ac:dyDescent="0.35">
      <c r="A3062" s="107" ph="1"/>
      <c r="B3062" s="18" t="s" ph="1">
        <v>1622</v>
      </c>
      <c r="C3062" s="19" t="s" ph="1">
        <v>8023</v>
      </c>
      <c r="D3062" s="124" ph="1">
        <v>8</v>
      </c>
      <c r="E3062" s="124" ph="1">
        <v>12</v>
      </c>
      <c r="G3062" s="19" t="s" ph="1">
        <v>1574</v>
      </c>
      <c r="H3062" s="19" t="s" ph="1">
        <v>2987</v>
      </c>
      <c r="I3062" s="19" t="s" ph="1">
        <v>9402</v>
      </c>
      <c r="M3062" s="27" t="str" ph="1">
        <f>IFERROR(INDEX([1]!_born[生没年],
MATCH(I3062,[1]!_born[作],0)),"")</f>
        <v/>
      </c>
      <c r="N3062" s="27" t="str" ph="1">
        <f>IFERROR(INDEX([1]!_born[生没年],
MATCH(K3062,[1]!_born[作],0)),"")</f>
        <v/>
      </c>
      <c r="O3062" s="19" t="s" ph="1">
        <v>9415</v>
      </c>
      <c r="R3062" s="20" ph="1"/>
      <c r="T3062" s="19" t="s" ph="1">
        <v>9416</v>
      </c>
      <c r="U3062" s="20" t="s" ph="1">
        <v>1612</v>
      </c>
      <c r="V3062" s="21" ph="1">
        <v>500</v>
      </c>
      <c r="W3062" s="21" ph="1"/>
      <c r="Y3062" s="19" t="s" ph="1">
        <v>1642</v>
      </c>
    </row>
    <row r="3063" spans="1:25" s="19" customFormat="1" ht="22.5" customHeight="1" ph="1" x14ac:dyDescent="0.35">
      <c r="A3063" s="107" ph="1"/>
      <c r="B3063" s="18" t="s" ph="1">
        <v>1622</v>
      </c>
      <c r="C3063" s="19" t="s" ph="1">
        <v>8023</v>
      </c>
      <c r="D3063" s="124" ph="1">
        <v>9</v>
      </c>
      <c r="E3063" s="124" ph="1">
        <v>12</v>
      </c>
      <c r="G3063" s="19" t="s" ph="1">
        <v>1574</v>
      </c>
      <c r="H3063" s="19" t="s" ph="1">
        <v>2987</v>
      </c>
      <c r="I3063" s="19" t="s" ph="1">
        <v>9402</v>
      </c>
      <c r="M3063" s="27" t="str" ph="1">
        <f>IFERROR(INDEX([1]!_born[生没年],
MATCH(I3063,[1]!_born[作],0)),"")</f>
        <v/>
      </c>
      <c r="N3063" s="27" t="str" ph="1">
        <f>IFERROR(INDEX([1]!_born[生没年],
MATCH(K3063,[1]!_born[作],0)),"")</f>
        <v/>
      </c>
      <c r="O3063" s="19" t="s" ph="1">
        <v>9415</v>
      </c>
      <c r="R3063" s="20" ph="1"/>
      <c r="T3063" s="19" t="s" ph="1">
        <v>9416</v>
      </c>
      <c r="U3063" s="20" t="s" ph="1">
        <v>1612</v>
      </c>
      <c r="V3063" s="21" ph="1">
        <v>500</v>
      </c>
      <c r="W3063" s="21" ph="1"/>
      <c r="Y3063" s="19" t="s" ph="1">
        <v>1642</v>
      </c>
    </row>
    <row r="3064" spans="1:25" s="19" customFormat="1" ht="22.5" customHeight="1" ph="1" x14ac:dyDescent="0.35">
      <c r="A3064" s="107" ph="1"/>
      <c r="B3064" s="18" t="s" ph="1">
        <v>1622</v>
      </c>
      <c r="C3064" s="19" t="s" ph="1">
        <v>8023</v>
      </c>
      <c r="D3064" s="124" ph="1">
        <v>10</v>
      </c>
      <c r="E3064" s="124" ph="1">
        <v>12</v>
      </c>
      <c r="G3064" s="19" t="s" ph="1">
        <v>1574</v>
      </c>
      <c r="H3064" s="19" t="s" ph="1">
        <v>2987</v>
      </c>
      <c r="I3064" s="19" t="s" ph="1">
        <v>9402</v>
      </c>
      <c r="M3064" s="27" t="str" ph="1">
        <f>IFERROR(INDEX([1]!_born[生没年],
MATCH(I3064,[1]!_born[作],0)),"")</f>
        <v/>
      </c>
      <c r="N3064" s="27" t="str" ph="1">
        <f>IFERROR(INDEX([1]!_born[生没年],
MATCH(K3064,[1]!_born[作],0)),"")</f>
        <v/>
      </c>
      <c r="O3064" s="19" t="s" ph="1">
        <v>9415</v>
      </c>
      <c r="R3064" s="20" ph="1"/>
      <c r="T3064" s="19" t="s" ph="1">
        <v>9416</v>
      </c>
      <c r="U3064" s="20" t="s" ph="1">
        <v>1612</v>
      </c>
      <c r="V3064" s="21" ph="1">
        <v>500</v>
      </c>
      <c r="W3064" s="21" ph="1"/>
      <c r="Y3064" s="19" t="s" ph="1">
        <v>1642</v>
      </c>
    </row>
    <row r="3065" spans="1:25" s="19" customFormat="1" ht="22.5" customHeight="1" ph="1" x14ac:dyDescent="0.35">
      <c r="A3065" s="107" ph="1"/>
      <c r="B3065" s="18" t="s" ph="1">
        <v>1622</v>
      </c>
      <c r="C3065" s="19" t="s" ph="1">
        <v>8023</v>
      </c>
      <c r="D3065" s="124" ph="1">
        <v>11</v>
      </c>
      <c r="E3065" s="124" ph="1">
        <v>12</v>
      </c>
      <c r="G3065" s="19" t="s" ph="1">
        <v>1574</v>
      </c>
      <c r="H3065" s="19" t="s" ph="1">
        <v>2987</v>
      </c>
      <c r="I3065" s="19" t="s" ph="1">
        <v>9402</v>
      </c>
      <c r="M3065" s="27" t="str" ph="1">
        <f>IFERROR(INDEX([1]!_born[生没年],
MATCH(I3065,[1]!_born[作],0)),"")</f>
        <v/>
      </c>
      <c r="N3065" s="27" t="str" ph="1">
        <f>IFERROR(INDEX([1]!_born[生没年],
MATCH(K3065,[1]!_born[作],0)),"")</f>
        <v/>
      </c>
      <c r="O3065" s="19" t="s" ph="1">
        <v>9415</v>
      </c>
      <c r="R3065" s="20" ph="1"/>
      <c r="T3065" s="19" t="s" ph="1">
        <v>9416</v>
      </c>
      <c r="U3065" s="20" t="s" ph="1">
        <v>1612</v>
      </c>
      <c r="V3065" s="21" ph="1">
        <v>500</v>
      </c>
      <c r="W3065" s="21" ph="1"/>
      <c r="Y3065" s="19" t="s" ph="1">
        <v>1642</v>
      </c>
    </row>
    <row r="3066" spans="1:25" s="19" customFormat="1" ht="22.5" customHeight="1" ph="1" x14ac:dyDescent="0.35">
      <c r="A3066" s="107" ph="1"/>
      <c r="B3066" s="18" t="s" ph="1">
        <v>1622</v>
      </c>
      <c r="C3066" s="19" t="s" ph="1">
        <v>8023</v>
      </c>
      <c r="D3066" s="124" ph="1">
        <v>12</v>
      </c>
      <c r="E3066" s="124" ph="1">
        <v>12</v>
      </c>
      <c r="G3066" s="19" t="s" ph="1">
        <v>1574</v>
      </c>
      <c r="H3066" s="19" t="s" ph="1">
        <v>2987</v>
      </c>
      <c r="I3066" s="19" t="s" ph="1">
        <v>9402</v>
      </c>
      <c r="M3066" s="27" t="str" ph="1">
        <f>IFERROR(INDEX([1]!_born[生没年],
MATCH(I3066,[1]!_born[作],0)),"")</f>
        <v/>
      </c>
      <c r="N3066" s="27" t="str" ph="1">
        <f>IFERROR(INDEX([1]!_born[生没年],
MATCH(K3066,[1]!_born[作],0)),"")</f>
        <v/>
      </c>
      <c r="O3066" s="19" t="s" ph="1">
        <v>9415</v>
      </c>
      <c r="R3066" s="20" ph="1"/>
      <c r="T3066" s="19" t="s" ph="1">
        <v>9416</v>
      </c>
      <c r="U3066" s="20" t="s" ph="1">
        <v>1612</v>
      </c>
      <c r="V3066" s="21" ph="1">
        <v>500</v>
      </c>
      <c r="W3066" s="21" ph="1"/>
      <c r="Y3066" s="19" t="s" ph="1">
        <v>1642</v>
      </c>
    </row>
    <row r="3067" spans="1:25" s="19" customFormat="1" ht="22.5" customHeight="1" ph="1" x14ac:dyDescent="0.35">
      <c r="A3067" s="107" ph="1"/>
      <c r="B3067" s="18" ph="1"/>
      <c r="C3067" s="19" t="s" ph="1">
        <v>8023</v>
      </c>
      <c r="D3067" s="124" ph="1">
        <v>1</v>
      </c>
      <c r="E3067" s="124" ph="1">
        <v>2</v>
      </c>
      <c r="G3067" s="19" t="s" ph="1">
        <v>1574</v>
      </c>
      <c r="H3067" s="19" t="s" ph="1">
        <v>2987</v>
      </c>
      <c r="I3067" s="19" t="s" ph="1">
        <v>9402</v>
      </c>
      <c r="M3067" s="27" t="str" ph="1">
        <f>IFERROR(INDEX([1]!_born[生没年],
MATCH(I3067,[1]!_born[作],0)),"")</f>
        <v/>
      </c>
      <c r="N3067" s="27" t="str" ph="1">
        <f>IFERROR(INDEX([1]!_born[生没年],
MATCH(K3067,[1]!_born[作],0)),"")</f>
        <v/>
      </c>
      <c r="O3067" s="19" t="s" ph="1">
        <v>9417</v>
      </c>
      <c r="R3067" s="20" ph="1"/>
      <c r="T3067" s="19" t="s" ph="1">
        <v>9333</v>
      </c>
      <c r="U3067" s="20" t="s" ph="1">
        <v>1612</v>
      </c>
      <c r="V3067" s="21" ph="1">
        <f>580*2</f>
        <v>1160</v>
      </c>
      <c r="W3067" s="21" ph="1"/>
    </row>
    <row r="3068" spans="1:25" s="19" customFormat="1" ht="22.5" customHeight="1" ph="1" x14ac:dyDescent="0.35">
      <c r="A3068" s="107" ph="1"/>
      <c r="B3068" s="18" ph="1"/>
      <c r="C3068" s="19" t="s" ph="1">
        <v>8023</v>
      </c>
      <c r="D3068" s="124" ph="1">
        <v>2</v>
      </c>
      <c r="E3068" s="124" ph="1">
        <v>2</v>
      </c>
      <c r="G3068" s="19" t="s" ph="1">
        <v>1574</v>
      </c>
      <c r="H3068" s="19" t="s" ph="1">
        <v>2987</v>
      </c>
      <c r="I3068" s="19" t="s" ph="1">
        <v>9402</v>
      </c>
      <c r="M3068" s="27" t="str" ph="1">
        <f>IFERROR(INDEX([1]!_born[生没年],
MATCH(I3068,[1]!_born[作],0)),"")</f>
        <v/>
      </c>
      <c r="N3068" s="27" t="str" ph="1">
        <f>IFERROR(INDEX([1]!_born[生没年],
MATCH(K3068,[1]!_born[作],0)),"")</f>
        <v/>
      </c>
      <c r="O3068" s="19" t="s" ph="1">
        <v>9417</v>
      </c>
      <c r="R3068" s="20" ph="1"/>
      <c r="T3068" s="19" t="s" ph="1">
        <v>9333</v>
      </c>
      <c r="U3068" s="20" t="s" ph="1">
        <v>1612</v>
      </c>
      <c r="V3068" s="21" ph="1">
        <f>580*2</f>
        <v>1160</v>
      </c>
      <c r="W3068" s="21" ph="1"/>
    </row>
    <row r="3069" spans="1:25" ht="22.5" customHeight="1" ph="1" x14ac:dyDescent="0.35">
      <c r="A3069" s="106" t="s" ph="1">
        <v>1650</v>
      </c>
      <c r="B3069" s="5" t="s" ph="1">
        <v>1622</v>
      </c>
      <c r="C3069" s="13" t="s" ph="1">
        <v>7591</v>
      </c>
      <c r="G3069" s="13" t="s" ph="1">
        <v>1574</v>
      </c>
      <c r="H3069" s="13" t="s" ph="1">
        <v>2987</v>
      </c>
      <c r="I3069" s="13" t="s" ph="1">
        <v>6473</v>
      </c>
      <c r="M3069" s="14" t="str" ph="1">
        <f>IFERROR(INDEX([1]!_born[生没年],
MATCH(I3069,[1]!_born[作],0)),"")</f>
        <v/>
      </c>
      <c r="N3069" s="14" t="str" ph="1">
        <f>IFERROR(INDEX([1]!_born[生没年],
MATCH(K3069,[1]!_born[作],0)),"")</f>
        <v/>
      </c>
      <c r="O3069" s="15" t="s" ph="1">
        <v>9418</v>
      </c>
      <c r="T3069" s="13" t="s" ph="1">
        <v>9419</v>
      </c>
      <c r="U3069" s="16" ph="1">
        <v>38963</v>
      </c>
      <c r="V3069" s="17" ph="1">
        <f>657*1.05</f>
        <v>689.85</v>
      </c>
      <c r="W3069" s="17" ph="1">
        <f>657*1.05</f>
        <v>689.85</v>
      </c>
      <c r="X3069" s="13" t="s" ph="1">
        <v>3802</v>
      </c>
      <c r="Y3069" s="13" t="s" ph="1">
        <v>9420</v>
      </c>
    </row>
    <row r="3070" spans="1:25" s="19" customFormat="1" ht="22.5" customHeight="1" ph="1" x14ac:dyDescent="0.35">
      <c r="A3070" s="107" ph="1"/>
      <c r="B3070" s="18" ph="1"/>
      <c r="C3070" s="19" t="s" ph="1">
        <v>8023</v>
      </c>
      <c r="D3070" s="124" ph="1">
        <v>1</v>
      </c>
      <c r="E3070" s="124" ph="1">
        <v>3</v>
      </c>
      <c r="G3070" s="19" t="s" ph="1">
        <v>1574</v>
      </c>
      <c r="H3070" s="19" t="s" ph="1">
        <v>2987</v>
      </c>
      <c r="I3070" s="19" t="s" ph="1">
        <v>9402</v>
      </c>
      <c r="M3070" s="27" t="str" ph="1">
        <f>IFERROR(INDEX([1]!_born[生没年],
MATCH(I3070,[1]!_born[作],0)),"")</f>
        <v/>
      </c>
      <c r="N3070" s="27" t="str" ph="1">
        <f>IFERROR(INDEX([1]!_born[生没年],
MATCH(K3070,[1]!_born[作],0)),"")</f>
        <v/>
      </c>
      <c r="O3070" s="19" t="s" ph="1">
        <v>9421</v>
      </c>
      <c r="R3070" s="20" ph="1"/>
      <c r="T3070" s="19" t="s" ph="1">
        <v>9333</v>
      </c>
      <c r="U3070" s="20" t="s" ph="1">
        <v>1612</v>
      </c>
      <c r="V3070" s="21" ph="1">
        <f>580+580+600</f>
        <v>1760</v>
      </c>
      <c r="W3070" s="21" ph="1"/>
    </row>
    <row r="3071" spans="1:25" s="19" customFormat="1" ht="22.5" customHeight="1" ph="1" x14ac:dyDescent="0.35">
      <c r="A3071" s="107" ph="1"/>
      <c r="B3071" s="18" ph="1"/>
      <c r="C3071" s="19" t="s" ph="1">
        <v>8023</v>
      </c>
      <c r="D3071" s="124" ph="1">
        <v>2</v>
      </c>
      <c r="E3071" s="124" ph="1">
        <v>3</v>
      </c>
      <c r="G3071" s="19" t="s" ph="1">
        <v>1574</v>
      </c>
      <c r="H3071" s="19" t="s" ph="1">
        <v>2987</v>
      </c>
      <c r="I3071" s="19" t="s" ph="1">
        <v>9402</v>
      </c>
      <c r="M3071" s="27" t="str" ph="1">
        <f>IFERROR(INDEX([1]!_born[生没年],
MATCH(I3071,[1]!_born[作],0)),"")</f>
        <v/>
      </c>
      <c r="N3071" s="27" t="str" ph="1">
        <f>IFERROR(INDEX([1]!_born[生没年],
MATCH(K3071,[1]!_born[作],0)),"")</f>
        <v/>
      </c>
      <c r="O3071" s="19" t="s" ph="1">
        <v>9421</v>
      </c>
      <c r="R3071" s="20" ph="1"/>
      <c r="T3071" s="19" t="s" ph="1">
        <v>9333</v>
      </c>
      <c r="U3071" s="20" t="s" ph="1">
        <v>1612</v>
      </c>
      <c r="V3071" s="21" ph="1">
        <f>580+580+600</f>
        <v>1760</v>
      </c>
      <c r="W3071" s="21" ph="1"/>
    </row>
    <row r="3072" spans="1:25" s="19" customFormat="1" ht="22.5" customHeight="1" ph="1" x14ac:dyDescent="0.35">
      <c r="A3072" s="107" ph="1"/>
      <c r="B3072" s="18" ph="1"/>
      <c r="C3072" s="19" t="s" ph="1">
        <v>8023</v>
      </c>
      <c r="D3072" s="124" ph="1">
        <v>3</v>
      </c>
      <c r="E3072" s="124" ph="1">
        <v>3</v>
      </c>
      <c r="G3072" s="19" t="s" ph="1">
        <v>1574</v>
      </c>
      <c r="H3072" s="19" t="s" ph="1">
        <v>2987</v>
      </c>
      <c r="I3072" s="19" t="s" ph="1">
        <v>9402</v>
      </c>
      <c r="M3072" s="27" t="str" ph="1">
        <f>IFERROR(INDEX([1]!_born[生没年],
MATCH(I3072,[1]!_born[作],0)),"")</f>
        <v/>
      </c>
      <c r="N3072" s="27" t="str" ph="1">
        <f>IFERROR(INDEX([1]!_born[生没年],
MATCH(K3072,[1]!_born[作],0)),"")</f>
        <v/>
      </c>
      <c r="O3072" s="19" t="s" ph="1">
        <v>9421</v>
      </c>
      <c r="R3072" s="20" ph="1"/>
      <c r="T3072" s="19" t="s" ph="1">
        <v>9333</v>
      </c>
      <c r="U3072" s="20" t="s" ph="1">
        <v>1612</v>
      </c>
      <c r="V3072" s="21" ph="1">
        <f>580+580+600</f>
        <v>1760</v>
      </c>
      <c r="W3072" s="21" ph="1"/>
    </row>
    <row r="3073" spans="1:25" ht="22.5" customHeight="1" ph="1" x14ac:dyDescent="0.35">
      <c r="A3073" s="106" t="s" ph="1">
        <v>1651</v>
      </c>
      <c r="B3073" s="5" t="s" ph="1">
        <v>1622</v>
      </c>
      <c r="C3073" s="13" t="s" ph="1">
        <v>7591</v>
      </c>
      <c r="D3073" s="123" ph="1">
        <v>1</v>
      </c>
      <c r="E3073" s="123" ph="1">
        <v>2</v>
      </c>
      <c r="G3073" s="13" t="s" ph="1">
        <v>1574</v>
      </c>
      <c r="H3073" s="13" t="s" ph="1">
        <v>2987</v>
      </c>
      <c r="I3073" s="13" t="s" ph="1">
        <v>6473</v>
      </c>
      <c r="M3073" s="14" t="str" ph="1">
        <f>IFERROR(INDEX([1]!_born[生没年],
MATCH(I3073,[1]!_born[作],0)),"")</f>
        <v/>
      </c>
      <c r="N3073" s="14" t="str" ph="1">
        <f>IFERROR(INDEX([1]!_born[生没年],
MATCH(K3073,[1]!_born[作],0)),"")</f>
        <v/>
      </c>
      <c r="O3073" s="15" t="s" ph="1">
        <v>9422</v>
      </c>
      <c r="S3073" s="13" t="s" ph="1">
        <v>4103</v>
      </c>
      <c r="V3073" s="17" ph="1">
        <f>583*1.03</f>
        <v>600.49</v>
      </c>
    </row>
    <row r="3074" spans="1:25" ht="22.5" customHeight="1" ph="1" x14ac:dyDescent="0.35">
      <c r="A3074" s="106" t="s" ph="1">
        <v>1652</v>
      </c>
      <c r="B3074" s="5" t="s" ph="1">
        <v>1622</v>
      </c>
      <c r="C3074" s="13" t="s" ph="1">
        <v>7591</v>
      </c>
      <c r="D3074" s="123" ph="1">
        <v>2</v>
      </c>
      <c r="E3074" s="123" ph="1">
        <v>2</v>
      </c>
      <c r="G3074" s="13" t="s" ph="1">
        <v>1574</v>
      </c>
      <c r="H3074" s="13" t="s" ph="1">
        <v>2987</v>
      </c>
      <c r="I3074" s="13" t="s" ph="1">
        <v>6473</v>
      </c>
      <c r="M3074" s="14" t="str" ph="1">
        <f>IFERROR(INDEX([1]!_born[生没年],
MATCH(I3074,[1]!_born[作],0)),"")</f>
        <v/>
      </c>
      <c r="N3074" s="14" t="str" ph="1">
        <f>IFERROR(INDEX([1]!_born[生没年],
MATCH(K3074,[1]!_born[作],0)),"")</f>
        <v/>
      </c>
      <c r="O3074" s="15" t="s" ph="1">
        <v>9422</v>
      </c>
      <c r="S3074" s="13" t="s" ph="1">
        <v>4103</v>
      </c>
      <c r="V3074" s="17" ph="1">
        <f>583*1.03</f>
        <v>600.49</v>
      </c>
    </row>
    <row r="3075" spans="1:25" ht="22.5" customHeight="1" ph="1" x14ac:dyDescent="0.35">
      <c r="A3075" s="106" t="s" ph="1">
        <v>1655</v>
      </c>
      <c r="B3075" s="5" t="s" ph="1">
        <v>1622</v>
      </c>
      <c r="C3075" s="13" t="s" ph="1">
        <v>7591</v>
      </c>
      <c r="G3075" s="13" t="s" ph="1">
        <v>1574</v>
      </c>
      <c r="H3075" s="13" t="s" ph="1">
        <v>2987</v>
      </c>
      <c r="I3075" s="13" t="s" ph="1">
        <v>6473</v>
      </c>
      <c r="M3075" s="14" t="str" ph="1">
        <f>IFERROR(INDEX([1]!_born[生没年],
MATCH(I3075,[1]!_born[作],0)),"")</f>
        <v/>
      </c>
      <c r="N3075" s="14" t="str" ph="1">
        <f>IFERROR(INDEX([1]!_born[生没年],
MATCH(K3075,[1]!_born[作],0)),"")</f>
        <v/>
      </c>
      <c r="O3075" s="13" t="s" ph="1">
        <v>9423</v>
      </c>
      <c r="T3075" s="13" t="s" ph="1">
        <v>7730</v>
      </c>
      <c r="U3075" s="16" ph="1">
        <v>39191</v>
      </c>
      <c r="V3075" s="17" ph="1">
        <f>900*1.05</f>
        <v>945</v>
      </c>
      <c r="W3075" s="17" ph="1">
        <f>900*1.05</f>
        <v>945</v>
      </c>
      <c r="X3075" s="13" t="s" ph="1">
        <v>9363</v>
      </c>
    </row>
    <row r="3076" spans="1:25" ht="22.5" customHeight="1" ph="1" x14ac:dyDescent="0.35">
      <c r="A3076" s="106" t="s" ph="1">
        <v>1649</v>
      </c>
      <c r="B3076" s="5" t="s" ph="1">
        <v>1622</v>
      </c>
      <c r="C3076" s="13" t="s" ph="1">
        <v>7591</v>
      </c>
      <c r="G3076" s="13" t="s" ph="1">
        <v>1574</v>
      </c>
      <c r="H3076" s="13" t="s" ph="1">
        <v>2987</v>
      </c>
      <c r="I3076" s="13" t="s" ph="1">
        <v>6473</v>
      </c>
      <c r="M3076" s="14" t="str" ph="1">
        <f>IFERROR(INDEX([1]!_born[生没年],
MATCH(I3076,[1]!_born[作],0)),"")</f>
        <v/>
      </c>
      <c r="N3076" s="14" t="str" ph="1">
        <f>IFERROR(INDEX([1]!_born[生没年],
MATCH(K3076,[1]!_born[作],0)),"")</f>
        <v/>
      </c>
      <c r="O3076" s="15" t="s" ph="1">
        <v>9424</v>
      </c>
    </row>
    <row r="3077" spans="1:25" s="19" customFormat="1" ht="22.5" customHeight="1" ph="1" x14ac:dyDescent="0.35">
      <c r="A3077" s="107" ph="1"/>
      <c r="B3077" s="18" t="s" ph="1">
        <v>1622</v>
      </c>
      <c r="C3077" s="19" t="s" ph="1">
        <v>8023</v>
      </c>
      <c r="D3077" s="124" ph="1">
        <v>1</v>
      </c>
      <c r="E3077" s="124" ph="1">
        <v>15</v>
      </c>
      <c r="G3077" s="19" t="s" ph="1">
        <v>1574</v>
      </c>
      <c r="H3077" s="19" t="s" ph="1">
        <v>2987</v>
      </c>
      <c r="I3077" s="19" t="s" ph="1">
        <v>9402</v>
      </c>
      <c r="M3077" s="27" t="str" ph="1">
        <f>IFERROR(INDEX([1]!_born[生没年],
MATCH(I3077,[1]!_born[作],0)),"")</f>
        <v/>
      </c>
      <c r="N3077" s="27" t="str" ph="1">
        <f>IFERROR(INDEX([1]!_born[生没年],
MATCH(K3077,[1]!_born[作],0)),"")</f>
        <v/>
      </c>
      <c r="O3077" s="19" t="s" ph="1">
        <v>9425</v>
      </c>
      <c r="R3077" s="20" ph="1"/>
      <c r="S3077" s="19" t="s" ph="1">
        <v>9393</v>
      </c>
      <c r="U3077" s="20" ph="1"/>
      <c r="V3077" s="21" ph="1"/>
      <c r="W3077" s="21" ph="1"/>
      <c r="Y3077" s="19" t="s" ph="1">
        <v>9426</v>
      </c>
    </row>
    <row r="3078" spans="1:25" s="19" customFormat="1" ht="22.5" customHeight="1" ph="1" x14ac:dyDescent="0.35">
      <c r="A3078" s="107" ph="1"/>
      <c r="B3078" s="18" t="s" ph="1">
        <v>1622</v>
      </c>
      <c r="C3078" s="19" t="s" ph="1">
        <v>8023</v>
      </c>
      <c r="D3078" s="124" ph="1">
        <v>2</v>
      </c>
      <c r="E3078" s="124" ph="1">
        <v>15</v>
      </c>
      <c r="G3078" s="19" t="s" ph="1">
        <v>1574</v>
      </c>
      <c r="H3078" s="19" t="s" ph="1">
        <v>2987</v>
      </c>
      <c r="I3078" s="19" t="s" ph="1">
        <v>9402</v>
      </c>
      <c r="M3078" s="27" t="str" ph="1">
        <f>IFERROR(INDEX([1]!_born[生没年],
MATCH(I3078,[1]!_born[作],0)),"")</f>
        <v/>
      </c>
      <c r="N3078" s="27" t="str" ph="1">
        <f>IFERROR(INDEX([1]!_born[生没年],
MATCH(K3078,[1]!_born[作],0)),"")</f>
        <v/>
      </c>
      <c r="O3078" s="19" t="s" ph="1">
        <v>9425</v>
      </c>
      <c r="R3078" s="20" ph="1"/>
      <c r="S3078" s="19" t="s" ph="1">
        <v>9393</v>
      </c>
      <c r="U3078" s="20" ph="1"/>
      <c r="V3078" s="21" ph="1"/>
      <c r="W3078" s="21" ph="1"/>
      <c r="Y3078" s="19" t="s" ph="1">
        <v>9426</v>
      </c>
    </row>
    <row r="3079" spans="1:25" s="19" customFormat="1" ht="22.5" customHeight="1" ph="1" x14ac:dyDescent="0.35">
      <c r="A3079" s="107" ph="1"/>
      <c r="B3079" s="18" t="s" ph="1">
        <v>1622</v>
      </c>
      <c r="C3079" s="19" t="s" ph="1">
        <v>8023</v>
      </c>
      <c r="D3079" s="124" ph="1">
        <v>3</v>
      </c>
      <c r="E3079" s="124" ph="1">
        <v>15</v>
      </c>
      <c r="G3079" s="19" t="s" ph="1">
        <v>1574</v>
      </c>
      <c r="H3079" s="19" t="s" ph="1">
        <v>2987</v>
      </c>
      <c r="I3079" s="19" t="s" ph="1">
        <v>9402</v>
      </c>
      <c r="M3079" s="27" t="str" ph="1">
        <f>IFERROR(INDEX([1]!_born[生没年],
MATCH(I3079,[1]!_born[作],0)),"")</f>
        <v/>
      </c>
      <c r="N3079" s="27" t="str" ph="1">
        <f>IFERROR(INDEX([1]!_born[生没年],
MATCH(K3079,[1]!_born[作],0)),"")</f>
        <v/>
      </c>
      <c r="O3079" s="19" t="s" ph="1">
        <v>9425</v>
      </c>
      <c r="R3079" s="20" ph="1"/>
      <c r="S3079" s="19" t="s" ph="1">
        <v>9393</v>
      </c>
      <c r="U3079" s="20" ph="1"/>
      <c r="V3079" s="21" ph="1"/>
      <c r="W3079" s="21" ph="1"/>
      <c r="Y3079" s="19" t="s" ph="1">
        <v>9426</v>
      </c>
    </row>
    <row r="3080" spans="1:25" s="19" customFormat="1" ht="22.5" customHeight="1" ph="1" x14ac:dyDescent="0.35">
      <c r="A3080" s="107" ph="1"/>
      <c r="B3080" s="18" t="s" ph="1">
        <v>1622</v>
      </c>
      <c r="C3080" s="19" t="s" ph="1">
        <v>8023</v>
      </c>
      <c r="D3080" s="124" ph="1">
        <v>4</v>
      </c>
      <c r="E3080" s="124" ph="1">
        <v>15</v>
      </c>
      <c r="G3080" s="19" t="s" ph="1">
        <v>1574</v>
      </c>
      <c r="H3080" s="19" t="s" ph="1">
        <v>2987</v>
      </c>
      <c r="I3080" s="19" t="s" ph="1">
        <v>9402</v>
      </c>
      <c r="M3080" s="27" t="str" ph="1">
        <f>IFERROR(INDEX([1]!_born[生没年],
MATCH(I3080,[1]!_born[作],0)),"")</f>
        <v/>
      </c>
      <c r="N3080" s="27" t="str" ph="1">
        <f>IFERROR(INDEX([1]!_born[生没年],
MATCH(K3080,[1]!_born[作],0)),"")</f>
        <v/>
      </c>
      <c r="O3080" s="19" t="s" ph="1">
        <v>9425</v>
      </c>
      <c r="R3080" s="20" ph="1"/>
      <c r="S3080" s="19" t="s" ph="1">
        <v>9393</v>
      </c>
      <c r="U3080" s="20" ph="1"/>
      <c r="V3080" s="21" ph="1"/>
      <c r="W3080" s="21" ph="1"/>
      <c r="Y3080" s="19" t="s" ph="1">
        <v>9426</v>
      </c>
    </row>
    <row r="3081" spans="1:25" s="19" customFormat="1" ht="22.5" customHeight="1" ph="1" x14ac:dyDescent="0.35">
      <c r="A3081" s="107" ph="1"/>
      <c r="B3081" s="18" t="s" ph="1">
        <v>1622</v>
      </c>
      <c r="C3081" s="19" t="s" ph="1">
        <v>8023</v>
      </c>
      <c r="D3081" s="124" ph="1">
        <v>5</v>
      </c>
      <c r="E3081" s="124" ph="1">
        <v>15</v>
      </c>
      <c r="G3081" s="19" t="s" ph="1">
        <v>1574</v>
      </c>
      <c r="H3081" s="19" t="s" ph="1">
        <v>2987</v>
      </c>
      <c r="I3081" s="19" t="s" ph="1">
        <v>9402</v>
      </c>
      <c r="M3081" s="27" t="str" ph="1">
        <f>IFERROR(INDEX([1]!_born[生没年],
MATCH(I3081,[1]!_born[作],0)),"")</f>
        <v/>
      </c>
      <c r="N3081" s="27" t="str" ph="1">
        <f>IFERROR(INDEX([1]!_born[生没年],
MATCH(K3081,[1]!_born[作],0)),"")</f>
        <v/>
      </c>
      <c r="O3081" s="19" t="s" ph="1">
        <v>9425</v>
      </c>
      <c r="R3081" s="20" ph="1"/>
      <c r="S3081" s="19" t="s" ph="1">
        <v>9393</v>
      </c>
      <c r="U3081" s="20" ph="1"/>
      <c r="V3081" s="21" ph="1"/>
      <c r="W3081" s="21" ph="1"/>
      <c r="Y3081" s="19" t="s" ph="1">
        <v>9426</v>
      </c>
    </row>
    <row r="3082" spans="1:25" s="19" customFormat="1" ht="22.5" customHeight="1" ph="1" x14ac:dyDescent="0.35">
      <c r="A3082" s="107" ph="1"/>
      <c r="B3082" s="18" t="s" ph="1">
        <v>1622</v>
      </c>
      <c r="C3082" s="19" t="s" ph="1">
        <v>8023</v>
      </c>
      <c r="D3082" s="124" ph="1">
        <v>6</v>
      </c>
      <c r="E3082" s="124" ph="1">
        <v>15</v>
      </c>
      <c r="G3082" s="19" t="s" ph="1">
        <v>1574</v>
      </c>
      <c r="H3082" s="19" t="s" ph="1">
        <v>2987</v>
      </c>
      <c r="I3082" s="19" t="s" ph="1">
        <v>9402</v>
      </c>
      <c r="M3082" s="27" t="str" ph="1">
        <f>IFERROR(INDEX([1]!_born[生没年],
MATCH(I3082,[1]!_born[作],0)),"")</f>
        <v/>
      </c>
      <c r="N3082" s="27" t="str" ph="1">
        <f>IFERROR(INDEX([1]!_born[生没年],
MATCH(K3082,[1]!_born[作],0)),"")</f>
        <v/>
      </c>
      <c r="O3082" s="19" t="s" ph="1">
        <v>9425</v>
      </c>
      <c r="R3082" s="20" ph="1"/>
      <c r="S3082" s="19" t="s" ph="1">
        <v>9393</v>
      </c>
      <c r="U3082" s="20" ph="1"/>
      <c r="V3082" s="21" ph="1"/>
      <c r="W3082" s="21" ph="1"/>
      <c r="Y3082" s="19" t="s" ph="1">
        <v>9426</v>
      </c>
    </row>
    <row r="3083" spans="1:25" s="19" customFormat="1" ht="22.5" customHeight="1" ph="1" x14ac:dyDescent="0.35">
      <c r="A3083" s="107" ph="1"/>
      <c r="B3083" s="18" t="s" ph="1">
        <v>1622</v>
      </c>
      <c r="C3083" s="19" t="s" ph="1">
        <v>8023</v>
      </c>
      <c r="D3083" s="124" ph="1">
        <v>7</v>
      </c>
      <c r="E3083" s="124" ph="1">
        <v>15</v>
      </c>
      <c r="G3083" s="19" t="s" ph="1">
        <v>1574</v>
      </c>
      <c r="H3083" s="19" t="s" ph="1">
        <v>2987</v>
      </c>
      <c r="I3083" s="19" t="s" ph="1">
        <v>9402</v>
      </c>
      <c r="M3083" s="27" t="str" ph="1">
        <f>IFERROR(INDEX([1]!_born[生没年],
MATCH(I3083,[1]!_born[作],0)),"")</f>
        <v/>
      </c>
      <c r="N3083" s="27" t="str" ph="1">
        <f>IFERROR(INDEX([1]!_born[生没年],
MATCH(K3083,[1]!_born[作],0)),"")</f>
        <v/>
      </c>
      <c r="O3083" s="19" t="s" ph="1">
        <v>9425</v>
      </c>
      <c r="R3083" s="20" ph="1"/>
      <c r="S3083" s="19" t="s" ph="1">
        <v>9393</v>
      </c>
      <c r="U3083" s="20" ph="1"/>
      <c r="V3083" s="21" ph="1"/>
      <c r="W3083" s="21" ph="1"/>
      <c r="Y3083" s="19" t="s" ph="1">
        <v>9426</v>
      </c>
    </row>
    <row r="3084" spans="1:25" s="19" customFormat="1" ht="22.5" customHeight="1" ph="1" x14ac:dyDescent="0.35">
      <c r="A3084" s="107" ph="1"/>
      <c r="B3084" s="18" t="s" ph="1">
        <v>1622</v>
      </c>
      <c r="C3084" s="19" t="s" ph="1">
        <v>8023</v>
      </c>
      <c r="D3084" s="124" ph="1">
        <v>8</v>
      </c>
      <c r="E3084" s="124" ph="1">
        <v>15</v>
      </c>
      <c r="G3084" s="19" t="s" ph="1">
        <v>1574</v>
      </c>
      <c r="H3084" s="19" t="s" ph="1">
        <v>2987</v>
      </c>
      <c r="I3084" s="19" t="s" ph="1">
        <v>9402</v>
      </c>
      <c r="M3084" s="27" t="str" ph="1">
        <f>IFERROR(INDEX([1]!_born[生没年],
MATCH(I3084,[1]!_born[作],0)),"")</f>
        <v/>
      </c>
      <c r="N3084" s="27" t="str" ph="1">
        <f>IFERROR(INDEX([1]!_born[生没年],
MATCH(K3084,[1]!_born[作],0)),"")</f>
        <v/>
      </c>
      <c r="O3084" s="19" t="s" ph="1">
        <v>9425</v>
      </c>
      <c r="R3084" s="20" ph="1"/>
      <c r="S3084" s="19" t="s" ph="1">
        <v>9393</v>
      </c>
      <c r="U3084" s="20" ph="1"/>
      <c r="V3084" s="21" ph="1"/>
      <c r="W3084" s="21" ph="1"/>
      <c r="Y3084" s="19" t="s" ph="1">
        <v>9426</v>
      </c>
    </row>
    <row r="3085" spans="1:25" s="19" customFormat="1" ht="22.5" customHeight="1" ph="1" x14ac:dyDescent="0.35">
      <c r="A3085" s="107" ph="1"/>
      <c r="B3085" s="18" t="s" ph="1">
        <v>1622</v>
      </c>
      <c r="C3085" s="19" t="s" ph="1">
        <v>8023</v>
      </c>
      <c r="D3085" s="124" ph="1">
        <v>9</v>
      </c>
      <c r="E3085" s="124" ph="1">
        <v>15</v>
      </c>
      <c r="G3085" s="19" t="s" ph="1">
        <v>1574</v>
      </c>
      <c r="H3085" s="19" t="s" ph="1">
        <v>2987</v>
      </c>
      <c r="I3085" s="19" t="s" ph="1">
        <v>9402</v>
      </c>
      <c r="M3085" s="27" t="str" ph="1">
        <f>IFERROR(INDEX([1]!_born[生没年],
MATCH(I3085,[1]!_born[作],0)),"")</f>
        <v/>
      </c>
      <c r="N3085" s="27" t="str" ph="1">
        <f>IFERROR(INDEX([1]!_born[生没年],
MATCH(K3085,[1]!_born[作],0)),"")</f>
        <v/>
      </c>
      <c r="O3085" s="19" t="s" ph="1">
        <v>9425</v>
      </c>
      <c r="R3085" s="20" ph="1"/>
      <c r="S3085" s="19" t="s" ph="1">
        <v>9393</v>
      </c>
      <c r="U3085" s="20" ph="1"/>
      <c r="V3085" s="21" ph="1"/>
      <c r="W3085" s="21" ph="1"/>
      <c r="Y3085" s="19" t="s" ph="1">
        <v>9426</v>
      </c>
    </row>
    <row r="3086" spans="1:25" s="19" customFormat="1" ht="22.5" customHeight="1" ph="1" x14ac:dyDescent="0.35">
      <c r="A3086" s="107" ph="1"/>
      <c r="B3086" s="18" t="s" ph="1">
        <v>1622</v>
      </c>
      <c r="C3086" s="19" t="s" ph="1">
        <v>8023</v>
      </c>
      <c r="D3086" s="124" ph="1">
        <v>10</v>
      </c>
      <c r="E3086" s="124" ph="1">
        <v>15</v>
      </c>
      <c r="G3086" s="19" t="s" ph="1">
        <v>1574</v>
      </c>
      <c r="H3086" s="19" t="s" ph="1">
        <v>2987</v>
      </c>
      <c r="I3086" s="19" t="s" ph="1">
        <v>9402</v>
      </c>
      <c r="M3086" s="27" t="str" ph="1">
        <f>IFERROR(INDEX([1]!_born[生没年],
MATCH(I3086,[1]!_born[作],0)),"")</f>
        <v/>
      </c>
      <c r="N3086" s="27" t="str" ph="1">
        <f>IFERROR(INDEX([1]!_born[生没年],
MATCH(K3086,[1]!_born[作],0)),"")</f>
        <v/>
      </c>
      <c r="O3086" s="19" t="s" ph="1">
        <v>9425</v>
      </c>
      <c r="R3086" s="20" ph="1"/>
      <c r="S3086" s="19" t="s" ph="1">
        <v>9393</v>
      </c>
      <c r="U3086" s="20" ph="1"/>
      <c r="V3086" s="21" ph="1"/>
      <c r="W3086" s="21" ph="1"/>
      <c r="Y3086" s="19" t="s" ph="1">
        <v>9426</v>
      </c>
    </row>
    <row r="3087" spans="1:25" s="19" customFormat="1" ht="22.5" customHeight="1" ph="1" x14ac:dyDescent="0.35">
      <c r="A3087" s="107" ph="1"/>
      <c r="B3087" s="18" t="s" ph="1">
        <v>1622</v>
      </c>
      <c r="C3087" s="19" t="s" ph="1">
        <v>8023</v>
      </c>
      <c r="D3087" s="124" ph="1">
        <v>11</v>
      </c>
      <c r="E3087" s="124" ph="1">
        <v>15</v>
      </c>
      <c r="G3087" s="19" t="s" ph="1">
        <v>1574</v>
      </c>
      <c r="H3087" s="19" t="s" ph="1">
        <v>2987</v>
      </c>
      <c r="I3087" s="19" t="s" ph="1">
        <v>9402</v>
      </c>
      <c r="M3087" s="27" t="str" ph="1">
        <f>IFERROR(INDEX([1]!_born[生没年],
MATCH(I3087,[1]!_born[作],0)),"")</f>
        <v/>
      </c>
      <c r="N3087" s="27" t="str" ph="1">
        <f>IFERROR(INDEX([1]!_born[生没年],
MATCH(K3087,[1]!_born[作],0)),"")</f>
        <v/>
      </c>
      <c r="O3087" s="19" t="s" ph="1">
        <v>9425</v>
      </c>
      <c r="R3087" s="20" ph="1"/>
      <c r="S3087" s="19" t="s" ph="1">
        <v>9393</v>
      </c>
      <c r="U3087" s="20" ph="1"/>
      <c r="V3087" s="21" ph="1"/>
      <c r="W3087" s="21" ph="1"/>
      <c r="Y3087" s="19" t="s" ph="1">
        <v>9426</v>
      </c>
    </row>
    <row r="3088" spans="1:25" s="19" customFormat="1" ht="22.5" customHeight="1" ph="1" x14ac:dyDescent="0.35">
      <c r="A3088" s="107" ph="1"/>
      <c r="B3088" s="18" t="s" ph="1">
        <v>1622</v>
      </c>
      <c r="C3088" s="19" t="s" ph="1">
        <v>8023</v>
      </c>
      <c r="D3088" s="124" ph="1">
        <v>12</v>
      </c>
      <c r="E3088" s="124" ph="1">
        <v>15</v>
      </c>
      <c r="G3088" s="19" t="s" ph="1">
        <v>1574</v>
      </c>
      <c r="H3088" s="19" t="s" ph="1">
        <v>2987</v>
      </c>
      <c r="I3088" s="19" t="s" ph="1">
        <v>9402</v>
      </c>
      <c r="M3088" s="27" t="str" ph="1">
        <f>IFERROR(INDEX([1]!_born[生没年],
MATCH(I3088,[1]!_born[作],0)),"")</f>
        <v/>
      </c>
      <c r="N3088" s="27" t="str" ph="1">
        <f>IFERROR(INDEX([1]!_born[生没年],
MATCH(K3088,[1]!_born[作],0)),"")</f>
        <v/>
      </c>
      <c r="O3088" s="19" t="s" ph="1">
        <v>9425</v>
      </c>
      <c r="R3088" s="20" ph="1"/>
      <c r="S3088" s="19" t="s" ph="1">
        <v>9393</v>
      </c>
      <c r="U3088" s="20" ph="1"/>
      <c r="V3088" s="21" ph="1"/>
      <c r="W3088" s="21" ph="1"/>
      <c r="Y3088" s="19" t="s" ph="1">
        <v>9426</v>
      </c>
    </row>
    <row r="3089" spans="1:25" s="19" customFormat="1" ht="22.5" customHeight="1" ph="1" x14ac:dyDescent="0.35">
      <c r="A3089" s="107" ph="1"/>
      <c r="B3089" s="18" t="s" ph="1">
        <v>1622</v>
      </c>
      <c r="C3089" s="19" t="s" ph="1">
        <v>8023</v>
      </c>
      <c r="D3089" s="124" ph="1">
        <v>13</v>
      </c>
      <c r="E3089" s="124" ph="1">
        <v>15</v>
      </c>
      <c r="G3089" s="19" t="s" ph="1">
        <v>1574</v>
      </c>
      <c r="H3089" s="19" t="s" ph="1">
        <v>2987</v>
      </c>
      <c r="I3089" s="19" t="s" ph="1">
        <v>9402</v>
      </c>
      <c r="M3089" s="27" t="str" ph="1">
        <f>IFERROR(INDEX([1]!_born[生没年],
MATCH(I3089,[1]!_born[作],0)),"")</f>
        <v/>
      </c>
      <c r="N3089" s="27" t="str" ph="1">
        <f>IFERROR(INDEX([1]!_born[生没年],
MATCH(K3089,[1]!_born[作],0)),"")</f>
        <v/>
      </c>
      <c r="O3089" s="19" t="s" ph="1">
        <v>9425</v>
      </c>
      <c r="R3089" s="20" ph="1"/>
      <c r="S3089" s="19" t="s" ph="1">
        <v>9393</v>
      </c>
      <c r="U3089" s="20" ph="1"/>
      <c r="V3089" s="21" ph="1"/>
      <c r="W3089" s="21" ph="1"/>
      <c r="Y3089" s="19" t="s" ph="1">
        <v>9426</v>
      </c>
    </row>
    <row r="3090" spans="1:25" s="19" customFormat="1" ht="22.5" customHeight="1" ph="1" x14ac:dyDescent="0.35">
      <c r="A3090" s="107" ph="1"/>
      <c r="B3090" s="18" t="s" ph="1">
        <v>1622</v>
      </c>
      <c r="C3090" s="19" t="s" ph="1">
        <v>8023</v>
      </c>
      <c r="D3090" s="124" ph="1">
        <v>14</v>
      </c>
      <c r="E3090" s="124" ph="1">
        <v>15</v>
      </c>
      <c r="G3090" s="19" t="s" ph="1">
        <v>1574</v>
      </c>
      <c r="H3090" s="19" t="s" ph="1">
        <v>2987</v>
      </c>
      <c r="I3090" s="19" t="s" ph="1">
        <v>9402</v>
      </c>
      <c r="M3090" s="27" t="str" ph="1">
        <f>IFERROR(INDEX([1]!_born[生没年],
MATCH(I3090,[1]!_born[作],0)),"")</f>
        <v/>
      </c>
      <c r="N3090" s="27" t="str" ph="1">
        <f>IFERROR(INDEX([1]!_born[生没年],
MATCH(K3090,[1]!_born[作],0)),"")</f>
        <v/>
      </c>
      <c r="O3090" s="19" t="s" ph="1">
        <v>9425</v>
      </c>
      <c r="R3090" s="20" ph="1"/>
      <c r="S3090" s="19" t="s" ph="1">
        <v>9393</v>
      </c>
      <c r="U3090" s="20" ph="1"/>
      <c r="V3090" s="21" ph="1"/>
      <c r="W3090" s="21" ph="1"/>
      <c r="Y3090" s="19" t="s" ph="1">
        <v>9426</v>
      </c>
    </row>
    <row r="3091" spans="1:25" s="19" customFormat="1" ht="22.5" customHeight="1" ph="1" x14ac:dyDescent="0.35">
      <c r="A3091" s="107" ph="1"/>
      <c r="B3091" s="18" t="s" ph="1">
        <v>1622</v>
      </c>
      <c r="C3091" s="19" t="s" ph="1">
        <v>8023</v>
      </c>
      <c r="D3091" s="124" ph="1">
        <v>15</v>
      </c>
      <c r="E3091" s="124" ph="1">
        <v>15</v>
      </c>
      <c r="G3091" s="19" t="s" ph="1">
        <v>1574</v>
      </c>
      <c r="H3091" s="19" t="s" ph="1">
        <v>2987</v>
      </c>
      <c r="I3091" s="19" t="s" ph="1">
        <v>9402</v>
      </c>
      <c r="M3091" s="27" t="str" ph="1">
        <f>IFERROR(INDEX([1]!_born[生没年],
MATCH(I3091,[1]!_born[作],0)),"")</f>
        <v/>
      </c>
      <c r="N3091" s="27" t="str" ph="1">
        <f>IFERROR(INDEX([1]!_born[生没年],
MATCH(K3091,[1]!_born[作],0)),"")</f>
        <v/>
      </c>
      <c r="O3091" s="19" t="s" ph="1">
        <v>9425</v>
      </c>
      <c r="R3091" s="20" ph="1"/>
      <c r="S3091" s="19" t="s" ph="1">
        <v>9393</v>
      </c>
      <c r="U3091" s="20" ph="1"/>
      <c r="V3091" s="21" ph="1"/>
      <c r="W3091" s="21" ph="1"/>
      <c r="Y3091" s="19" t="s" ph="1">
        <v>9426</v>
      </c>
    </row>
    <row r="3092" spans="1:25" ht="22.5" customHeight="1" ph="1" x14ac:dyDescent="0.35">
      <c r="B3092" s="5" t="s" ph="1">
        <v>1622</v>
      </c>
      <c r="C3092" s="13" t="s" ph="1">
        <v>7591</v>
      </c>
      <c r="G3092" s="13" t="s" ph="1">
        <v>699</v>
      </c>
      <c r="H3092" s="13" t="s" ph="1">
        <v>2987</v>
      </c>
      <c r="I3092" s="13" t="s" ph="1">
        <v>6473</v>
      </c>
      <c r="M3092" s="14" t="str" ph="1">
        <f>IFERROR(INDEX([1]!_born[生没年],
MATCH(I3092,[1]!_born[作],0)),"")</f>
        <v/>
      </c>
      <c r="N3092" s="14" t="str" ph="1">
        <f>IFERROR(INDEX([1]!_born[生没年],
MATCH(K3092,[1]!_born[作],0)),"")</f>
        <v/>
      </c>
      <c r="O3092" s="13" t="s" ph="1">
        <v>9427</v>
      </c>
      <c r="T3092" s="13" t="s" ph="1">
        <v>9409</v>
      </c>
      <c r="U3092" s="16" ph="1">
        <v>39327</v>
      </c>
      <c r="W3092" s="17" ph="1">
        <v>350</v>
      </c>
      <c r="X3092" s="13" t="s" ph="1">
        <v>9428</v>
      </c>
    </row>
    <row r="3093" spans="1:25" ht="22.5" customHeight="1" ph="1" x14ac:dyDescent="0.35">
      <c r="A3093" s="106" t="s" ph="1">
        <v>2942</v>
      </c>
      <c r="B3093" s="5" t="s" ph="1">
        <v>1622</v>
      </c>
      <c r="C3093" s="13" t="s" ph="1">
        <v>7591</v>
      </c>
      <c r="G3093" s="13" t="s" ph="1">
        <v>1574</v>
      </c>
      <c r="H3093" s="13" t="s" ph="1">
        <v>2987</v>
      </c>
      <c r="I3093" s="13" t="s" ph="1">
        <v>6473</v>
      </c>
      <c r="M3093" s="14" t="str" ph="1">
        <f>IFERROR(INDEX([1]!_born[生没年],
MATCH(I3093,[1]!_born[作],0)),"")</f>
        <v/>
      </c>
      <c r="N3093" s="14" t="str" ph="1">
        <f>IFERROR(INDEX([1]!_born[生没年],
MATCH(K3093,[1]!_born[作],0)),"")</f>
        <v/>
      </c>
      <c r="O3093" s="13" t="s" ph="1">
        <v>9429</v>
      </c>
      <c r="R3093" s="16" t="s" ph="1">
        <v>2943</v>
      </c>
      <c r="T3093" s="13" t="s" ph="1">
        <v>7949</v>
      </c>
      <c r="U3093" s="16" ph="1">
        <v>42744</v>
      </c>
      <c r="W3093" s="17" ph="1">
        <f>108-22</f>
        <v>86</v>
      </c>
      <c r="X3093" s="13" t="s" ph="1">
        <v>9430</v>
      </c>
    </row>
    <row r="3094" spans="1:25" ht="22.5" customHeight="1" ph="1" x14ac:dyDescent="0.35">
      <c r="A3094" s="106" t="s" ph="1">
        <v>1715</v>
      </c>
      <c r="B3094" s="5" t="s" ph="1">
        <v>1622</v>
      </c>
      <c r="C3094" s="13" t="s" ph="1">
        <v>7591</v>
      </c>
      <c r="G3094" s="13" t="s" ph="1">
        <v>1574</v>
      </c>
      <c r="H3094" s="13" t="s" ph="1">
        <v>2987</v>
      </c>
      <c r="I3094" s="13" t="s" ph="1">
        <v>9431</v>
      </c>
      <c r="K3094" s="13" t="s" ph="1">
        <v>4880</v>
      </c>
      <c r="L3094" s="13" t="s" ph="1">
        <v>3616</v>
      </c>
      <c r="M3094" s="14" t="str" ph="1">
        <f>IFERROR(INDEX([1]!_born[生没年],
MATCH(I3094,[1]!_born[作],0)),"")</f>
        <v/>
      </c>
      <c r="N3094" s="14" t="str" ph="1">
        <f>IFERROR(INDEX([1]!_born[生没年],
MATCH(K3094,[1]!_born[作],0)),"")</f>
        <v/>
      </c>
      <c r="O3094" s="13" t="s" ph="1">
        <v>9432</v>
      </c>
      <c r="R3094" s="90" ph="1"/>
      <c r="S3094" s="30" t="s" ph="1">
        <v>9433</v>
      </c>
      <c r="T3094" s="13" t="s" ph="1">
        <v>9434</v>
      </c>
      <c r="U3094" s="16" ph="1">
        <v>36661</v>
      </c>
      <c r="V3094" s="17" ph="1">
        <f>825*1.03</f>
        <v>849.75</v>
      </c>
      <c r="W3094" s="17" ph="1">
        <v>450</v>
      </c>
      <c r="Y3094" s="13" t="s" ph="1">
        <v>1716</v>
      </c>
    </row>
    <row r="3095" spans="1:25" ht="22.5" customHeight="1" ph="1" x14ac:dyDescent="0.35">
      <c r="A3095" s="106" t="s" ph="1">
        <v>1701</v>
      </c>
      <c r="B3095" s="5" t="s" ph="1">
        <v>1622</v>
      </c>
      <c r="C3095" s="13" t="s" ph="1">
        <v>7591</v>
      </c>
      <c r="D3095" s="123" ph="1">
        <v>1</v>
      </c>
      <c r="E3095" s="123" ph="1">
        <v>2</v>
      </c>
      <c r="G3095" s="13" t="s" ph="1">
        <v>1574</v>
      </c>
      <c r="H3095" s="13" t="s" ph="1">
        <v>2987</v>
      </c>
      <c r="I3095" s="13" t="s" ph="1">
        <v>9435</v>
      </c>
      <c r="M3095" s="14" t="str" ph="1">
        <f>IFERROR(INDEX([1]!_born[生没年],
MATCH(I3095,[1]!_born[作],0)),"")</f>
        <v/>
      </c>
      <c r="N3095" s="14" t="str" ph="1">
        <f>IFERROR(INDEX([1]!_born[生没年],
MATCH(K3095,[1]!_born[作],0)),"")</f>
        <v/>
      </c>
      <c r="O3095" s="13" t="s" ph="1">
        <v>9436</v>
      </c>
      <c r="V3095" s="17" ph="1">
        <f>840*1.05</f>
        <v>882</v>
      </c>
    </row>
    <row r="3096" spans="1:25" ht="22.5" customHeight="1" ph="1" x14ac:dyDescent="0.35">
      <c r="A3096" s="106" t="s" ph="1">
        <v>1702</v>
      </c>
      <c r="B3096" s="5" t="s" ph="1">
        <v>1622</v>
      </c>
      <c r="C3096" s="13" t="s" ph="1">
        <v>7591</v>
      </c>
      <c r="D3096" s="123" ph="1">
        <v>2</v>
      </c>
      <c r="E3096" s="123" ph="1">
        <v>2</v>
      </c>
      <c r="G3096" s="13" t="s" ph="1">
        <v>1574</v>
      </c>
      <c r="H3096" s="13" t="s" ph="1">
        <v>2987</v>
      </c>
      <c r="I3096" s="13" t="s" ph="1">
        <v>9435</v>
      </c>
      <c r="M3096" s="14" t="str" ph="1">
        <f>IFERROR(INDEX([1]!_born[生没年],
MATCH(I3096,[1]!_born[作],0)),"")</f>
        <v/>
      </c>
      <c r="N3096" s="14" t="str" ph="1">
        <f>IFERROR(INDEX([1]!_born[生没年],
MATCH(K3096,[1]!_born[作],0)),"")</f>
        <v/>
      </c>
      <c r="O3096" s="13" t="s" ph="1">
        <v>9436</v>
      </c>
      <c r="V3096" s="17" ph="1">
        <f>840*1.05</f>
        <v>882</v>
      </c>
    </row>
    <row r="3097" spans="1:25" ht="22.5" customHeight="1" ph="1" x14ac:dyDescent="0.35">
      <c r="A3097" s="106" t="s" ph="1">
        <v>1707</v>
      </c>
      <c r="B3097" s="5" t="s" ph="1">
        <v>1622</v>
      </c>
      <c r="C3097" s="13" t="s" ph="1">
        <v>7591</v>
      </c>
      <c r="D3097" s="123" ph="1">
        <v>1</v>
      </c>
      <c r="E3097" s="123" ph="1">
        <v>2</v>
      </c>
      <c r="G3097" s="13" t="s" ph="1">
        <v>1574</v>
      </c>
      <c r="H3097" s="13" t="s" ph="1">
        <v>2987</v>
      </c>
      <c r="I3097" s="13" t="s" ph="1">
        <v>9435</v>
      </c>
      <c r="M3097" s="14" t="str" ph="1">
        <f>IFERROR(INDEX([1]!_born[生没年],
MATCH(I3097,[1]!_born[作],0)),"")</f>
        <v/>
      </c>
      <c r="N3097" s="14" t="str" ph="1">
        <f>IFERROR(INDEX([1]!_born[生没年],
MATCH(K3097,[1]!_born[作],0)),"")</f>
        <v/>
      </c>
      <c r="O3097" s="15" t="s" ph="1">
        <v>9437</v>
      </c>
      <c r="V3097" s="17" ph="1">
        <f>563*1.03</f>
        <v>579.89</v>
      </c>
    </row>
    <row r="3098" spans="1:25" ht="22.5" customHeight="1" ph="1" x14ac:dyDescent="0.35">
      <c r="A3098" s="106" t="s" ph="1">
        <v>1708</v>
      </c>
      <c r="B3098" s="5" t="s" ph="1">
        <v>1622</v>
      </c>
      <c r="C3098" s="13" t="s" ph="1">
        <v>7591</v>
      </c>
      <c r="D3098" s="123" ph="1">
        <v>2</v>
      </c>
      <c r="E3098" s="123" ph="1">
        <v>2</v>
      </c>
      <c r="G3098" s="13" t="s" ph="1">
        <v>1574</v>
      </c>
      <c r="H3098" s="13" t="s" ph="1">
        <v>2987</v>
      </c>
      <c r="I3098" s="13" t="s" ph="1">
        <v>9435</v>
      </c>
      <c r="M3098" s="14" t="str" ph="1">
        <f>IFERROR(INDEX([1]!_born[生没年],
MATCH(I3098,[1]!_born[作],0)),"")</f>
        <v/>
      </c>
      <c r="N3098" s="14" t="str" ph="1">
        <f>IFERROR(INDEX([1]!_born[生没年],
MATCH(K3098,[1]!_born[作],0)),"")</f>
        <v/>
      </c>
      <c r="O3098" s="15" t="s" ph="1">
        <v>9437</v>
      </c>
      <c r="V3098" s="17" ph="1">
        <f>563*1.03</f>
        <v>579.89</v>
      </c>
    </row>
    <row r="3099" spans="1:25" ht="22.5" customHeight="1" ph="1" x14ac:dyDescent="0.35">
      <c r="A3099" s="106" t="s" ph="1">
        <v>1703</v>
      </c>
      <c r="B3099" s="5" t="s" ph="1">
        <v>1622</v>
      </c>
      <c r="C3099" s="13" t="s" ph="1">
        <v>7591</v>
      </c>
      <c r="D3099" s="123" ph="1">
        <v>1</v>
      </c>
      <c r="E3099" s="123" ph="1">
        <v>4</v>
      </c>
      <c r="G3099" s="13" t="s" ph="1">
        <v>1574</v>
      </c>
      <c r="H3099" s="13" t="s" ph="1">
        <v>2987</v>
      </c>
      <c r="I3099" s="13" t="s" ph="1">
        <v>9435</v>
      </c>
      <c r="M3099" s="14" t="str" ph="1">
        <f>IFERROR(INDEX([1]!_born[生没年],
MATCH(I3099,[1]!_born[作],0)),"")</f>
        <v/>
      </c>
      <c r="N3099" s="14" t="str" ph="1">
        <f>IFERROR(INDEX([1]!_born[生没年],
MATCH(K3099,[1]!_born[作],0)),"")</f>
        <v/>
      </c>
      <c r="O3099" s="15" t="s" ph="1">
        <v>9438</v>
      </c>
      <c r="V3099" s="17" ph="1">
        <f>583*1.03</f>
        <v>600.49</v>
      </c>
    </row>
    <row r="3100" spans="1:25" s="19" customFormat="1" ht="22.5" customHeight="1" ph="1" x14ac:dyDescent="0.35">
      <c r="A3100" s="106" t="s" ph="1">
        <v>1704</v>
      </c>
      <c r="B3100" s="5" t="s" ph="1">
        <v>1622</v>
      </c>
      <c r="C3100" s="13" t="s" ph="1">
        <v>7591</v>
      </c>
      <c r="D3100" s="123" ph="1">
        <v>2</v>
      </c>
      <c r="E3100" s="123" ph="1">
        <v>4</v>
      </c>
      <c r="F3100" s="13" ph="1"/>
      <c r="G3100" s="13" t="s" ph="1">
        <v>1574</v>
      </c>
      <c r="H3100" s="13" t="s" ph="1">
        <v>2987</v>
      </c>
      <c r="I3100" s="13" t="s" ph="1">
        <v>9435</v>
      </c>
      <c r="J3100" s="13" ph="1"/>
      <c r="K3100" s="13" ph="1"/>
      <c r="L3100" s="13" ph="1"/>
      <c r="M3100" s="14" t="str" ph="1">
        <f>IFERROR(INDEX([1]!_born[生没年],
MATCH(I3100,[1]!_born[作],0)),"")</f>
        <v/>
      </c>
      <c r="N3100" s="14" t="str" ph="1">
        <f>IFERROR(INDEX([1]!_born[生没年],
MATCH(K3100,[1]!_born[作],0)),"")</f>
        <v/>
      </c>
      <c r="O3100" s="15" t="s" ph="1">
        <v>9438</v>
      </c>
      <c r="P3100" s="13" ph="1"/>
      <c r="Q3100" s="13" ph="1"/>
      <c r="R3100" s="16" ph="1"/>
      <c r="S3100" s="13" ph="1"/>
      <c r="T3100" s="13" ph="1"/>
      <c r="U3100" s="16" ph="1"/>
      <c r="V3100" s="17" ph="1">
        <f>583*1.03</f>
        <v>600.49</v>
      </c>
      <c r="W3100" s="17" ph="1"/>
      <c r="X3100" s="13" ph="1"/>
      <c r="Y3100" s="13" ph="1"/>
    </row>
    <row r="3101" spans="1:25" s="19" customFormat="1" ht="22.5" customHeight="1" ph="1" x14ac:dyDescent="0.35">
      <c r="A3101" s="106" t="s" ph="1">
        <v>1705</v>
      </c>
      <c r="B3101" s="5" t="s" ph="1">
        <v>1622</v>
      </c>
      <c r="C3101" s="13" t="s" ph="1">
        <v>7591</v>
      </c>
      <c r="D3101" s="123" ph="1">
        <v>3</v>
      </c>
      <c r="E3101" s="123" ph="1">
        <v>4</v>
      </c>
      <c r="F3101" s="13" ph="1"/>
      <c r="G3101" s="13" t="s" ph="1">
        <v>1574</v>
      </c>
      <c r="H3101" s="13" t="s" ph="1">
        <v>2987</v>
      </c>
      <c r="I3101" s="13" t="s" ph="1">
        <v>9435</v>
      </c>
      <c r="J3101" s="13" ph="1"/>
      <c r="K3101" s="13" ph="1"/>
      <c r="L3101" s="13" ph="1"/>
      <c r="M3101" s="14" t="str" ph="1">
        <f>IFERROR(INDEX([1]!_born[生没年],
MATCH(I3101,[1]!_born[作],0)),"")</f>
        <v/>
      </c>
      <c r="N3101" s="14" t="str" ph="1">
        <f>IFERROR(INDEX([1]!_born[生没年],
MATCH(K3101,[1]!_born[作],0)),"")</f>
        <v/>
      </c>
      <c r="O3101" s="15" t="s" ph="1">
        <v>9438</v>
      </c>
      <c r="P3101" s="13" ph="1"/>
      <c r="Q3101" s="13" ph="1"/>
      <c r="R3101" s="16" ph="1"/>
      <c r="S3101" s="13" ph="1"/>
      <c r="T3101" s="13" ph="1"/>
      <c r="U3101" s="16" ph="1"/>
      <c r="V3101" s="17" ph="1">
        <f>583*1.03</f>
        <v>600.49</v>
      </c>
      <c r="W3101" s="17" ph="1"/>
      <c r="X3101" s="13" ph="1"/>
      <c r="Y3101" s="13" ph="1"/>
    </row>
    <row r="3102" spans="1:25" s="19" customFormat="1" ht="22.5" customHeight="1" ph="1" x14ac:dyDescent="0.35">
      <c r="A3102" s="106" t="s" ph="1">
        <v>1706</v>
      </c>
      <c r="B3102" s="5" t="s" ph="1">
        <v>1622</v>
      </c>
      <c r="C3102" s="13" t="s" ph="1">
        <v>7591</v>
      </c>
      <c r="D3102" s="123" ph="1">
        <v>4</v>
      </c>
      <c r="E3102" s="123" ph="1">
        <v>4</v>
      </c>
      <c r="F3102" s="13" ph="1"/>
      <c r="G3102" s="13" t="s" ph="1">
        <v>1574</v>
      </c>
      <c r="H3102" s="13" t="s" ph="1">
        <v>2987</v>
      </c>
      <c r="I3102" s="13" t="s" ph="1">
        <v>9435</v>
      </c>
      <c r="J3102" s="13" ph="1"/>
      <c r="K3102" s="13" ph="1"/>
      <c r="L3102" s="13" ph="1"/>
      <c r="M3102" s="14" t="str" ph="1">
        <f>IFERROR(INDEX([1]!_born[生没年],
MATCH(I3102,[1]!_born[作],0)),"")</f>
        <v/>
      </c>
      <c r="N3102" s="14" t="str" ph="1">
        <f>IFERROR(INDEX([1]!_born[生没年],
MATCH(K3102,[1]!_born[作],0)),"")</f>
        <v/>
      </c>
      <c r="O3102" s="15" t="s" ph="1">
        <v>9438</v>
      </c>
      <c r="P3102" s="13" ph="1"/>
      <c r="Q3102" s="13" ph="1"/>
      <c r="R3102" s="16" ph="1"/>
      <c r="S3102" s="13" ph="1"/>
      <c r="T3102" s="13" ph="1"/>
      <c r="U3102" s="16" ph="1"/>
      <c r="V3102" s="17" ph="1">
        <f>583*1.03</f>
        <v>600.49</v>
      </c>
      <c r="W3102" s="17" ph="1"/>
      <c r="X3102" s="13" ph="1"/>
      <c r="Y3102" s="13" ph="1"/>
    </row>
    <row r="3103" spans="1:25" s="19" customFormat="1" ht="22.5" customHeight="1" ph="1" x14ac:dyDescent="0.35">
      <c r="A3103" s="106" t="s" ph="1">
        <v>1659</v>
      </c>
      <c r="B3103" s="5" t="s" ph="1">
        <v>1622</v>
      </c>
      <c r="C3103" s="13" t="s" ph="1">
        <v>7591</v>
      </c>
      <c r="D3103" s="123" ph="1"/>
      <c r="E3103" s="123" ph="1"/>
      <c r="F3103" s="13" ph="1"/>
      <c r="G3103" s="13" t="s" ph="1">
        <v>1574</v>
      </c>
      <c r="H3103" s="13" t="s" ph="1">
        <v>2987</v>
      </c>
      <c r="I3103" s="13" t="s" ph="1">
        <v>9439</v>
      </c>
      <c r="J3103" s="13" ph="1"/>
      <c r="K3103" s="13" ph="1"/>
      <c r="L3103" s="13" ph="1"/>
      <c r="M3103" s="14" t="str" ph="1">
        <f>IFERROR(INDEX([1]!_born[生没年],
MATCH(I3103,[1]!_born[作],0)),"")</f>
        <v/>
      </c>
      <c r="N3103" s="14" t="str" ph="1">
        <f>IFERROR(INDEX([1]!_born[生没年],
MATCH(K3103,[1]!_born[作],0)),"")</f>
        <v/>
      </c>
      <c r="O3103" s="13" t="s" ph="1">
        <v>9440</v>
      </c>
      <c r="P3103" s="13" ph="1"/>
      <c r="Q3103" s="13" ph="1"/>
      <c r="R3103" s="16" ph="1"/>
      <c r="S3103" s="13" ph="1"/>
      <c r="T3103" s="13" t="s" ph="1">
        <v>9337</v>
      </c>
      <c r="U3103" s="16" ph="1"/>
      <c r="V3103" s="17" ph="1">
        <f>796*1.03</f>
        <v>819.88</v>
      </c>
      <c r="W3103" s="17" ph="1"/>
      <c r="X3103" s="13" ph="1"/>
      <c r="Y3103" s="13" ph="1"/>
    </row>
    <row r="3104" spans="1:25" s="19" customFormat="1" ht="22.5" customHeight="1" ph="1" x14ac:dyDescent="0.35">
      <c r="A3104" s="106" t="s" ph="1">
        <v>1658</v>
      </c>
      <c r="B3104" s="5" t="s" ph="1">
        <v>1622</v>
      </c>
      <c r="C3104" s="13" t="s" ph="1">
        <v>7591</v>
      </c>
      <c r="D3104" s="123" ph="1"/>
      <c r="E3104" s="123" ph="1"/>
      <c r="F3104" s="13" ph="1"/>
      <c r="G3104" s="13" t="s" ph="1">
        <v>1574</v>
      </c>
      <c r="H3104" s="13" t="s" ph="1">
        <v>2987</v>
      </c>
      <c r="I3104" s="13" t="s" ph="1">
        <v>9439</v>
      </c>
      <c r="J3104" s="13" ph="1"/>
      <c r="K3104" s="13" ph="1"/>
      <c r="L3104" s="13" ph="1"/>
      <c r="M3104" s="14" t="str" ph="1">
        <f>IFERROR(INDEX([1]!_born[生没年],
MATCH(I3104,[1]!_born[作],0)),"")</f>
        <v/>
      </c>
      <c r="N3104" s="14" t="str" ph="1">
        <f>IFERROR(INDEX([1]!_born[生没年],
MATCH(K3104,[1]!_born[作],0)),"")</f>
        <v/>
      </c>
      <c r="O3104" s="13" t="s" ph="1">
        <v>9441</v>
      </c>
      <c r="P3104" s="13" ph="1"/>
      <c r="Q3104" s="13" ph="1"/>
      <c r="R3104" s="16" ph="1"/>
      <c r="S3104" s="13" ph="1"/>
      <c r="T3104" s="13" t="s" ph="1">
        <v>9337</v>
      </c>
      <c r="U3104" s="16" t="s" ph="1">
        <v>1612</v>
      </c>
      <c r="V3104" s="17" ph="1">
        <f>563*1.03</f>
        <v>579.89</v>
      </c>
      <c r="W3104" s="17" ph="1"/>
      <c r="X3104" s="13" ph="1"/>
      <c r="Y3104" s="13" ph="1"/>
    </row>
    <row r="3105" spans="1:25" s="19" customFormat="1" ht="22.5" customHeight="1" ph="1" x14ac:dyDescent="0.35">
      <c r="A3105" s="106" ph="1"/>
      <c r="B3105" s="5" ph="1"/>
      <c r="C3105" s="13" t="s" ph="1">
        <v>7591</v>
      </c>
      <c r="D3105" s="123" ph="1"/>
      <c r="E3105" s="123" ph="1"/>
      <c r="F3105" s="13" ph="1"/>
      <c r="G3105" s="13" t="s" ph="1">
        <v>1574</v>
      </c>
      <c r="H3105" s="13" t="s" ph="1">
        <v>2987</v>
      </c>
      <c r="I3105" s="13" t="s" ph="1">
        <v>9442</v>
      </c>
      <c r="J3105" s="13" ph="1"/>
      <c r="K3105" s="13" ph="1"/>
      <c r="L3105" s="13" ph="1"/>
      <c r="M3105" s="14" t="str" ph="1">
        <f>IFERROR(INDEX([1]!_born[生没年],
MATCH(I3105,[1]!_born[作],0)),"")</f>
        <v/>
      </c>
      <c r="N3105" s="14" t="str" ph="1">
        <f>IFERROR(INDEX([1]!_born[生没年],
MATCH(K3105,[1]!_born[作],0)),"")</f>
        <v/>
      </c>
      <c r="O3105" s="13" t="s" ph="1">
        <v>9443</v>
      </c>
      <c r="P3105" s="13" ph="1"/>
      <c r="Q3105" s="13" ph="1"/>
      <c r="R3105" s="16" ph="1"/>
      <c r="S3105" s="13" ph="1"/>
      <c r="T3105" s="13" t="s" ph="1">
        <v>9383</v>
      </c>
      <c r="U3105" s="16" ph="1">
        <v>34837</v>
      </c>
      <c r="V3105" s="17" ph="1">
        <f>563*1.03</f>
        <v>579.89</v>
      </c>
      <c r="W3105" s="17" ph="1"/>
      <c r="X3105" s="13" t="s" ph="1">
        <v>1624</v>
      </c>
      <c r="Y3105" s="13" ph="1"/>
    </row>
    <row r="3106" spans="1:25" s="19" customFormat="1" ht="22.5" customHeight="1" ph="1" x14ac:dyDescent="0.35">
      <c r="A3106" s="106" t="s" ph="1">
        <v>1717</v>
      </c>
      <c r="B3106" s="5" ph="1"/>
      <c r="C3106" s="13" t="s" ph="1">
        <v>7591</v>
      </c>
      <c r="D3106" s="123" ph="1"/>
      <c r="E3106" s="123" ph="1"/>
      <c r="F3106" s="13" ph="1"/>
      <c r="G3106" s="13" t="s" ph="1">
        <v>1574</v>
      </c>
      <c r="H3106" s="13" t="s" ph="1">
        <v>2987</v>
      </c>
      <c r="I3106" s="13" t="s" ph="1">
        <v>9195</v>
      </c>
      <c r="J3106" s="13" t="s" ph="1">
        <v>9196</v>
      </c>
      <c r="K3106" s="13" t="s" ph="1">
        <v>9444</v>
      </c>
      <c r="L3106" s="13" t="s" ph="1">
        <v>3616</v>
      </c>
      <c r="M3106" s="14" t="str" ph="1">
        <f>IFERROR(INDEX([1]!_born[生没年],
MATCH(I3106,[1]!_born[作],0)),"")</f>
        <v/>
      </c>
      <c r="N3106" s="14" t="str" ph="1">
        <f>IFERROR(INDEX([1]!_born[生没年],
MATCH(K3106,[1]!_born[作],0)),"")</f>
        <v/>
      </c>
      <c r="O3106" s="13" t="s" ph="1">
        <v>9445</v>
      </c>
      <c r="P3106" s="13" ph="1"/>
      <c r="Q3106" s="13" ph="1"/>
      <c r="R3106" s="16" ph="1">
        <v>35796</v>
      </c>
      <c r="S3106" s="13" ph="1"/>
      <c r="T3106" s="13" t="s" ph="1">
        <v>3988</v>
      </c>
      <c r="U3106" s="16" ph="1">
        <v>39843</v>
      </c>
      <c r="V3106" s="17" ph="1"/>
      <c r="W3106" s="17" ph="1">
        <v>0</v>
      </c>
      <c r="X3106" s="13" t="s" ph="1">
        <v>9201</v>
      </c>
      <c r="Y3106" s="13" ph="1"/>
    </row>
    <row r="3107" spans="1:25" ht="22.5" customHeight="1" ph="1" x14ac:dyDescent="0.35">
      <c r="C3107" s="13" t="s" ph="1">
        <v>7591</v>
      </c>
      <c r="G3107" s="13" t="s" ph="1">
        <v>1574</v>
      </c>
      <c r="H3107" s="13" t="s" ph="1">
        <v>2987</v>
      </c>
      <c r="I3107" s="13" t="s" ph="1">
        <v>9195</v>
      </c>
      <c r="J3107" s="13" t="s" ph="1">
        <v>9196</v>
      </c>
      <c r="M3107" s="14" t="str" ph="1">
        <f>IFERROR(INDEX([1]!_born[生没年],
MATCH(I3107,[1]!_born[作],0)),"")</f>
        <v/>
      </c>
      <c r="N3107" s="14" t="str" ph="1">
        <f>IFERROR(INDEX([1]!_born[生没年],
MATCH(K3107,[1]!_born[作],0)),"")</f>
        <v/>
      </c>
      <c r="O3107" s="13" t="s" ph="1">
        <v>9446</v>
      </c>
      <c r="R3107" s="16" ph="1">
        <v>36100</v>
      </c>
      <c r="S3107" s="13" t="s" ph="1">
        <v>9308</v>
      </c>
      <c r="T3107" s="13" t="s" ph="1">
        <v>3988</v>
      </c>
      <c r="U3107" s="16" ph="1">
        <v>39843</v>
      </c>
      <c r="W3107" s="17" ph="1">
        <v>0</v>
      </c>
      <c r="X3107" s="13" t="s" ph="1">
        <v>9201</v>
      </c>
    </row>
    <row r="3108" spans="1:25" s="19" customFormat="1" ht="22.5" customHeight="1" ph="1" x14ac:dyDescent="0.35">
      <c r="A3108" s="107" t="s" ph="1">
        <v>1660</v>
      </c>
      <c r="B3108" s="18" t="s" ph="1">
        <v>1622</v>
      </c>
      <c r="C3108" s="19" t="s" ph="1">
        <v>8023</v>
      </c>
      <c r="D3108" s="124" ph="1">
        <v>1</v>
      </c>
      <c r="E3108" s="124" ph="1">
        <v>3</v>
      </c>
      <c r="G3108" s="19" t="s" ph="1">
        <v>1574</v>
      </c>
      <c r="H3108" s="19" t="s" ph="1">
        <v>2987</v>
      </c>
      <c r="I3108" s="19" t="s" ph="1">
        <v>9447</v>
      </c>
      <c r="M3108" s="27" t="str" ph="1">
        <f>IFERROR(INDEX([1]!_born[生没年],
MATCH(I3108,[1]!_born[作],0)),"")</f>
        <v/>
      </c>
      <c r="N3108" s="27" t="str" ph="1">
        <f>IFERROR(INDEX([1]!_born[生没年],
MATCH(K3108,[1]!_born[作],0)),"")</f>
        <v/>
      </c>
      <c r="O3108" s="19" t="s" ph="1">
        <v>9448</v>
      </c>
      <c r="R3108" s="20" ph="1"/>
      <c r="T3108" s="19" t="s" ph="1">
        <v>9449</v>
      </c>
      <c r="U3108" s="20" ph="1"/>
      <c r="V3108" s="21" ph="1">
        <f>602*1.03</f>
        <v>620.06000000000006</v>
      </c>
      <c r="W3108" s="21" ph="1"/>
    </row>
    <row r="3109" spans="1:25" s="19" customFormat="1" ht="22.5" customHeight="1" ph="1" x14ac:dyDescent="0.35">
      <c r="A3109" s="107" t="s" ph="1">
        <v>1661</v>
      </c>
      <c r="B3109" s="18" t="s" ph="1">
        <v>1622</v>
      </c>
      <c r="C3109" s="19" t="s" ph="1">
        <v>8023</v>
      </c>
      <c r="D3109" s="124" ph="1">
        <v>2</v>
      </c>
      <c r="E3109" s="124" ph="1">
        <v>3</v>
      </c>
      <c r="G3109" s="19" t="s" ph="1">
        <v>1574</v>
      </c>
      <c r="H3109" s="19" t="s" ph="1">
        <v>2987</v>
      </c>
      <c r="I3109" s="19" t="s" ph="1">
        <v>9447</v>
      </c>
      <c r="M3109" s="27" t="str" ph="1">
        <f>IFERROR(INDEX([1]!_born[生没年],
MATCH(I3109,[1]!_born[作],0)),"")</f>
        <v/>
      </c>
      <c r="N3109" s="27" t="str" ph="1">
        <f>IFERROR(INDEX([1]!_born[生没年],
MATCH(K3109,[1]!_born[作],0)),"")</f>
        <v/>
      </c>
      <c r="O3109" s="19" t="s" ph="1">
        <v>9448</v>
      </c>
      <c r="R3109" s="20" ph="1"/>
      <c r="T3109" s="19" t="s" ph="1">
        <v>9449</v>
      </c>
      <c r="U3109" s="20" ph="1"/>
      <c r="V3109" s="21" ph="1">
        <f>602*1.03</f>
        <v>620.06000000000006</v>
      </c>
      <c r="W3109" s="21" ph="1"/>
    </row>
    <row r="3110" spans="1:25" s="19" customFormat="1" ht="22.5" customHeight="1" ph="1" x14ac:dyDescent="0.35">
      <c r="A3110" s="107" t="s" ph="1">
        <v>1662</v>
      </c>
      <c r="B3110" s="18" t="s" ph="1">
        <v>1622</v>
      </c>
      <c r="C3110" s="19" t="s" ph="1">
        <v>8023</v>
      </c>
      <c r="D3110" s="124" ph="1">
        <v>3</v>
      </c>
      <c r="E3110" s="124" ph="1">
        <v>3</v>
      </c>
      <c r="G3110" s="19" t="s" ph="1">
        <v>699</v>
      </c>
      <c r="H3110" s="19" t="s" ph="1">
        <v>2987</v>
      </c>
      <c r="I3110" s="19" t="s" ph="1">
        <v>9447</v>
      </c>
      <c r="M3110" s="27" t="str" ph="1">
        <f>IFERROR(INDEX([1]!_born[生没年],
MATCH(I3110,[1]!_born[作],0)),"")</f>
        <v/>
      </c>
      <c r="N3110" s="27" t="str" ph="1">
        <f>IFERROR(INDEX([1]!_born[生没年],
MATCH(K3110,[1]!_born[作],0)),"")</f>
        <v/>
      </c>
      <c r="O3110" s="19" t="s" ph="1">
        <v>9448</v>
      </c>
      <c r="R3110" s="20" ph="1"/>
      <c r="T3110" s="19" t="s" ph="1">
        <v>9449</v>
      </c>
      <c r="U3110" s="20" ph="1"/>
      <c r="V3110" s="21" ph="1">
        <f>602*1.03</f>
        <v>620.06000000000006</v>
      </c>
      <c r="W3110" s="21" ph="1"/>
    </row>
    <row r="3111" spans="1:25" s="19" customFormat="1" ht="22.5" customHeight="1" ph="1" x14ac:dyDescent="0.35">
      <c r="A3111" s="107" t="s" ph="1">
        <v>1662</v>
      </c>
      <c r="B3111" s="18" t="s" ph="1">
        <v>1622</v>
      </c>
      <c r="C3111" s="19" t="s" ph="1">
        <v>8023</v>
      </c>
      <c r="D3111" s="124" t="s" ph="1">
        <v>9389</v>
      </c>
      <c r="E3111" s="124" ph="1"/>
      <c r="G3111" s="19" t="s" ph="1">
        <v>1574</v>
      </c>
      <c r="H3111" s="19" t="s" ph="1">
        <v>2987</v>
      </c>
      <c r="I3111" s="19" t="s" ph="1">
        <v>9447</v>
      </c>
      <c r="M3111" s="27" t="str" ph="1">
        <f>IFERROR(INDEX([1]!_born[生没年],
MATCH(I3111,[1]!_born[作],0)),"")</f>
        <v/>
      </c>
      <c r="N3111" s="27" t="str" ph="1">
        <f>IFERROR(INDEX([1]!_born[生没年],
MATCH(K3111,[1]!_born[作],0)),"")</f>
        <v/>
      </c>
      <c r="O3111" s="19" t="s" ph="1">
        <v>9450</v>
      </c>
      <c r="R3111" s="20" ph="1"/>
      <c r="T3111" s="19" t="s" ph="1">
        <v>9449</v>
      </c>
      <c r="U3111" s="20" ph="1"/>
      <c r="V3111" s="21" ph="1">
        <f>602*1.03</f>
        <v>620.06000000000006</v>
      </c>
      <c r="W3111" s="21" ph="1"/>
    </row>
    <row r="3112" spans="1:25" s="19" customFormat="1" ht="22.5" customHeight="1" ph="1" x14ac:dyDescent="0.35">
      <c r="A3112" s="106" t="s" ph="1">
        <v>10261</v>
      </c>
      <c r="B3112" s="5" ph="1"/>
      <c r="C3112" s="13" t="s" ph="1">
        <v>7591</v>
      </c>
      <c r="D3112" s="123" ph="1">
        <v>2</v>
      </c>
      <c r="E3112" s="123" t="s" ph="1">
        <v>1225</v>
      </c>
      <c r="F3112" s="13" ph="1"/>
      <c r="G3112" s="13" t="s" ph="1">
        <v>699</v>
      </c>
      <c r="H3112" s="13" t="s" ph="1">
        <v>2987</v>
      </c>
      <c r="I3112" s="13" t="s" ph="1">
        <v>4104</v>
      </c>
      <c r="J3112" s="13" ph="1"/>
      <c r="K3112" s="13" ph="1"/>
      <c r="L3112" s="13" ph="1"/>
      <c r="M3112" s="14" t="str" ph="1">
        <f>IFERROR(INDEX([1]!_born[生没年],
MATCH(I3112,[1]!_born[作],0)),"")</f>
        <v/>
      </c>
      <c r="N3112" s="14" t="str" ph="1">
        <f>IFERROR(INDEX([1]!_born[生没年],
MATCH(K3112,[1]!_born[作],0)),"")</f>
        <v/>
      </c>
      <c r="O3112" s="13" t="s" ph="1">
        <v>10317</v>
      </c>
      <c r="P3112" s="13" ph="1"/>
      <c r="Q3112" s="13" ph="1"/>
      <c r="R3112" s="16" ph="1">
        <v>31745</v>
      </c>
      <c r="S3112" s="13" t="s" ph="1">
        <v>10318</v>
      </c>
      <c r="T3112" s="13" t="s" ph="1">
        <v>10319</v>
      </c>
      <c r="U3112" s="16" t="s" ph="1">
        <v>10253</v>
      </c>
      <c r="V3112" s="17" ph="1">
        <v>290</v>
      </c>
      <c r="W3112" s="17" t="s" ph="1">
        <v>1225</v>
      </c>
      <c r="X3112" s="13" t="s" ph="1">
        <v>10293</v>
      </c>
      <c r="Y3112" s="13" ph="1"/>
    </row>
    <row r="3113" spans="1:25" s="19" customFormat="1" ht="22.5" customHeight="1" ph="1" x14ac:dyDescent="0.35">
      <c r="A3113" s="106" t="s" ph="1">
        <v>1621</v>
      </c>
      <c r="B3113" s="5" t="s" ph="1">
        <v>1622</v>
      </c>
      <c r="C3113" s="13" t="s" ph="1">
        <v>7591</v>
      </c>
      <c r="D3113" s="123" ph="1"/>
      <c r="E3113" s="123" ph="1"/>
      <c r="F3113" s="13" ph="1"/>
      <c r="G3113" s="13" t="s" ph="1">
        <v>1574</v>
      </c>
      <c r="H3113" s="13" t="s" ph="1">
        <v>2987</v>
      </c>
      <c r="I3113" s="13" t="s" ph="1">
        <v>4104</v>
      </c>
      <c r="J3113" s="13" ph="1"/>
      <c r="K3113" s="13" ph="1"/>
      <c r="L3113" s="13" ph="1"/>
      <c r="M3113" s="14" t="str" ph="1">
        <f>IFERROR(INDEX([1]!_born[生没年],
MATCH(I3113,[1]!_born[作],0)),"")</f>
        <v/>
      </c>
      <c r="N3113" s="14" t="str" ph="1">
        <f>IFERROR(INDEX([1]!_born[生没年],
MATCH(K3113,[1]!_born[作],0)),"")</f>
        <v/>
      </c>
      <c r="O3113" s="13" t="s" ph="1">
        <v>9451</v>
      </c>
      <c r="P3113" s="13" ph="1"/>
      <c r="Q3113" s="13" ph="1"/>
      <c r="R3113" s="16" ph="1"/>
      <c r="S3113" s="13" t="s" ph="1">
        <v>9452</v>
      </c>
      <c r="T3113" s="13" t="s" ph="1">
        <v>7730</v>
      </c>
      <c r="U3113" s="16" ph="1">
        <v>39074</v>
      </c>
      <c r="V3113" s="17" ph="1">
        <f>680*1.05</f>
        <v>714</v>
      </c>
      <c r="W3113" s="17" ph="1">
        <f>680*1.05</f>
        <v>714</v>
      </c>
      <c r="X3113" s="13" t="s" ph="1">
        <v>3802</v>
      </c>
      <c r="Y3113" s="13" ph="1"/>
    </row>
    <row r="3114" spans="1:25" s="19" customFormat="1" ht="22.5" customHeight="1" ph="1" x14ac:dyDescent="0.35">
      <c r="A3114" s="106" t="s" ph="1">
        <v>3004</v>
      </c>
      <c r="B3114" s="5" t="s" ph="1">
        <v>1622</v>
      </c>
      <c r="C3114" s="13" t="s" ph="1">
        <v>7591</v>
      </c>
      <c r="D3114" s="123" ph="1"/>
      <c r="E3114" s="123" ph="1"/>
      <c r="F3114" s="13" ph="1"/>
      <c r="G3114" s="13" t="s" ph="1">
        <v>1933</v>
      </c>
      <c r="H3114" s="13" t="s" ph="1">
        <v>716</v>
      </c>
      <c r="I3114" s="13" t="s" ph="1">
        <v>4104</v>
      </c>
      <c r="J3114" s="13" ph="1"/>
      <c r="K3114" s="13" ph="1"/>
      <c r="L3114" s="13" ph="1"/>
      <c r="M3114" s="14" t="str" ph="1">
        <f>IFERROR(INDEX([1]!_born[生没年],
MATCH(I3114,[1]!_born[作],0)),"")</f>
        <v/>
      </c>
      <c r="N3114" s="14" t="str" ph="1">
        <f>IFERROR(INDEX([1]!_born[生没年],
MATCH(K3114,[1]!_born[作],0)),"")</f>
        <v/>
      </c>
      <c r="O3114" s="15" t="s" ph="1">
        <v>3585</v>
      </c>
      <c r="P3114" s="13" ph="1"/>
      <c r="Q3114" s="13" ph="1"/>
      <c r="R3114" s="16" t="s" ph="1">
        <v>3191</v>
      </c>
      <c r="S3114" s="13" t="s" ph="1">
        <v>9453</v>
      </c>
      <c r="T3114" s="13" t="s" ph="1">
        <v>7611</v>
      </c>
      <c r="U3114" s="16" t="s" ph="1">
        <v>3192</v>
      </c>
      <c r="V3114" s="17" ph="1">
        <f>640*1.08</f>
        <v>691.2</v>
      </c>
      <c r="W3114" s="17" ph="1">
        <f>640*1.08</f>
        <v>691.2</v>
      </c>
      <c r="X3114" s="5" ph="1"/>
      <c r="Y3114" s="13" t="s" ph="1">
        <v>9255</v>
      </c>
    </row>
    <row r="3115" spans="1:25" s="19" customFormat="1" ht="22.5" customHeight="1" ph="1" x14ac:dyDescent="0.35">
      <c r="A3115" s="106" t="s" ph="1">
        <v>1617</v>
      </c>
      <c r="B3115" s="5" t="s" ph="1">
        <v>1618</v>
      </c>
      <c r="C3115" s="13" t="s" ph="1">
        <v>7591</v>
      </c>
      <c r="D3115" s="123" ph="1">
        <v>1</v>
      </c>
      <c r="E3115" s="123" ph="1">
        <v>2</v>
      </c>
      <c r="F3115" s="13" ph="1"/>
      <c r="G3115" s="13" t="s" ph="1">
        <v>1574</v>
      </c>
      <c r="H3115" s="13" t="s" ph="1">
        <v>2987</v>
      </c>
      <c r="I3115" s="13" t="s" ph="1">
        <v>4104</v>
      </c>
      <c r="J3115" s="13" ph="1"/>
      <c r="K3115" s="13" ph="1"/>
      <c r="L3115" s="13" ph="1"/>
      <c r="M3115" s="14" t="str" ph="1">
        <f>IFERROR(INDEX([1]!_born[生没年],
MATCH(I3115,[1]!_born[作],0)),"")</f>
        <v/>
      </c>
      <c r="N3115" s="14" t="str" ph="1">
        <f>IFERROR(INDEX([1]!_born[生没年],
MATCH(K3115,[1]!_born[作],0)),"")</f>
        <v/>
      </c>
      <c r="O3115" s="15" t="s" ph="1">
        <v>9129</v>
      </c>
      <c r="P3115" s="13" ph="1"/>
      <c r="Q3115" s="13" ph="1"/>
      <c r="R3115" s="16" ph="1"/>
      <c r="S3115" s="13" t="s" ph="1">
        <v>9454</v>
      </c>
      <c r="T3115" s="13" t="s" ph="1">
        <v>7375</v>
      </c>
      <c r="U3115" s="16" t="s" ph="1">
        <v>1619</v>
      </c>
      <c r="V3115" s="17" ph="1">
        <f>590*1.05</f>
        <v>619.5</v>
      </c>
      <c r="W3115" s="17" ph="1"/>
      <c r="X3115" s="13" ph="1"/>
      <c r="Y3115" s="13" ph="1"/>
    </row>
    <row r="3116" spans="1:25" s="19" customFormat="1" ht="22.5" customHeight="1" ph="1" x14ac:dyDescent="0.35">
      <c r="A3116" s="106" t="s" ph="1">
        <v>1620</v>
      </c>
      <c r="B3116" s="5" t="s" ph="1">
        <v>1618</v>
      </c>
      <c r="C3116" s="13" t="s" ph="1">
        <v>7591</v>
      </c>
      <c r="D3116" s="123" ph="1">
        <v>2</v>
      </c>
      <c r="E3116" s="123" ph="1">
        <v>2</v>
      </c>
      <c r="F3116" s="13" ph="1"/>
      <c r="G3116" s="13" t="s" ph="1">
        <v>1574</v>
      </c>
      <c r="H3116" s="13" t="s" ph="1">
        <v>2987</v>
      </c>
      <c r="I3116" s="13" t="s" ph="1">
        <v>4104</v>
      </c>
      <c r="J3116" s="13" ph="1"/>
      <c r="K3116" s="13" ph="1"/>
      <c r="L3116" s="13" ph="1"/>
      <c r="M3116" s="14" t="str" ph="1">
        <f>IFERROR(INDEX([1]!_born[生没年],
MATCH(I3116,[1]!_born[作],0)),"")</f>
        <v/>
      </c>
      <c r="N3116" s="14" t="str" ph="1">
        <f>IFERROR(INDEX([1]!_born[生没年],
MATCH(K3116,[1]!_born[作],0)),"")</f>
        <v/>
      </c>
      <c r="O3116" s="15" t="s" ph="1">
        <v>9129</v>
      </c>
      <c r="P3116" s="13" ph="1"/>
      <c r="Q3116" s="13" ph="1"/>
      <c r="R3116" s="16" ph="1"/>
      <c r="S3116" s="13" t="s" ph="1">
        <v>9455</v>
      </c>
      <c r="T3116" s="13" t="s" ph="1">
        <v>7375</v>
      </c>
      <c r="U3116" s="16" t="s" ph="1">
        <v>1619</v>
      </c>
      <c r="V3116" s="17" ph="1">
        <f>590*1.05</f>
        <v>619.5</v>
      </c>
      <c r="W3116" s="17" ph="1"/>
      <c r="X3116" s="13" ph="1"/>
      <c r="Y3116" s="13" ph="1"/>
    </row>
    <row r="3117" spans="1:25" s="19" customFormat="1" ht="22.5" customHeight="1" ph="1" x14ac:dyDescent="0.35">
      <c r="A3117" s="106" t="s" ph="1">
        <v>3004</v>
      </c>
      <c r="B3117" s="5" t="s" ph="1">
        <v>1622</v>
      </c>
      <c r="C3117" s="13" t="s" ph="1">
        <v>7591</v>
      </c>
      <c r="D3117" s="123" ph="1"/>
      <c r="E3117" s="123" ph="1"/>
      <c r="F3117" s="13" ph="1"/>
      <c r="G3117" s="13" t="s" ph="1">
        <v>699</v>
      </c>
      <c r="H3117" s="13" t="s" ph="1">
        <v>2987</v>
      </c>
      <c r="I3117" s="13" t="s" ph="1">
        <v>4104</v>
      </c>
      <c r="J3117" s="13" ph="1"/>
      <c r="K3117" s="13" ph="1"/>
      <c r="L3117" s="13" ph="1"/>
      <c r="M3117" s="14" t="str" ph="1">
        <f>IFERROR(INDEX([1]!_born[生没年],
MATCH(I3117,[1]!_born[作],0)),"")</f>
        <v/>
      </c>
      <c r="N3117" s="14" t="str" ph="1">
        <f>IFERROR(INDEX([1]!_born[生没年],
MATCH(K3117,[1]!_born[作],0)),"")</f>
        <v/>
      </c>
      <c r="O3117" s="15" t="s" ph="1">
        <v>9456</v>
      </c>
      <c r="P3117" s="13" ph="1"/>
      <c r="Q3117" s="13" ph="1"/>
      <c r="R3117" s="16" ph="1">
        <v>43398</v>
      </c>
      <c r="S3117" s="13" t="s" ph="1">
        <v>9457</v>
      </c>
      <c r="T3117" s="13" t="s" ph="1">
        <v>7949</v>
      </c>
      <c r="U3117" s="16" t="s" ph="1">
        <v>3005</v>
      </c>
      <c r="V3117" s="17" ph="1">
        <f>640*1.08</f>
        <v>691.2</v>
      </c>
      <c r="W3117" s="17" ph="1">
        <f>640*1.08</f>
        <v>691.2</v>
      </c>
      <c r="X3117" s="13" t="s" ph="1">
        <v>9458</v>
      </c>
      <c r="Y3117" s="13" t="s" ph="1">
        <v>9255</v>
      </c>
    </row>
    <row r="3118" spans="1:25" s="19" customFormat="1" ht="22.5" customHeight="1" ph="1" x14ac:dyDescent="0.35">
      <c r="A3118" s="106" t="s" ph="1">
        <v>3006</v>
      </c>
      <c r="B3118" s="5" t="s" ph="1">
        <v>1622</v>
      </c>
      <c r="C3118" s="13" t="s" ph="1">
        <v>7591</v>
      </c>
      <c r="D3118" s="123" ph="1"/>
      <c r="E3118" s="123" ph="1"/>
      <c r="F3118" s="13" ph="1"/>
      <c r="G3118" s="13" t="s" ph="1">
        <v>699</v>
      </c>
      <c r="H3118" s="13" t="s" ph="1">
        <v>2987</v>
      </c>
      <c r="I3118" s="13" t="s" ph="1">
        <v>4104</v>
      </c>
      <c r="J3118" s="13" ph="1"/>
      <c r="K3118" s="13" ph="1"/>
      <c r="L3118" s="13" ph="1"/>
      <c r="M3118" s="14" t="str" ph="1">
        <f>IFERROR(INDEX([1]!_born[生没年],
MATCH(I3118,[1]!_born[作],0)),"")</f>
        <v/>
      </c>
      <c r="N3118" s="14" t="str" ph="1">
        <f>IFERROR(INDEX([1]!_born[生没年],
MATCH(K3118,[1]!_born[作],0)),"")</f>
        <v/>
      </c>
      <c r="O3118" s="15" t="s" ph="1">
        <v>9459</v>
      </c>
      <c r="P3118" s="13" ph="1"/>
      <c r="Q3118" s="13" ph="1"/>
      <c r="R3118" s="16" ph="1">
        <v>42180</v>
      </c>
      <c r="S3118" s="13" t="s" ph="1">
        <v>9460</v>
      </c>
      <c r="T3118" s="13" t="s" ph="1">
        <v>7949</v>
      </c>
      <c r="U3118" s="16" t="s" ph="1">
        <v>3005</v>
      </c>
      <c r="V3118" s="17" ph="1">
        <f>720*1.08</f>
        <v>777.6</v>
      </c>
      <c r="W3118" s="17" ph="1">
        <f>720*1.08</f>
        <v>777.6</v>
      </c>
      <c r="X3118" s="13" t="s" ph="1">
        <v>9458</v>
      </c>
      <c r="Y3118" s="13" t="s" ph="1">
        <v>9255</v>
      </c>
    </row>
    <row r="3119" spans="1:25" s="19" customFormat="1" ht="22.5" customHeight="1" ph="1" x14ac:dyDescent="0.35">
      <c r="A3119" s="106" t="s" ph="1">
        <v>3006</v>
      </c>
      <c r="B3119" s="5" t="s" ph="1">
        <v>1622</v>
      </c>
      <c r="C3119" s="13" t="s" ph="1">
        <v>7591</v>
      </c>
      <c r="D3119" s="123" ph="1"/>
      <c r="E3119" s="123" ph="1"/>
      <c r="F3119" s="13" ph="1"/>
      <c r="G3119" s="13" t="s" ph="1">
        <v>699</v>
      </c>
      <c r="H3119" s="13" t="s" ph="1">
        <v>2987</v>
      </c>
      <c r="I3119" s="13" t="s" ph="1">
        <v>4104</v>
      </c>
      <c r="J3119" s="13" ph="1"/>
      <c r="K3119" s="13" ph="1"/>
      <c r="L3119" s="13" ph="1"/>
      <c r="M3119" s="14" t="str" ph="1">
        <f>IFERROR(INDEX([1]!_born[生没年],
MATCH(I3119,[1]!_born[作],0)),"")</f>
        <v/>
      </c>
      <c r="N3119" s="14" t="str" ph="1">
        <f>IFERROR(INDEX([1]!_born[生没年],
MATCH(K3119,[1]!_born[作],0)),"")</f>
        <v/>
      </c>
      <c r="O3119" s="15" t="s" ph="1">
        <v>9461</v>
      </c>
      <c r="P3119" s="13" ph="1"/>
      <c r="Q3119" s="13" ph="1"/>
      <c r="R3119" s="16" t="s" ph="1">
        <v>3007</v>
      </c>
      <c r="S3119" s="13" t="s" ph="1">
        <v>9462</v>
      </c>
      <c r="T3119" s="13" t="s" ph="1">
        <v>7949</v>
      </c>
      <c r="U3119" s="16" ph="1">
        <v>43580</v>
      </c>
      <c r="V3119" s="17" ph="1">
        <f>705*1.05</f>
        <v>740.25</v>
      </c>
      <c r="W3119" s="17" ph="1">
        <f>380*1.08</f>
        <v>410.40000000000003</v>
      </c>
      <c r="X3119" s="13" ph="1"/>
      <c r="Y3119" s="13" t="s" ph="1">
        <v>9463</v>
      </c>
    </row>
    <row r="3120" spans="1:25" s="19" customFormat="1" ht="22.5" customHeight="1" ph="1" x14ac:dyDescent="0.35">
      <c r="A3120" s="106" t="s" ph="1">
        <v>3010</v>
      </c>
      <c r="B3120" s="5" t="s" ph="1">
        <v>1622</v>
      </c>
      <c r="C3120" s="13" t="s" ph="1">
        <v>7591</v>
      </c>
      <c r="D3120" s="123" ph="1"/>
      <c r="E3120" s="123" ph="1"/>
      <c r="F3120" s="13" ph="1"/>
      <c r="G3120" s="13" t="s" ph="1">
        <v>699</v>
      </c>
      <c r="H3120" s="13" t="s" ph="1">
        <v>2987</v>
      </c>
      <c r="I3120" s="13" t="s" ph="1">
        <v>4104</v>
      </c>
      <c r="J3120" s="13" ph="1"/>
      <c r="K3120" s="13" ph="1"/>
      <c r="L3120" s="13" ph="1"/>
      <c r="M3120" s="14" t="str" ph="1">
        <f>IFERROR(INDEX([1]!_born[生没年],
MATCH(I3120,[1]!_born[作],0)),"")</f>
        <v/>
      </c>
      <c r="N3120" s="14" t="str" ph="1">
        <f>IFERROR(INDEX([1]!_born[生没年],
MATCH(K3120,[1]!_born[作],0)),"")</f>
        <v/>
      </c>
      <c r="O3120" s="13" t="s" ph="1">
        <v>9464</v>
      </c>
      <c r="P3120" s="13" ph="1"/>
      <c r="Q3120" s="13" ph="1"/>
      <c r="R3120" s="16" ph="1">
        <v>35622</v>
      </c>
      <c r="S3120" s="13" ph="1"/>
      <c r="T3120" s="13" t="s" ph="1">
        <v>9465</v>
      </c>
      <c r="U3120" s="16" ph="1">
        <v>43608</v>
      </c>
      <c r="V3120" s="17" ph="1">
        <f>750*1.08</f>
        <v>810</v>
      </c>
      <c r="W3120" s="17" ph="1">
        <f>750*1.08</f>
        <v>810</v>
      </c>
      <c r="X3120" s="13" ph="1"/>
      <c r="Y3120" s="13" t="s" ph="1">
        <v>9463</v>
      </c>
    </row>
    <row r="3121" spans="1:25" s="19" customFormat="1" ht="22.5" customHeight="1" ph="1" x14ac:dyDescent="0.35">
      <c r="A3121" s="106" t="s" ph="1">
        <v>3174</v>
      </c>
      <c r="B3121" s="5" t="s" ph="1">
        <v>1622</v>
      </c>
      <c r="C3121" s="13" t="s" ph="1">
        <v>7591</v>
      </c>
      <c r="D3121" s="123" ph="1"/>
      <c r="E3121" s="123" ph="1"/>
      <c r="F3121" s="13" ph="1"/>
      <c r="G3121" s="13" t="s" ph="1">
        <v>699</v>
      </c>
      <c r="H3121" s="13" t="s" ph="1">
        <v>2987</v>
      </c>
      <c r="I3121" s="13" t="s" ph="1">
        <v>4104</v>
      </c>
      <c r="J3121" s="13" ph="1"/>
      <c r="K3121" s="13" ph="1"/>
      <c r="L3121" s="13" ph="1"/>
      <c r="M3121" s="14" t="str" ph="1">
        <f>IFERROR(INDEX([1]!_born[生没年],
MATCH(I3121,[1]!_born[作],0)),"")</f>
        <v/>
      </c>
      <c r="N3121" s="14" t="str" ph="1">
        <f>IFERROR(INDEX([1]!_born[生没年],
MATCH(K3121,[1]!_born[作],0)),"")</f>
        <v/>
      </c>
      <c r="O3121" s="13" t="s" ph="1">
        <v>9466</v>
      </c>
      <c r="P3121" s="13" ph="1"/>
      <c r="Q3121" s="13" ph="1"/>
      <c r="R3121" s="16" t="s" ph="1">
        <v>3175</v>
      </c>
      <c r="S3121" s="13" t="s" ph="1">
        <v>9467</v>
      </c>
      <c r="T3121" s="13" t="s" ph="1">
        <v>8140</v>
      </c>
      <c r="U3121" s="16" ph="1">
        <v>44921</v>
      </c>
      <c r="V3121" s="17" ph="1">
        <f>660*1.1</f>
        <v>726.00000000000011</v>
      </c>
      <c r="W3121" s="17" ph="1">
        <v>660</v>
      </c>
      <c r="X3121" s="13" t="s" ph="1">
        <v>9468</v>
      </c>
      <c r="Y3121" s="13" ph="1"/>
    </row>
    <row r="3122" spans="1:25" s="19" customFormat="1" ht="22.5" customHeight="1" ph="1" x14ac:dyDescent="0.35">
      <c r="A3122" s="106" ph="1"/>
      <c r="B3122" s="5" t="s" ph="1">
        <v>1622</v>
      </c>
      <c r="C3122" s="13" t="s" ph="1">
        <v>7591</v>
      </c>
      <c r="D3122" s="123" ph="1"/>
      <c r="E3122" s="123" ph="1"/>
      <c r="F3122" s="13" ph="1"/>
      <c r="G3122" s="13" t="s" ph="1">
        <v>699</v>
      </c>
      <c r="H3122" s="13" t="s" ph="1">
        <v>2987</v>
      </c>
      <c r="I3122" s="13" t="s" ph="1">
        <v>4104</v>
      </c>
      <c r="J3122" s="13" ph="1"/>
      <c r="K3122" s="13" ph="1"/>
      <c r="L3122" s="13" ph="1"/>
      <c r="M3122" s="14" t="str" ph="1">
        <f>IFERROR(INDEX([1]!_born[生没年],
MATCH(I3122,[1]!_born[作],0)),"")</f>
        <v/>
      </c>
      <c r="N3122" s="14" t="str" ph="1">
        <f>IFERROR(INDEX([1]!_born[生没年],
MATCH(K3122,[1]!_born[作],0)),"")</f>
        <v/>
      </c>
      <c r="O3122" s="13" t="s" ph="1">
        <v>9469</v>
      </c>
      <c r="P3122" s="13" ph="1"/>
      <c r="Q3122" s="13" ph="1"/>
      <c r="R3122" s="16" t="s" ph="1">
        <v>3041</v>
      </c>
      <c r="S3122" s="13" ph="1"/>
      <c r="T3122" s="13" t="s" ph="1">
        <v>7730</v>
      </c>
      <c r="U3122" s="16" t="s" ph="1">
        <v>3042</v>
      </c>
      <c r="V3122" s="17" ph="1">
        <f t="shared" ref="V3122:V3129" si="29">621*1.03</f>
        <v>639.63</v>
      </c>
      <c r="W3122" s="17" t="s" ph="1">
        <v>1225</v>
      </c>
      <c r="X3122" s="13" t="s" ph="1">
        <v>2874</v>
      </c>
      <c r="Y3122" s="13" t="s" ph="1">
        <v>9255</v>
      </c>
    </row>
    <row r="3123" spans="1:25" s="19" customFormat="1" ht="22.5" customHeight="1" ph="1" x14ac:dyDescent="0.35">
      <c r="A3123" s="106" t="s" ph="1">
        <v>3040</v>
      </c>
      <c r="B3123" s="5" t="s" ph="1">
        <v>1622</v>
      </c>
      <c r="C3123" s="13" t="s" ph="1">
        <v>7591</v>
      </c>
      <c r="D3123" s="123" ph="1"/>
      <c r="E3123" s="123" ph="1"/>
      <c r="F3123" s="13" ph="1"/>
      <c r="G3123" s="13" t="s" ph="1">
        <v>699</v>
      </c>
      <c r="H3123" s="13" t="s" ph="1">
        <v>2987</v>
      </c>
      <c r="I3123" s="13" t="s" ph="1">
        <v>4104</v>
      </c>
      <c r="J3123" s="13" ph="1"/>
      <c r="K3123" s="13" ph="1"/>
      <c r="L3123" s="13" ph="1"/>
      <c r="M3123" s="14" t="str" ph="1">
        <f>IFERROR(INDEX([1]!_born[生没年],
MATCH(I3123,[1]!_born[作],0)),"")</f>
        <v/>
      </c>
      <c r="N3123" s="14" t="str" ph="1">
        <f>IFERROR(INDEX([1]!_born[生没年],
MATCH(K3123,[1]!_born[作],0)),"")</f>
        <v/>
      </c>
      <c r="O3123" s="13" t="s" ph="1">
        <v>9470</v>
      </c>
      <c r="P3123" s="13" ph="1"/>
      <c r="Q3123" s="13" ph="1"/>
      <c r="R3123" s="16" t="s" ph="1">
        <v>3041</v>
      </c>
      <c r="S3123" s="13" t="s" ph="1">
        <v>9471</v>
      </c>
      <c r="T3123" s="13" t="s" ph="1">
        <v>7730</v>
      </c>
      <c r="U3123" s="16" t="s" ph="1">
        <v>3042</v>
      </c>
      <c r="V3123" s="17" ph="1">
        <f t="shared" si="29"/>
        <v>639.63</v>
      </c>
      <c r="W3123" s="17" t="s" ph="1">
        <v>1225</v>
      </c>
      <c r="X3123" s="13" t="s" ph="1">
        <v>2874</v>
      </c>
      <c r="Y3123" s="13" t="s" ph="1">
        <v>9255</v>
      </c>
    </row>
    <row r="3124" spans="1:25" s="19" customFormat="1" ht="22.5" customHeight="1" ph="1" x14ac:dyDescent="0.35">
      <c r="A3124" s="106" ph="1"/>
      <c r="B3124" s="5" t="s" ph="1">
        <v>1622</v>
      </c>
      <c r="C3124" s="13" t="s" ph="1">
        <v>7591</v>
      </c>
      <c r="D3124" s="123" ph="1"/>
      <c r="E3124" s="123" ph="1"/>
      <c r="F3124" s="13" ph="1"/>
      <c r="G3124" s="13" t="s" ph="1">
        <v>699</v>
      </c>
      <c r="H3124" s="13" t="s" ph="1">
        <v>2987</v>
      </c>
      <c r="I3124" s="13" t="s" ph="1">
        <v>4104</v>
      </c>
      <c r="J3124" s="13" ph="1"/>
      <c r="K3124" s="13" ph="1"/>
      <c r="L3124" s="13" ph="1"/>
      <c r="M3124" s="14" t="str" ph="1">
        <f>IFERROR(INDEX([1]!_born[生没年],
MATCH(I3124,[1]!_born[作],0)),"")</f>
        <v/>
      </c>
      <c r="N3124" s="14" t="str" ph="1">
        <f>IFERROR(INDEX([1]!_born[生没年],
MATCH(K3124,[1]!_born[作],0)),"")</f>
        <v/>
      </c>
      <c r="O3124" s="13" t="s" ph="1">
        <v>9472</v>
      </c>
      <c r="P3124" s="13" ph="1"/>
      <c r="Q3124" s="13" ph="1"/>
      <c r="R3124" s="16" t="s" ph="1">
        <v>3041</v>
      </c>
      <c r="S3124" s="13" t="s" ph="1">
        <v>9473</v>
      </c>
      <c r="T3124" s="13" t="s" ph="1">
        <v>7730</v>
      </c>
      <c r="U3124" s="16" t="s" ph="1">
        <v>3042</v>
      </c>
      <c r="V3124" s="17" ph="1">
        <f t="shared" si="29"/>
        <v>639.63</v>
      </c>
      <c r="W3124" s="17" t="s" ph="1">
        <v>1225</v>
      </c>
      <c r="X3124" s="13" t="s" ph="1">
        <v>2874</v>
      </c>
      <c r="Y3124" s="13" t="s" ph="1">
        <v>9255</v>
      </c>
    </row>
    <row r="3125" spans="1:25" s="19" customFormat="1" ht="22.5" customHeight="1" ph="1" x14ac:dyDescent="0.35">
      <c r="A3125" s="106" ph="1"/>
      <c r="B3125" s="5" t="s" ph="1">
        <v>1622</v>
      </c>
      <c r="C3125" s="13" t="s" ph="1">
        <v>7591</v>
      </c>
      <c r="D3125" s="123" ph="1"/>
      <c r="E3125" s="123" ph="1"/>
      <c r="F3125" s="13" ph="1"/>
      <c r="G3125" s="13" t="s" ph="1">
        <v>699</v>
      </c>
      <c r="H3125" s="13" t="s" ph="1">
        <v>2987</v>
      </c>
      <c r="I3125" s="13" t="s" ph="1">
        <v>4104</v>
      </c>
      <c r="J3125" s="13" ph="1"/>
      <c r="K3125" s="13" ph="1"/>
      <c r="L3125" s="13" ph="1"/>
      <c r="M3125" s="14" t="str" ph="1">
        <f>IFERROR(INDEX([1]!_born[生没年],
MATCH(I3125,[1]!_born[作],0)),"")</f>
        <v/>
      </c>
      <c r="N3125" s="14" t="str" ph="1">
        <f>IFERROR(INDEX([1]!_born[生没年],
MATCH(K3125,[1]!_born[作],0)),"")</f>
        <v/>
      </c>
      <c r="O3125" s="13" t="s" ph="1">
        <v>9474</v>
      </c>
      <c r="P3125" s="13" ph="1"/>
      <c r="Q3125" s="13" ph="1"/>
      <c r="R3125" s="16" t="s" ph="1">
        <v>3041</v>
      </c>
      <c r="S3125" s="13" t="s" ph="1">
        <v>9473</v>
      </c>
      <c r="T3125" s="13" t="s" ph="1">
        <v>7730</v>
      </c>
      <c r="U3125" s="16" t="s" ph="1">
        <v>3042</v>
      </c>
      <c r="V3125" s="17" ph="1">
        <f t="shared" si="29"/>
        <v>639.63</v>
      </c>
      <c r="W3125" s="17" t="s" ph="1">
        <v>1225</v>
      </c>
      <c r="X3125" s="13" t="s" ph="1">
        <v>2874</v>
      </c>
      <c r="Y3125" s="13" t="s" ph="1">
        <v>9255</v>
      </c>
    </row>
    <row r="3126" spans="1:25" s="19" customFormat="1" ht="22.5" customHeight="1" ph="1" x14ac:dyDescent="0.35">
      <c r="A3126" s="106" ph="1"/>
      <c r="B3126" s="5" t="s" ph="1">
        <v>1622</v>
      </c>
      <c r="C3126" s="13" t="s" ph="1">
        <v>7591</v>
      </c>
      <c r="D3126" s="123" ph="1"/>
      <c r="E3126" s="123" ph="1"/>
      <c r="F3126" s="13" ph="1"/>
      <c r="G3126" s="13" t="s" ph="1">
        <v>699</v>
      </c>
      <c r="H3126" s="13" t="s" ph="1">
        <v>2987</v>
      </c>
      <c r="I3126" s="13" t="s" ph="1">
        <v>4104</v>
      </c>
      <c r="J3126" s="13" ph="1"/>
      <c r="K3126" s="13" ph="1"/>
      <c r="L3126" s="13" ph="1"/>
      <c r="M3126" s="14" t="str" ph="1">
        <f>IFERROR(INDEX([1]!_born[生没年],
MATCH(I3126,[1]!_born[作],0)),"")</f>
        <v/>
      </c>
      <c r="N3126" s="14" t="str" ph="1">
        <f>IFERROR(INDEX([1]!_born[生没年],
MATCH(K3126,[1]!_born[作],0)),"")</f>
        <v/>
      </c>
      <c r="O3126" s="13" t="s" ph="1">
        <v>9475</v>
      </c>
      <c r="P3126" s="13" ph="1"/>
      <c r="Q3126" s="13" ph="1"/>
      <c r="R3126" s="16" t="s" ph="1">
        <v>3041</v>
      </c>
      <c r="S3126" s="13" t="s" ph="1">
        <v>9473</v>
      </c>
      <c r="T3126" s="13" t="s" ph="1">
        <v>7730</v>
      </c>
      <c r="U3126" s="16" t="s" ph="1">
        <v>3042</v>
      </c>
      <c r="V3126" s="17" ph="1">
        <f t="shared" si="29"/>
        <v>639.63</v>
      </c>
      <c r="W3126" s="17" t="s" ph="1">
        <v>1225</v>
      </c>
      <c r="X3126" s="13" t="s" ph="1">
        <v>2874</v>
      </c>
      <c r="Y3126" s="13" t="s" ph="1">
        <v>9255</v>
      </c>
    </row>
    <row r="3127" spans="1:25" s="19" customFormat="1" ht="22.5" customHeight="1" ph="1" x14ac:dyDescent="0.35">
      <c r="A3127" s="106" ph="1"/>
      <c r="B3127" s="5" t="s" ph="1">
        <v>1622</v>
      </c>
      <c r="C3127" s="13" t="s" ph="1">
        <v>7591</v>
      </c>
      <c r="D3127" s="123" ph="1"/>
      <c r="E3127" s="123" ph="1"/>
      <c r="F3127" s="13" ph="1"/>
      <c r="G3127" s="13" t="s" ph="1">
        <v>699</v>
      </c>
      <c r="H3127" s="13" t="s" ph="1">
        <v>2987</v>
      </c>
      <c r="I3127" s="13" t="s" ph="1">
        <v>4104</v>
      </c>
      <c r="J3127" s="13" ph="1"/>
      <c r="K3127" s="13" ph="1"/>
      <c r="L3127" s="13" ph="1"/>
      <c r="M3127" s="14" t="str" ph="1">
        <f>IFERROR(INDEX([1]!_born[生没年],
MATCH(I3127,[1]!_born[作],0)),"")</f>
        <v/>
      </c>
      <c r="N3127" s="14" t="str" ph="1">
        <f>IFERROR(INDEX([1]!_born[生没年],
MATCH(K3127,[1]!_born[作],0)),"")</f>
        <v/>
      </c>
      <c r="O3127" s="13" t="s" ph="1">
        <v>9476</v>
      </c>
      <c r="P3127" s="13" ph="1"/>
      <c r="Q3127" s="13" ph="1"/>
      <c r="R3127" s="16" t="s" ph="1">
        <v>3041</v>
      </c>
      <c r="S3127" s="13" t="s" ph="1">
        <v>9473</v>
      </c>
      <c r="T3127" s="13" t="s" ph="1">
        <v>7730</v>
      </c>
      <c r="U3127" s="16" t="s" ph="1">
        <v>3042</v>
      </c>
      <c r="V3127" s="17" ph="1">
        <f t="shared" si="29"/>
        <v>639.63</v>
      </c>
      <c r="W3127" s="17" t="s" ph="1">
        <v>1225</v>
      </c>
      <c r="X3127" s="13" t="s" ph="1">
        <v>2874</v>
      </c>
      <c r="Y3127" s="13" t="s" ph="1">
        <v>9255</v>
      </c>
    </row>
    <row r="3128" spans="1:25" s="19" customFormat="1" ht="22.5" customHeight="1" ph="1" x14ac:dyDescent="0.35">
      <c r="A3128" s="106" ph="1"/>
      <c r="B3128" s="5" t="s" ph="1">
        <v>1622</v>
      </c>
      <c r="C3128" s="13" t="s" ph="1">
        <v>7591</v>
      </c>
      <c r="D3128" s="123" ph="1"/>
      <c r="E3128" s="123" ph="1"/>
      <c r="F3128" s="13" ph="1"/>
      <c r="G3128" s="13" t="s" ph="1">
        <v>699</v>
      </c>
      <c r="H3128" s="13" t="s" ph="1">
        <v>2987</v>
      </c>
      <c r="I3128" s="13" t="s" ph="1">
        <v>4104</v>
      </c>
      <c r="J3128" s="13" ph="1"/>
      <c r="K3128" s="13" ph="1"/>
      <c r="L3128" s="13" ph="1"/>
      <c r="M3128" s="14" t="str" ph="1">
        <f>IFERROR(INDEX([1]!_born[生没年],
MATCH(I3128,[1]!_born[作],0)),"")</f>
        <v/>
      </c>
      <c r="N3128" s="14" t="str" ph="1">
        <f>IFERROR(INDEX([1]!_born[生没年],
MATCH(K3128,[1]!_born[作],0)),"")</f>
        <v/>
      </c>
      <c r="O3128" s="13" t="s" ph="1">
        <v>9477</v>
      </c>
      <c r="P3128" s="13" ph="1"/>
      <c r="Q3128" s="13" ph="1"/>
      <c r="R3128" s="16" t="s" ph="1">
        <v>3041</v>
      </c>
      <c r="S3128" s="13" t="s" ph="1">
        <v>9473</v>
      </c>
      <c r="T3128" s="13" t="s" ph="1">
        <v>7730</v>
      </c>
      <c r="U3128" s="16" t="s" ph="1">
        <v>3042</v>
      </c>
      <c r="V3128" s="17" ph="1">
        <f t="shared" si="29"/>
        <v>639.63</v>
      </c>
      <c r="W3128" s="17" t="s" ph="1">
        <v>1225</v>
      </c>
      <c r="X3128" s="13" t="s" ph="1">
        <v>2874</v>
      </c>
      <c r="Y3128" s="13" t="s" ph="1">
        <v>9255</v>
      </c>
    </row>
    <row r="3129" spans="1:25" s="19" customFormat="1" ht="22.5" customHeight="1" ph="1" x14ac:dyDescent="0.35">
      <c r="A3129" s="106" ph="1"/>
      <c r="B3129" s="5" t="s" ph="1">
        <v>1622</v>
      </c>
      <c r="C3129" s="13" t="s" ph="1">
        <v>7591</v>
      </c>
      <c r="D3129" s="123" ph="1"/>
      <c r="E3129" s="123" ph="1"/>
      <c r="F3129" s="13" ph="1"/>
      <c r="G3129" s="13" t="s" ph="1">
        <v>699</v>
      </c>
      <c r="H3129" s="13" t="s" ph="1">
        <v>2987</v>
      </c>
      <c r="I3129" s="13" t="s" ph="1">
        <v>4104</v>
      </c>
      <c r="J3129" s="13" ph="1"/>
      <c r="K3129" s="13" ph="1"/>
      <c r="L3129" s="13" ph="1"/>
      <c r="M3129" s="14" t="str" ph="1">
        <f>IFERROR(INDEX([1]!_born[生没年],
MATCH(I3129,[1]!_born[作],0)),"")</f>
        <v/>
      </c>
      <c r="N3129" s="14" t="str" ph="1">
        <f>IFERROR(INDEX([1]!_born[生没年],
MATCH(K3129,[1]!_born[作],0)),"")</f>
        <v/>
      </c>
      <c r="O3129" s="13" t="s" ph="1">
        <v>9478</v>
      </c>
      <c r="P3129" s="13" ph="1"/>
      <c r="Q3129" s="13" ph="1"/>
      <c r="R3129" s="16" t="s" ph="1">
        <v>3041</v>
      </c>
      <c r="S3129" s="13" t="s" ph="1">
        <v>9473</v>
      </c>
      <c r="T3129" s="13" t="s" ph="1">
        <v>7730</v>
      </c>
      <c r="U3129" s="16" t="s" ph="1">
        <v>3042</v>
      </c>
      <c r="V3129" s="17" ph="1">
        <f t="shared" si="29"/>
        <v>639.63</v>
      </c>
      <c r="W3129" s="17" t="s" ph="1">
        <v>1225</v>
      </c>
      <c r="X3129" s="13" t="s" ph="1">
        <v>2874</v>
      </c>
      <c r="Y3129" s="13" t="s" ph="1">
        <v>9255</v>
      </c>
    </row>
    <row r="3130" spans="1:25" s="19" customFormat="1" ht="22.5" customHeight="1" ph="1" x14ac:dyDescent="0.35">
      <c r="A3130" s="106" t="s" ph="1">
        <v>1684</v>
      </c>
      <c r="B3130" s="5" t="s" ph="1">
        <v>1622</v>
      </c>
      <c r="C3130" s="13" t="s" ph="1">
        <v>7591</v>
      </c>
      <c r="D3130" s="123" ph="1"/>
      <c r="E3130" s="123" ph="1"/>
      <c r="F3130" s="13" ph="1"/>
      <c r="G3130" s="13" t="s" ph="1">
        <v>1574</v>
      </c>
      <c r="H3130" s="13" t="s" ph="1">
        <v>2987</v>
      </c>
      <c r="I3130" s="13" t="s" ph="1">
        <v>9275</v>
      </c>
      <c r="J3130" s="13" ph="1"/>
      <c r="K3130" s="13" ph="1"/>
      <c r="L3130" s="13" ph="1"/>
      <c r="M3130" s="14" t="str" ph="1">
        <f>IFERROR(INDEX([1]!_born[生没年],
MATCH(I3130,[1]!_born[作],0)),"")</f>
        <v/>
      </c>
      <c r="N3130" s="14" t="str" ph="1">
        <f>IFERROR(INDEX([1]!_born[生没年],
MATCH(K3130,[1]!_born[作],0)),"")</f>
        <v/>
      </c>
      <c r="O3130" s="13" t="s" ph="1">
        <v>9479</v>
      </c>
      <c r="P3130" s="13" ph="1"/>
      <c r="Q3130" s="13" ph="1"/>
      <c r="R3130" s="16" ph="1"/>
      <c r="S3130" s="13" t="s" ph="1">
        <v>9480</v>
      </c>
      <c r="T3130" s="13" t="s" ph="1">
        <v>9434</v>
      </c>
      <c r="U3130" s="16" ph="1"/>
      <c r="V3130" s="17" ph="1">
        <f>619*1.05</f>
        <v>649.95000000000005</v>
      </c>
      <c r="W3130" s="17" ph="1"/>
      <c r="X3130" s="13" ph="1"/>
      <c r="Y3130" s="13" ph="1"/>
    </row>
    <row r="3131" spans="1:25" s="19" customFormat="1" ht="22.5" customHeight="1" ph="1" x14ac:dyDescent="0.35">
      <c r="A3131" s="106" t="s" ph="1">
        <v>1686</v>
      </c>
      <c r="B3131" s="5" t="s" ph="1">
        <v>1622</v>
      </c>
      <c r="C3131" s="13" t="s" ph="1">
        <v>7591</v>
      </c>
      <c r="D3131" s="123" ph="1"/>
      <c r="E3131" s="123" ph="1"/>
      <c r="F3131" s="13" ph="1"/>
      <c r="G3131" s="13" t="s" ph="1">
        <v>1574</v>
      </c>
      <c r="H3131" s="13" t="s" ph="1">
        <v>2987</v>
      </c>
      <c r="I3131" s="13" t="s" ph="1">
        <v>9275</v>
      </c>
      <c r="J3131" s="13" ph="1"/>
      <c r="K3131" s="13" ph="1"/>
      <c r="L3131" s="13" ph="1"/>
      <c r="M3131" s="14" t="str" ph="1">
        <f>IFERROR(INDEX([1]!_born[生没年],
MATCH(I3131,[1]!_born[作],0)),"")</f>
        <v/>
      </c>
      <c r="N3131" s="14" t="str" ph="1">
        <f>IFERROR(INDEX([1]!_born[生没年],
MATCH(K3131,[1]!_born[作],0)),"")</f>
        <v/>
      </c>
      <c r="O3131" s="13" t="s" ph="1">
        <v>9481</v>
      </c>
      <c r="P3131" s="13" ph="1"/>
      <c r="Q3131" s="13" ph="1"/>
      <c r="R3131" s="16" ph="1"/>
      <c r="S3131" s="13" t="s" ph="1">
        <v>9480</v>
      </c>
      <c r="T3131" s="13" t="s" ph="1">
        <v>9434</v>
      </c>
      <c r="U3131" s="16" ph="1"/>
      <c r="V3131" s="17" ph="1">
        <f>619*1.05</f>
        <v>649.95000000000005</v>
      </c>
      <c r="W3131" s="17" ph="1">
        <v>350</v>
      </c>
      <c r="X3131" s="13" t="s" ph="1">
        <v>5763</v>
      </c>
      <c r="Y3131" s="13" ph="1"/>
    </row>
    <row r="3132" spans="1:25" s="19" customFormat="1" ht="22.5" customHeight="1" ph="1" x14ac:dyDescent="0.35">
      <c r="A3132" s="106" t="s" ph="1">
        <v>1685</v>
      </c>
      <c r="B3132" s="5" t="s" ph="1">
        <v>1622</v>
      </c>
      <c r="C3132" s="13" t="s" ph="1">
        <v>7591</v>
      </c>
      <c r="D3132" s="123" ph="1"/>
      <c r="E3132" s="123" ph="1"/>
      <c r="F3132" s="13" ph="1"/>
      <c r="G3132" s="13" t="s" ph="1">
        <v>1574</v>
      </c>
      <c r="H3132" s="13" t="s" ph="1">
        <v>2987</v>
      </c>
      <c r="I3132" s="13" t="s" ph="1">
        <v>9275</v>
      </c>
      <c r="J3132" s="13" ph="1"/>
      <c r="K3132" s="13" ph="1"/>
      <c r="L3132" s="13" ph="1"/>
      <c r="M3132" s="14" t="str" ph="1">
        <f>IFERROR(INDEX([1]!_born[生没年],
MATCH(I3132,[1]!_born[作],0)),"")</f>
        <v/>
      </c>
      <c r="N3132" s="14" t="str" ph="1">
        <f>IFERROR(INDEX([1]!_born[生没年],
MATCH(K3132,[1]!_born[作],0)),"")</f>
        <v/>
      </c>
      <c r="O3132" s="13" t="s" ph="1">
        <v>9482</v>
      </c>
      <c r="P3132" s="13" ph="1"/>
      <c r="Q3132" s="13" ph="1"/>
      <c r="R3132" s="16" ph="1"/>
      <c r="S3132" s="13" t="s" ph="1">
        <v>9480</v>
      </c>
      <c r="T3132" s="13" t="s" ph="1">
        <v>9434</v>
      </c>
      <c r="U3132" s="16" ph="1"/>
      <c r="V3132" s="17" ph="1">
        <f>619*1.05</f>
        <v>649.95000000000005</v>
      </c>
      <c r="W3132" s="17" ph="1"/>
      <c r="X3132" s="13" ph="1"/>
      <c r="Y3132" s="13" ph="1"/>
    </row>
    <row r="3133" spans="1:25" s="19" customFormat="1" ht="22.5" customHeight="1" ph="1" x14ac:dyDescent="0.35">
      <c r="A3133" s="106" t="s" ph="1">
        <v>2525</v>
      </c>
      <c r="B3133" s="5" t="s" ph="1">
        <v>1622</v>
      </c>
      <c r="C3133" s="13" t="s" ph="1">
        <v>7591</v>
      </c>
      <c r="D3133" s="123" ph="1">
        <v>1</v>
      </c>
      <c r="E3133" s="123" ph="1">
        <v>4</v>
      </c>
      <c r="F3133" s="13" ph="1"/>
      <c r="G3133" s="13" t="s" ph="1">
        <v>699</v>
      </c>
      <c r="H3133" s="13" t="s" ph="1">
        <v>2987</v>
      </c>
      <c r="I3133" s="13" t="s" ph="1">
        <v>9275</v>
      </c>
      <c r="J3133" s="13" ph="1"/>
      <c r="K3133" s="13" t="s" ph="1">
        <v>9483</v>
      </c>
      <c r="L3133" s="13" t="s" ph="1">
        <v>6075</v>
      </c>
      <c r="M3133" s="14" t="str" ph="1">
        <f>IFERROR(INDEX([1]!_born[生没年],
MATCH(I3133,[1]!_born[作],0)),"")</f>
        <v/>
      </c>
      <c r="N3133" s="14" t="str" ph="1">
        <f>IFERROR(INDEX([1]!_born[生没年],
MATCH(K3133,[1]!_born[作],0)),"")</f>
        <v/>
      </c>
      <c r="O3133" s="13" t="s" ph="1">
        <v>9484</v>
      </c>
      <c r="P3133" s="13" ph="1"/>
      <c r="Q3133" s="13" ph="1"/>
      <c r="R3133" s="16" ph="1"/>
      <c r="S3133" s="13" ph="1"/>
      <c r="T3133" s="13" t="s" ph="1">
        <v>9485</v>
      </c>
      <c r="U3133" s="16" ph="1">
        <v>40524</v>
      </c>
      <c r="V3133" s="17" ph="1">
        <f>583*1.03</f>
        <v>600.49</v>
      </c>
      <c r="W3133" s="17" ph="1">
        <f>800/4</f>
        <v>200</v>
      </c>
      <c r="X3133" s="13" t="s" ph="1">
        <v>3792</v>
      </c>
      <c r="Y3133" s="13" ph="1"/>
    </row>
    <row r="3134" spans="1:25" s="19" customFormat="1" ht="22.5" customHeight="1" ph="1" x14ac:dyDescent="0.35">
      <c r="A3134" s="106" t="s" ph="1">
        <v>2526</v>
      </c>
      <c r="B3134" s="5" t="s" ph="1">
        <v>1622</v>
      </c>
      <c r="C3134" s="13" t="s" ph="1">
        <v>7591</v>
      </c>
      <c r="D3134" s="123" ph="1">
        <v>2</v>
      </c>
      <c r="E3134" s="123" ph="1">
        <v>4</v>
      </c>
      <c r="F3134" s="13" ph="1"/>
      <c r="G3134" s="13" t="s" ph="1">
        <v>699</v>
      </c>
      <c r="H3134" s="13" t="s" ph="1">
        <v>2987</v>
      </c>
      <c r="I3134" s="13" t="s" ph="1">
        <v>9275</v>
      </c>
      <c r="J3134" s="13" ph="1"/>
      <c r="K3134" s="13" t="s" ph="1">
        <v>9486</v>
      </c>
      <c r="L3134" s="13" t="s" ph="1">
        <v>6075</v>
      </c>
      <c r="M3134" s="14" t="str" ph="1">
        <f>IFERROR(INDEX([1]!_born[生没年],
MATCH(I3134,[1]!_born[作],0)),"")</f>
        <v/>
      </c>
      <c r="N3134" s="14" t="str" ph="1">
        <f>IFERROR(INDEX([1]!_born[生没年],
MATCH(K3134,[1]!_born[作],0)),"")</f>
        <v/>
      </c>
      <c r="O3134" s="13" t="s" ph="1">
        <v>9484</v>
      </c>
      <c r="P3134" s="13" ph="1"/>
      <c r="Q3134" s="13" ph="1"/>
      <c r="R3134" s="16" ph="1"/>
      <c r="S3134" s="13" ph="1"/>
      <c r="T3134" s="13" t="s" ph="1">
        <v>9485</v>
      </c>
      <c r="U3134" s="16" ph="1">
        <v>40524</v>
      </c>
      <c r="V3134" s="17" ph="1">
        <f>583*1.03</f>
        <v>600.49</v>
      </c>
      <c r="W3134" s="17" ph="1">
        <f>800/4</f>
        <v>200</v>
      </c>
      <c r="X3134" s="13" t="s" ph="1">
        <v>3792</v>
      </c>
      <c r="Y3134" s="13" ph="1"/>
    </row>
    <row r="3135" spans="1:25" s="19" customFormat="1" ht="22.5" customHeight="1" ph="1" x14ac:dyDescent="0.35">
      <c r="A3135" s="106" t="s" ph="1">
        <v>2528</v>
      </c>
      <c r="B3135" s="5" t="s" ph="1">
        <v>1622</v>
      </c>
      <c r="C3135" s="13" t="s" ph="1">
        <v>7591</v>
      </c>
      <c r="D3135" s="123" ph="1">
        <v>3</v>
      </c>
      <c r="E3135" s="123" ph="1">
        <v>4</v>
      </c>
      <c r="F3135" s="13" ph="1"/>
      <c r="G3135" s="13" t="s" ph="1">
        <v>699</v>
      </c>
      <c r="H3135" s="13" t="s" ph="1">
        <v>2987</v>
      </c>
      <c r="I3135" s="13" t="s" ph="1">
        <v>9275</v>
      </c>
      <c r="J3135" s="13" ph="1"/>
      <c r="K3135" s="13" t="s" ph="1">
        <v>9487</v>
      </c>
      <c r="L3135" s="13" t="s" ph="1">
        <v>6075</v>
      </c>
      <c r="M3135" s="14" t="str" ph="1">
        <f>IFERROR(INDEX([1]!_born[生没年],
MATCH(I3135,[1]!_born[作],0)),"")</f>
        <v/>
      </c>
      <c r="N3135" s="14" t="str" ph="1">
        <f>IFERROR(INDEX([1]!_born[生没年],
MATCH(K3135,[1]!_born[作],0)),"")</f>
        <v/>
      </c>
      <c r="O3135" s="13" t="s" ph="1">
        <v>9484</v>
      </c>
      <c r="P3135" s="13" ph="1"/>
      <c r="Q3135" s="13" ph="1"/>
      <c r="R3135" s="16" ph="1"/>
      <c r="S3135" s="13" ph="1"/>
      <c r="T3135" s="13" t="s" ph="1">
        <v>9485</v>
      </c>
      <c r="U3135" s="16" ph="1">
        <v>40524</v>
      </c>
      <c r="V3135" s="17" ph="1">
        <f>583*1.03</f>
        <v>600.49</v>
      </c>
      <c r="W3135" s="17" ph="1">
        <f>800/4</f>
        <v>200</v>
      </c>
      <c r="X3135" s="13" t="s" ph="1">
        <v>3792</v>
      </c>
      <c r="Y3135" s="13" ph="1"/>
    </row>
    <row r="3136" spans="1:25" s="19" customFormat="1" ht="22.5" customHeight="1" ph="1" x14ac:dyDescent="0.35">
      <c r="A3136" s="106" t="s" ph="1">
        <v>2527</v>
      </c>
      <c r="B3136" s="5" t="s" ph="1">
        <v>1622</v>
      </c>
      <c r="C3136" s="13" t="s" ph="1">
        <v>7591</v>
      </c>
      <c r="D3136" s="123" ph="1">
        <v>4</v>
      </c>
      <c r="E3136" s="123" ph="1">
        <v>4</v>
      </c>
      <c r="F3136" s="13" ph="1"/>
      <c r="G3136" s="13" t="s" ph="1">
        <v>699</v>
      </c>
      <c r="H3136" s="13" t="s" ph="1">
        <v>2987</v>
      </c>
      <c r="I3136" s="13" t="s" ph="1">
        <v>9275</v>
      </c>
      <c r="J3136" s="13" ph="1"/>
      <c r="K3136" s="13" t="s" ph="1">
        <v>9488</v>
      </c>
      <c r="L3136" s="13" t="s" ph="1">
        <v>6075</v>
      </c>
      <c r="M3136" s="14" t="str" ph="1">
        <f>IFERROR(INDEX([1]!_born[生没年],
MATCH(I3136,[1]!_born[作],0)),"")</f>
        <v/>
      </c>
      <c r="N3136" s="14" t="str" ph="1">
        <f>IFERROR(INDEX([1]!_born[生没年],
MATCH(K3136,[1]!_born[作],0)),"")</f>
        <v/>
      </c>
      <c r="O3136" s="13" t="s" ph="1">
        <v>9484</v>
      </c>
      <c r="P3136" s="13" ph="1"/>
      <c r="Q3136" s="13" ph="1"/>
      <c r="R3136" s="16" ph="1"/>
      <c r="S3136" s="13" ph="1"/>
      <c r="T3136" s="13" t="s" ph="1">
        <v>9485</v>
      </c>
      <c r="U3136" s="16" ph="1">
        <v>40524</v>
      </c>
      <c r="V3136" s="17" ph="1">
        <f>621*1.03</f>
        <v>639.63</v>
      </c>
      <c r="W3136" s="17" ph="1">
        <f>800/4</f>
        <v>200</v>
      </c>
      <c r="X3136" s="13" t="s" ph="1">
        <v>3792</v>
      </c>
      <c r="Y3136" s="13" ph="1"/>
    </row>
    <row r="3137" spans="1:25" s="19" customFormat="1" ht="22.5" customHeight="1" ph="1" x14ac:dyDescent="0.35">
      <c r="A3137" s="107" t="s" ph="1">
        <v>2470</v>
      </c>
      <c r="B3137" s="18" t="s" ph="1">
        <v>1622</v>
      </c>
      <c r="C3137" s="19" t="s" ph="1">
        <v>8023</v>
      </c>
      <c r="D3137" s="124" ph="1">
        <v>1</v>
      </c>
      <c r="E3137" s="124" ph="1">
        <v>7</v>
      </c>
      <c r="G3137" s="19" t="s" ph="1">
        <v>699</v>
      </c>
      <c r="H3137" s="19" t="s" ph="1">
        <v>2987</v>
      </c>
      <c r="I3137" s="19" t="s" ph="1">
        <v>9489</v>
      </c>
      <c r="K3137" s="19" t="s" ph="1">
        <v>9490</v>
      </c>
      <c r="L3137" s="19" t="s" ph="1">
        <v>9491</v>
      </c>
      <c r="M3137" s="27" t="str" ph="1">
        <f>IFERROR(INDEX([1]!_born[生没年],
MATCH(I3137,[1]!_born[作],0)),"")</f>
        <v/>
      </c>
      <c r="N3137" s="27" t="str" ph="1">
        <f>IFERROR(INDEX([1]!_born[生没年],
MATCH(K3137,[1]!_born[作],0)),"")</f>
        <v/>
      </c>
      <c r="O3137" s="19" t="s" ph="1">
        <v>9492</v>
      </c>
      <c r="R3137" s="20" ph="1"/>
      <c r="T3137" s="19" t="s" ph="1">
        <v>9493</v>
      </c>
      <c r="U3137" s="20" ph="1"/>
      <c r="V3137" s="21" ph="1">
        <f>562*1.05</f>
        <v>590.1</v>
      </c>
      <c r="W3137" s="21" ph="1">
        <f t="shared" ref="W3137:W3143" si="30">1400/7</f>
        <v>200</v>
      </c>
      <c r="X3137" s="19" t="s" ph="1">
        <v>9494</v>
      </c>
    </row>
    <row r="3138" spans="1:25" s="19" customFormat="1" ht="22.5" customHeight="1" ph="1" x14ac:dyDescent="0.35">
      <c r="A3138" s="107" t="s" ph="1">
        <v>2471</v>
      </c>
      <c r="B3138" s="18" t="s" ph="1">
        <v>1622</v>
      </c>
      <c r="C3138" s="19" t="s" ph="1">
        <v>8023</v>
      </c>
      <c r="D3138" s="124" ph="1">
        <v>2</v>
      </c>
      <c r="E3138" s="124" ph="1">
        <v>7</v>
      </c>
      <c r="G3138" s="19" t="s" ph="1">
        <v>699</v>
      </c>
      <c r="H3138" s="19" t="s" ph="1">
        <v>2987</v>
      </c>
      <c r="I3138" s="19" t="s" ph="1">
        <v>9489</v>
      </c>
      <c r="K3138" s="19" t="s" ph="1">
        <v>9495</v>
      </c>
      <c r="L3138" s="19" t="s" ph="1">
        <v>9491</v>
      </c>
      <c r="M3138" s="27" t="str" ph="1">
        <f>IFERROR(INDEX([1]!_born[生没年],
MATCH(I3138,[1]!_born[作],0)),"")</f>
        <v/>
      </c>
      <c r="N3138" s="27" t="str" ph="1">
        <f>IFERROR(INDEX([1]!_born[生没年],
MATCH(K3138,[1]!_born[作],0)),"")</f>
        <v/>
      </c>
      <c r="O3138" s="19" t="s" ph="1">
        <v>9492</v>
      </c>
      <c r="R3138" s="20" ph="1"/>
      <c r="T3138" s="19" t="s" ph="1">
        <v>9493</v>
      </c>
      <c r="U3138" s="20" ph="1"/>
      <c r="V3138" s="21" ph="1">
        <f t="shared" ref="V3138:V3143" si="31">563*1.05-1</f>
        <v>590.15</v>
      </c>
      <c r="W3138" s="21" ph="1">
        <f t="shared" si="30"/>
        <v>200</v>
      </c>
      <c r="X3138" s="19" t="s" ph="1">
        <v>9494</v>
      </c>
    </row>
    <row r="3139" spans="1:25" s="19" customFormat="1" ht="22.5" customHeight="1" ph="1" x14ac:dyDescent="0.35">
      <c r="A3139" s="107" t="s" ph="1">
        <v>2472</v>
      </c>
      <c r="B3139" s="18" t="s" ph="1">
        <v>1622</v>
      </c>
      <c r="C3139" s="19" t="s" ph="1">
        <v>8023</v>
      </c>
      <c r="D3139" s="124" ph="1">
        <v>3</v>
      </c>
      <c r="E3139" s="124" ph="1">
        <v>7</v>
      </c>
      <c r="G3139" s="19" t="s" ph="1">
        <v>699</v>
      </c>
      <c r="H3139" s="19" t="s" ph="1">
        <v>2987</v>
      </c>
      <c r="I3139" s="19" t="s" ph="1">
        <v>9489</v>
      </c>
      <c r="K3139" s="19" t="s" ph="1">
        <v>9496</v>
      </c>
      <c r="L3139" s="19" t="s" ph="1">
        <v>9491</v>
      </c>
      <c r="M3139" s="27" t="str" ph="1">
        <f>IFERROR(INDEX([1]!_born[生没年],
MATCH(I3139,[1]!_born[作],0)),"")</f>
        <v/>
      </c>
      <c r="N3139" s="27" t="str" ph="1">
        <f>IFERROR(INDEX([1]!_born[生没年],
MATCH(K3139,[1]!_born[作],0)),"")</f>
        <v/>
      </c>
      <c r="O3139" s="19" t="s" ph="1">
        <v>9492</v>
      </c>
      <c r="R3139" s="20" ph="1"/>
      <c r="T3139" s="19" t="s" ph="1">
        <v>9493</v>
      </c>
      <c r="U3139" s="20" ph="1"/>
      <c r="V3139" s="21" ph="1">
        <f t="shared" si="31"/>
        <v>590.15</v>
      </c>
      <c r="W3139" s="21" ph="1">
        <f t="shared" si="30"/>
        <v>200</v>
      </c>
      <c r="X3139" s="19" t="s" ph="1">
        <v>9494</v>
      </c>
    </row>
    <row r="3140" spans="1:25" s="19" customFormat="1" ht="22.5" customHeight="1" ph="1" x14ac:dyDescent="0.35">
      <c r="A3140" s="107" t="s" ph="1">
        <v>2473</v>
      </c>
      <c r="B3140" s="18" t="s" ph="1">
        <v>1622</v>
      </c>
      <c r="C3140" s="19" t="s" ph="1">
        <v>8023</v>
      </c>
      <c r="D3140" s="124" ph="1">
        <v>4</v>
      </c>
      <c r="E3140" s="124" ph="1">
        <v>7</v>
      </c>
      <c r="G3140" s="19" t="s" ph="1">
        <v>699</v>
      </c>
      <c r="H3140" s="19" t="s" ph="1">
        <v>2987</v>
      </c>
      <c r="I3140" s="19" t="s" ph="1">
        <v>9489</v>
      </c>
      <c r="K3140" s="19" t="s" ph="1">
        <v>9497</v>
      </c>
      <c r="L3140" s="19" t="s" ph="1">
        <v>9491</v>
      </c>
      <c r="M3140" s="27" t="str" ph="1">
        <f>IFERROR(INDEX([1]!_born[生没年],
MATCH(I3140,[1]!_born[作],0)),"")</f>
        <v/>
      </c>
      <c r="N3140" s="27" t="str" ph="1">
        <f>IFERROR(INDEX([1]!_born[生没年],
MATCH(K3140,[1]!_born[作],0)),"")</f>
        <v/>
      </c>
      <c r="O3140" s="19" t="s" ph="1">
        <v>9492</v>
      </c>
      <c r="R3140" s="20" ph="1"/>
      <c r="T3140" s="19" t="s" ph="1">
        <v>9493</v>
      </c>
      <c r="U3140" s="20" ph="1"/>
      <c r="V3140" s="21" ph="1">
        <f t="shared" si="31"/>
        <v>590.15</v>
      </c>
      <c r="W3140" s="21" ph="1">
        <f t="shared" si="30"/>
        <v>200</v>
      </c>
      <c r="X3140" s="19" t="s" ph="1">
        <v>9494</v>
      </c>
    </row>
    <row r="3141" spans="1:25" s="19" customFormat="1" ht="22.5" customHeight="1" ph="1" x14ac:dyDescent="0.35">
      <c r="A3141" s="107" t="s" ph="1">
        <v>2474</v>
      </c>
      <c r="B3141" s="18" t="s" ph="1">
        <v>1622</v>
      </c>
      <c r="C3141" s="19" t="s" ph="1">
        <v>8023</v>
      </c>
      <c r="D3141" s="124" ph="1">
        <v>5</v>
      </c>
      <c r="E3141" s="124" ph="1">
        <v>7</v>
      </c>
      <c r="G3141" s="19" t="s" ph="1">
        <v>699</v>
      </c>
      <c r="H3141" s="19" t="s" ph="1">
        <v>2987</v>
      </c>
      <c r="I3141" s="19" t="s" ph="1">
        <v>9489</v>
      </c>
      <c r="K3141" s="19" t="s" ph="1">
        <v>9498</v>
      </c>
      <c r="L3141" s="19" t="s" ph="1">
        <v>9491</v>
      </c>
      <c r="M3141" s="27" t="str" ph="1">
        <f>IFERROR(INDEX([1]!_born[生没年],
MATCH(I3141,[1]!_born[作],0)),"")</f>
        <v/>
      </c>
      <c r="N3141" s="27" t="str" ph="1">
        <f>IFERROR(INDEX([1]!_born[生没年],
MATCH(K3141,[1]!_born[作],0)),"")</f>
        <v/>
      </c>
      <c r="O3141" s="19" t="s" ph="1">
        <v>9492</v>
      </c>
      <c r="R3141" s="20" ph="1"/>
      <c r="T3141" s="19" t="s" ph="1">
        <v>9493</v>
      </c>
      <c r="U3141" s="20" ph="1"/>
      <c r="V3141" s="21" ph="1">
        <f t="shared" si="31"/>
        <v>590.15</v>
      </c>
      <c r="W3141" s="21" ph="1">
        <f t="shared" si="30"/>
        <v>200</v>
      </c>
      <c r="X3141" s="19" t="s" ph="1">
        <v>9494</v>
      </c>
    </row>
    <row r="3142" spans="1:25" s="19" customFormat="1" ht="22.5" customHeight="1" ph="1" x14ac:dyDescent="0.35">
      <c r="A3142" s="107" t="s" ph="1">
        <v>2475</v>
      </c>
      <c r="B3142" s="18" t="s" ph="1">
        <v>1622</v>
      </c>
      <c r="C3142" s="19" t="s" ph="1">
        <v>8023</v>
      </c>
      <c r="D3142" s="124" ph="1">
        <v>6</v>
      </c>
      <c r="E3142" s="124" ph="1">
        <v>7</v>
      </c>
      <c r="G3142" s="19" t="s" ph="1">
        <v>699</v>
      </c>
      <c r="H3142" s="19" t="s" ph="1">
        <v>2987</v>
      </c>
      <c r="I3142" s="19" t="s" ph="1">
        <v>9489</v>
      </c>
      <c r="K3142" s="19" t="s" ph="1">
        <v>9499</v>
      </c>
      <c r="L3142" s="19" t="s" ph="1">
        <v>9491</v>
      </c>
      <c r="M3142" s="27" t="str" ph="1">
        <f>IFERROR(INDEX([1]!_born[生没年],
MATCH(I3142,[1]!_born[作],0)),"")</f>
        <v/>
      </c>
      <c r="N3142" s="27" t="str" ph="1">
        <f>IFERROR(INDEX([1]!_born[生没年],
MATCH(K3142,[1]!_born[作],0)),"")</f>
        <v/>
      </c>
      <c r="O3142" s="19" t="s" ph="1">
        <v>9492</v>
      </c>
      <c r="R3142" s="20" ph="1"/>
      <c r="T3142" s="19" t="s" ph="1">
        <v>9493</v>
      </c>
      <c r="U3142" s="20" ph="1"/>
      <c r="V3142" s="21" ph="1">
        <f t="shared" si="31"/>
        <v>590.15</v>
      </c>
      <c r="W3142" s="21" ph="1">
        <f t="shared" si="30"/>
        <v>200</v>
      </c>
      <c r="X3142" s="19" t="s" ph="1">
        <v>9494</v>
      </c>
    </row>
    <row r="3143" spans="1:25" s="19" customFormat="1" ht="22.5" customHeight="1" ph="1" x14ac:dyDescent="0.35">
      <c r="A3143" s="107" t="s" ph="1">
        <v>2476</v>
      </c>
      <c r="B3143" s="18" t="s" ph="1">
        <v>1622</v>
      </c>
      <c r="C3143" s="19" t="s" ph="1">
        <v>8023</v>
      </c>
      <c r="D3143" s="124" ph="1">
        <v>7</v>
      </c>
      <c r="E3143" s="124" ph="1">
        <v>7</v>
      </c>
      <c r="G3143" s="19" t="s" ph="1">
        <v>699</v>
      </c>
      <c r="H3143" s="19" t="s" ph="1">
        <v>2987</v>
      </c>
      <c r="I3143" s="19" t="s" ph="1">
        <v>9489</v>
      </c>
      <c r="K3143" s="19" t="s" ph="1">
        <v>9500</v>
      </c>
      <c r="L3143" s="19" t="s" ph="1">
        <v>9491</v>
      </c>
      <c r="M3143" s="27" t="str" ph="1">
        <f>IFERROR(INDEX([1]!_born[生没年],
MATCH(I3143,[1]!_born[作],0)),"")</f>
        <v/>
      </c>
      <c r="N3143" s="27" t="str" ph="1">
        <f>IFERROR(INDEX([1]!_born[生没年],
MATCH(K3143,[1]!_born[作],0)),"")</f>
        <v/>
      </c>
      <c r="O3143" s="19" t="s" ph="1">
        <v>9492</v>
      </c>
      <c r="R3143" s="20" ph="1"/>
      <c r="T3143" s="19" t="s" ph="1">
        <v>9493</v>
      </c>
      <c r="U3143" s="20" ph="1"/>
      <c r="V3143" s="21" ph="1">
        <f t="shared" si="31"/>
        <v>590.15</v>
      </c>
      <c r="W3143" s="21" ph="1">
        <f t="shared" si="30"/>
        <v>200</v>
      </c>
      <c r="X3143" s="19" t="s" ph="1">
        <v>9494</v>
      </c>
    </row>
    <row r="3144" spans="1:25" s="19" customFormat="1" ht="22.5" customHeight="1" ph="1" x14ac:dyDescent="0.35">
      <c r="A3144" s="106" t="s" ph="1">
        <v>1687</v>
      </c>
      <c r="B3144" s="5" t="s" ph="1">
        <v>1622</v>
      </c>
      <c r="C3144" s="13" t="s" ph="1">
        <v>7591</v>
      </c>
      <c r="D3144" s="123" ph="1"/>
      <c r="E3144" s="123" ph="1"/>
      <c r="F3144" s="13" ph="1"/>
      <c r="G3144" s="13" t="s" ph="1">
        <v>1574</v>
      </c>
      <c r="H3144" s="13" t="s" ph="1">
        <v>2987</v>
      </c>
      <c r="I3144" s="13" t="s" ph="1">
        <v>9275</v>
      </c>
      <c r="J3144" s="13" ph="1"/>
      <c r="K3144" s="13" ph="1"/>
      <c r="L3144" s="13" ph="1"/>
      <c r="M3144" s="14" t="str" ph="1">
        <f>IFERROR(INDEX([1]!_born[生没年],
MATCH(I3144,[1]!_born[作],0)),"")</f>
        <v/>
      </c>
      <c r="N3144" s="14" t="str" ph="1">
        <f>IFERROR(INDEX([1]!_born[生没年],
MATCH(K3144,[1]!_born[作],0)),"")</f>
        <v/>
      </c>
      <c r="O3144" s="13" t="s" ph="1">
        <v>9501</v>
      </c>
      <c r="P3144" s="13" ph="1"/>
      <c r="Q3144" s="13" ph="1"/>
      <c r="R3144" s="16" ph="1"/>
      <c r="S3144" s="13" t="s" ph="1">
        <v>9480</v>
      </c>
      <c r="T3144" s="13" t="s" ph="1">
        <v>9434</v>
      </c>
      <c r="U3144" s="16" ph="1"/>
      <c r="V3144" s="17" ph="1">
        <f>619*1.05</f>
        <v>649.95000000000005</v>
      </c>
      <c r="W3144" s="17" ph="1">
        <v>350</v>
      </c>
      <c r="X3144" s="13" t="s" ph="1">
        <v>5763</v>
      </c>
      <c r="Y3144" s="13" ph="1"/>
    </row>
    <row r="3145" spans="1:25" s="19" customFormat="1" ht="22.5" customHeight="1" ph="1" x14ac:dyDescent="0.35">
      <c r="A3145" s="106" t="s" ph="1">
        <v>1683</v>
      </c>
      <c r="B3145" s="5" t="s" ph="1">
        <v>1622</v>
      </c>
      <c r="C3145" s="13" t="s" ph="1">
        <v>7591</v>
      </c>
      <c r="D3145" s="123" ph="1"/>
      <c r="E3145" s="123" ph="1"/>
      <c r="F3145" s="13" ph="1"/>
      <c r="G3145" s="13" t="s" ph="1">
        <v>1574</v>
      </c>
      <c r="H3145" s="13" t="s" ph="1">
        <v>2987</v>
      </c>
      <c r="I3145" s="13" t="s" ph="1">
        <v>9275</v>
      </c>
      <c r="J3145" s="13" ph="1"/>
      <c r="K3145" s="13" ph="1"/>
      <c r="L3145" s="13" ph="1"/>
      <c r="M3145" s="14" t="str" ph="1">
        <f>IFERROR(INDEX([1]!_born[生没年],
MATCH(I3145,[1]!_born[作],0)),"")</f>
        <v/>
      </c>
      <c r="N3145" s="14" t="str" ph="1">
        <f>IFERROR(INDEX([1]!_born[生没年],
MATCH(K3145,[1]!_born[作],0)),"")</f>
        <v/>
      </c>
      <c r="O3145" s="13" t="s" ph="1">
        <v>9502</v>
      </c>
      <c r="P3145" s="13" ph="1"/>
      <c r="Q3145" s="13" ph="1"/>
      <c r="R3145" s="16" ph="1"/>
      <c r="S3145" s="13" t="s" ph="1">
        <v>9480</v>
      </c>
      <c r="T3145" s="13" t="s" ph="1">
        <v>9434</v>
      </c>
      <c r="U3145" s="16" ph="1"/>
      <c r="V3145" s="17" ph="1">
        <f>619*1.05</f>
        <v>649.95000000000005</v>
      </c>
      <c r="W3145" s="17" ph="1"/>
      <c r="X3145" s="13" ph="1"/>
      <c r="Y3145" s="13" ph="1"/>
    </row>
    <row r="3146" spans="1:25" s="19" customFormat="1" ht="22.5" customHeight="1" ph="1" x14ac:dyDescent="0.35">
      <c r="A3146" s="106" t="s" ph="1">
        <v>1682</v>
      </c>
      <c r="B3146" s="5" t="s" ph="1">
        <v>1622</v>
      </c>
      <c r="C3146" s="13" t="s" ph="1">
        <v>7591</v>
      </c>
      <c r="D3146" s="123" ph="1"/>
      <c r="E3146" s="123" ph="1"/>
      <c r="F3146" s="13" ph="1"/>
      <c r="G3146" s="13" t="s" ph="1">
        <v>1574</v>
      </c>
      <c r="H3146" s="13" t="s" ph="1">
        <v>2987</v>
      </c>
      <c r="I3146" s="13" t="s" ph="1">
        <v>9275</v>
      </c>
      <c r="J3146" s="13" ph="1"/>
      <c r="K3146" s="13" ph="1"/>
      <c r="L3146" s="13" ph="1"/>
      <c r="M3146" s="14" t="str" ph="1">
        <f>IFERROR(INDEX([1]!_born[生没年],
MATCH(I3146,[1]!_born[作],0)),"")</f>
        <v/>
      </c>
      <c r="N3146" s="14" t="str" ph="1">
        <f>IFERROR(INDEX([1]!_born[生没年],
MATCH(K3146,[1]!_born[作],0)),"")</f>
        <v/>
      </c>
      <c r="O3146" s="13" t="s" ph="1">
        <v>9503</v>
      </c>
      <c r="P3146" s="13" ph="1"/>
      <c r="Q3146" s="13" ph="1"/>
      <c r="R3146" s="16" ph="1"/>
      <c r="S3146" s="13" t="s" ph="1">
        <v>9480</v>
      </c>
      <c r="T3146" s="13" t="s" ph="1">
        <v>9434</v>
      </c>
      <c r="U3146" s="16" ph="1"/>
      <c r="V3146" s="17" ph="1">
        <f>602*1.03</f>
        <v>620.06000000000006</v>
      </c>
      <c r="W3146" s="17" ph="1"/>
      <c r="X3146" s="13" ph="1"/>
      <c r="Y3146" s="13" ph="1"/>
    </row>
    <row r="3147" spans="1:25" s="19" customFormat="1" ht="22.5" customHeight="1" ph="1" x14ac:dyDescent="0.35">
      <c r="A3147" s="106" t="s" ph="1">
        <v>1679</v>
      </c>
      <c r="B3147" s="5" t="s" ph="1">
        <v>1622</v>
      </c>
      <c r="C3147" s="13" t="s" ph="1">
        <v>7591</v>
      </c>
      <c r="D3147" s="123" ph="1"/>
      <c r="E3147" s="123" ph="1"/>
      <c r="F3147" s="13" ph="1"/>
      <c r="G3147" s="13" t="s" ph="1">
        <v>1574</v>
      </c>
      <c r="H3147" s="13" t="s" ph="1">
        <v>2987</v>
      </c>
      <c r="I3147" s="13" t="s" ph="1">
        <v>9275</v>
      </c>
      <c r="J3147" s="13" ph="1"/>
      <c r="K3147" s="13" ph="1"/>
      <c r="L3147" s="13" ph="1"/>
      <c r="M3147" s="14" t="str" ph="1">
        <f>IFERROR(INDEX([1]!_born[生没年],
MATCH(I3147,[1]!_born[作],0)),"")</f>
        <v/>
      </c>
      <c r="N3147" s="14" t="str" ph="1">
        <f>IFERROR(INDEX([1]!_born[生没年],
MATCH(K3147,[1]!_born[作],0)),"")</f>
        <v/>
      </c>
      <c r="O3147" s="13" t="s" ph="1">
        <v>9504</v>
      </c>
      <c r="P3147" s="13" ph="1"/>
      <c r="Q3147" s="13" ph="1"/>
      <c r="R3147" s="16" ph="1"/>
      <c r="S3147" s="13" ph="1"/>
      <c r="T3147" s="13" t="s" ph="1">
        <v>9419</v>
      </c>
      <c r="U3147" s="16" ph="1"/>
      <c r="V3147" s="17" ph="1">
        <f>600*1.05</f>
        <v>630</v>
      </c>
      <c r="W3147" s="17" ph="1"/>
      <c r="X3147" s="13" ph="1"/>
      <c r="Y3147" s="13" ph="1"/>
    </row>
    <row r="3148" spans="1:25" s="19" customFormat="1" ht="22.5" customHeight="1" ph="1" x14ac:dyDescent="0.35">
      <c r="A3148" s="106" t="s" ph="1">
        <v>1680</v>
      </c>
      <c r="B3148" s="5" t="s" ph="1">
        <v>1622</v>
      </c>
      <c r="C3148" s="13" t="s" ph="1">
        <v>7591</v>
      </c>
      <c r="D3148" s="123" ph="1"/>
      <c r="E3148" s="123" ph="1"/>
      <c r="F3148" s="13" ph="1"/>
      <c r="G3148" s="13" t="s" ph="1">
        <v>1574</v>
      </c>
      <c r="H3148" s="13" t="s" ph="1">
        <v>2987</v>
      </c>
      <c r="I3148" s="13" t="s" ph="1">
        <v>9275</v>
      </c>
      <c r="J3148" s="13" ph="1"/>
      <c r="K3148" s="13" ph="1"/>
      <c r="L3148" s="13" ph="1"/>
      <c r="M3148" s="14" t="str" ph="1">
        <f>IFERROR(INDEX([1]!_born[生没年],
MATCH(I3148,[1]!_born[作],0)),"")</f>
        <v/>
      </c>
      <c r="N3148" s="14" t="str" ph="1">
        <f>IFERROR(INDEX([1]!_born[生没年],
MATCH(K3148,[1]!_born[作],0)),"")</f>
        <v/>
      </c>
      <c r="O3148" s="13" t="s" ph="1">
        <v>9505</v>
      </c>
      <c r="P3148" s="13" ph="1"/>
      <c r="Q3148" s="13" ph="1"/>
      <c r="R3148" s="16" ph="1"/>
      <c r="S3148" s="13" t="s" ph="1">
        <v>9480</v>
      </c>
      <c r="T3148" s="13" t="s" ph="1">
        <v>9434</v>
      </c>
      <c r="U3148" s="16" ph="1"/>
      <c r="V3148" s="17" ph="1">
        <f>619*1.05</f>
        <v>649.95000000000005</v>
      </c>
      <c r="W3148" s="17" ph="1"/>
      <c r="X3148" s="13" ph="1"/>
      <c r="Y3148" s="13" ph="1"/>
    </row>
    <row r="3149" spans="1:25" ht="22.5" customHeight="1" ph="1" x14ac:dyDescent="0.35">
      <c r="A3149" s="106" t="s" ph="1">
        <v>1681</v>
      </c>
      <c r="B3149" s="5" t="s" ph="1">
        <v>1622</v>
      </c>
      <c r="C3149" s="13" t="s" ph="1">
        <v>7591</v>
      </c>
      <c r="G3149" s="13" t="s" ph="1">
        <v>1574</v>
      </c>
      <c r="H3149" s="13" t="s" ph="1">
        <v>2987</v>
      </c>
      <c r="I3149" s="13" t="s" ph="1">
        <v>9275</v>
      </c>
      <c r="M3149" s="14" t="str" ph="1">
        <f>IFERROR(INDEX([1]!_born[生没年],
MATCH(I3149,[1]!_born[作],0)),"")</f>
        <v/>
      </c>
      <c r="N3149" s="14" t="str" ph="1">
        <f>IFERROR(INDEX([1]!_born[生没年],
MATCH(K3149,[1]!_born[作],0)),"")</f>
        <v/>
      </c>
      <c r="O3149" s="13" t="s" ph="1">
        <v>9506</v>
      </c>
      <c r="S3149" s="13" t="s" ph="1">
        <v>9480</v>
      </c>
      <c r="T3149" s="13" t="s" ph="1">
        <v>9434</v>
      </c>
      <c r="V3149" s="17" ph="1">
        <f>602*1.03</f>
        <v>620.06000000000006</v>
      </c>
    </row>
    <row r="3150" spans="1:25" ht="22.5" customHeight="1" ph="1" x14ac:dyDescent="0.35">
      <c r="A3150" s="106" t="s" ph="1">
        <v>1678</v>
      </c>
      <c r="B3150" s="5" t="s" ph="1">
        <v>1622</v>
      </c>
      <c r="C3150" s="13" t="s" ph="1">
        <v>7591</v>
      </c>
      <c r="G3150" s="13" t="s" ph="1">
        <v>1574</v>
      </c>
      <c r="H3150" s="13" t="s" ph="1">
        <v>2987</v>
      </c>
      <c r="I3150" s="13" t="s" ph="1">
        <v>9275</v>
      </c>
      <c r="M3150" s="14" t="str" ph="1">
        <f>IFERROR(INDEX([1]!_born[生没年],
MATCH(I3150,[1]!_born[作],0)),"")</f>
        <v/>
      </c>
      <c r="N3150" s="14" t="str" ph="1">
        <f>IFERROR(INDEX([1]!_born[生没年],
MATCH(K3150,[1]!_born[作],0)),"")</f>
        <v/>
      </c>
      <c r="O3150" s="13" t="s" ph="1">
        <v>9507</v>
      </c>
      <c r="T3150" s="13" t="s" ph="1">
        <v>9419</v>
      </c>
      <c r="V3150" s="17" ph="1">
        <f>583*1.03</f>
        <v>600.49</v>
      </c>
    </row>
    <row r="3151" spans="1:25" ht="22.5" customHeight="1" ph="1" x14ac:dyDescent="0.35">
      <c r="A3151" s="106" t="s" ph="1">
        <v>1676</v>
      </c>
      <c r="B3151" s="5" t="s" ph="1">
        <v>1622</v>
      </c>
      <c r="C3151" s="13" t="s" ph="1">
        <v>7591</v>
      </c>
      <c r="G3151" s="13" t="s" ph="1">
        <v>1574</v>
      </c>
      <c r="H3151" s="13" t="s" ph="1">
        <v>2987</v>
      </c>
      <c r="I3151" s="13" t="s" ph="1">
        <v>9508</v>
      </c>
      <c r="M3151" s="14" t="str" ph="1">
        <f>IFERROR(INDEX([1]!_born[生没年],
MATCH(I3151,[1]!_born[作],0)),"")</f>
        <v/>
      </c>
      <c r="N3151" s="14" t="str" ph="1">
        <f>IFERROR(INDEX([1]!_born[生没年],
MATCH(K3151,[1]!_born[作],0)),"")</f>
        <v/>
      </c>
      <c r="O3151" s="13" t="s" ph="1">
        <v>9509</v>
      </c>
      <c r="T3151" s="13" t="s" ph="1">
        <v>7730</v>
      </c>
      <c r="V3151" s="17" ph="1">
        <f>563*1.03</f>
        <v>579.89</v>
      </c>
    </row>
    <row r="3152" spans="1:25" ht="22.5" customHeight="1" ph="1" x14ac:dyDescent="0.35">
      <c r="A3152" s="106" t="s" ph="1">
        <v>1674</v>
      </c>
      <c r="B3152" s="5" t="s" ph="1">
        <v>1622</v>
      </c>
      <c r="C3152" s="13" t="s" ph="1">
        <v>7591</v>
      </c>
      <c r="G3152" s="13" t="s" ph="1">
        <v>1574</v>
      </c>
      <c r="H3152" s="13" t="s" ph="1">
        <v>2987</v>
      </c>
      <c r="I3152" s="13" t="s" ph="1">
        <v>9508</v>
      </c>
      <c r="M3152" s="14" t="str" ph="1">
        <f>IFERROR(INDEX([1]!_born[生没年],
MATCH(I3152,[1]!_born[作],0)),"")</f>
        <v/>
      </c>
      <c r="N3152" s="14" t="str" ph="1">
        <f>IFERROR(INDEX([1]!_born[生没年],
MATCH(K3152,[1]!_born[作],0)),"")</f>
        <v/>
      </c>
      <c r="O3152" s="13" t="s" ph="1">
        <v>9510</v>
      </c>
      <c r="T3152" s="13" t="s" ph="1">
        <v>7730</v>
      </c>
      <c r="U3152" s="16" ph="1">
        <v>39028</v>
      </c>
      <c r="V3152" s="17" ph="1">
        <f>505*1.05</f>
        <v>530.25</v>
      </c>
      <c r="X3152" s="13" t="s" ph="1">
        <v>3792</v>
      </c>
    </row>
    <row r="3153" spans="1:24" ht="22.5" customHeight="1" ph="1" x14ac:dyDescent="0.35">
      <c r="A3153" s="106" t="s" ph="1">
        <v>1675</v>
      </c>
      <c r="B3153" s="5" t="s" ph="1">
        <v>1622</v>
      </c>
      <c r="C3153" s="13" t="s" ph="1">
        <v>7591</v>
      </c>
      <c r="G3153" s="13" t="s" ph="1">
        <v>1574</v>
      </c>
      <c r="H3153" s="13" t="s" ph="1">
        <v>2987</v>
      </c>
      <c r="I3153" s="13" t="s" ph="1">
        <v>9508</v>
      </c>
      <c r="M3153" s="14" t="str" ph="1">
        <f>IFERROR(INDEX([1]!_born[生没年],
MATCH(I3153,[1]!_born[作],0)),"")</f>
        <v/>
      </c>
      <c r="N3153" s="14" t="str" ph="1">
        <f>IFERROR(INDEX([1]!_born[生没年],
MATCH(K3153,[1]!_born[作],0)),"")</f>
        <v/>
      </c>
      <c r="O3153" s="13" t="s" ph="1">
        <v>9511</v>
      </c>
      <c r="T3153" s="13" t="s" ph="1">
        <v>7730</v>
      </c>
      <c r="V3153" s="17" ph="1">
        <f>340*1.03</f>
        <v>350.2</v>
      </c>
    </row>
    <row r="3154" spans="1:24" ht="22.5" customHeight="1" ph="1" x14ac:dyDescent="0.35">
      <c r="A3154" s="106" t="s" ph="1">
        <v>3125</v>
      </c>
      <c r="B3154" s="5" t="s" ph="1">
        <v>1596</v>
      </c>
      <c r="C3154" s="13" t="s" ph="1">
        <v>7591</v>
      </c>
      <c r="D3154" s="123" ph="1">
        <v>1</v>
      </c>
      <c r="E3154" s="123" ph="1">
        <v>13</v>
      </c>
      <c r="G3154" s="13" t="s" ph="1">
        <v>699</v>
      </c>
      <c r="H3154" s="13" t="s" ph="1">
        <v>2987</v>
      </c>
      <c r="I3154" s="13" t="s" ph="1">
        <v>9512</v>
      </c>
      <c r="M3154" s="14" t="str" ph="1">
        <f>IFERROR(INDEX([1]!_born[生没年],
MATCH(I3154,[1]!_born[作],0)),"")</f>
        <v/>
      </c>
      <c r="N3154" s="14" t="str" ph="1">
        <f>IFERROR(INDEX([1]!_born[生没年],
MATCH(K3154,[1]!_born[作],0)),"")</f>
        <v/>
      </c>
      <c r="O3154" s="13" t="s" ph="1">
        <v>9513</v>
      </c>
      <c r="R3154" s="16" t="s" ph="1">
        <v>3123</v>
      </c>
      <c r="S3154" s="13" t="s" ph="1">
        <v>3124</v>
      </c>
      <c r="T3154" s="13" t="s" ph="1">
        <v>9514</v>
      </c>
      <c r="U3154" s="16" ph="1">
        <v>44577</v>
      </c>
      <c r="V3154" s="17" ph="1">
        <f>429*1.05</f>
        <v>450.45000000000005</v>
      </c>
      <c r="W3154" s="17" ph="1">
        <f>2400/13</f>
        <v>184.61538461538461</v>
      </c>
      <c r="X3154" s="13" t="s" ph="1">
        <v>2965</v>
      </c>
    </row>
    <row r="3155" spans="1:24" ht="22.5" customHeight="1" ph="1" x14ac:dyDescent="0.35">
      <c r="A3155" s="106" t="s" ph="1">
        <v>3126</v>
      </c>
      <c r="B3155" s="5" t="s" ph="1">
        <v>1596</v>
      </c>
      <c r="C3155" s="13" t="s" ph="1">
        <v>7591</v>
      </c>
      <c r="D3155" s="123" ph="1">
        <v>2</v>
      </c>
      <c r="E3155" s="123" ph="1">
        <v>13</v>
      </c>
      <c r="G3155" s="13" t="s" ph="1">
        <v>699</v>
      </c>
      <c r="H3155" s="13" t="s" ph="1">
        <v>2987</v>
      </c>
      <c r="I3155" s="13" t="s" ph="1">
        <v>9512</v>
      </c>
      <c r="M3155" s="14" t="str" ph="1">
        <f>IFERROR(INDEX([1]!_born[生没年],
MATCH(I3155,[1]!_born[作],0)),"")</f>
        <v/>
      </c>
      <c r="N3155" s="14" t="str" ph="1">
        <f>IFERROR(INDEX([1]!_born[生没年],
MATCH(K3155,[1]!_born[作],0)),"")</f>
        <v/>
      </c>
      <c r="O3155" s="13" t="s" ph="1">
        <v>9513</v>
      </c>
      <c r="R3155" s="16" t="s" ph="1">
        <v>3123</v>
      </c>
      <c r="S3155" s="13" t="s" ph="1">
        <v>3124</v>
      </c>
      <c r="T3155" s="13" t="s" ph="1">
        <v>9514</v>
      </c>
      <c r="U3155" s="16" ph="1">
        <v>44577</v>
      </c>
      <c r="V3155" s="17" ph="1">
        <f t="shared" ref="V3155:V3166" si="32">429*1.05</f>
        <v>450.45000000000005</v>
      </c>
      <c r="W3155" s="17" ph="1">
        <f t="shared" ref="W3155:W3166" si="33">2400/13</f>
        <v>184.61538461538461</v>
      </c>
      <c r="X3155" s="13" t="s" ph="1">
        <v>2965</v>
      </c>
    </row>
    <row r="3156" spans="1:24" ht="22.5" customHeight="1" ph="1" x14ac:dyDescent="0.35">
      <c r="A3156" s="106" t="s" ph="1">
        <v>3127</v>
      </c>
      <c r="B3156" s="5" t="s" ph="1">
        <v>1596</v>
      </c>
      <c r="C3156" s="13" t="s" ph="1">
        <v>7591</v>
      </c>
      <c r="D3156" s="123" ph="1">
        <v>3</v>
      </c>
      <c r="E3156" s="123" ph="1">
        <v>13</v>
      </c>
      <c r="G3156" s="13" t="s" ph="1">
        <v>699</v>
      </c>
      <c r="H3156" s="13" t="s" ph="1">
        <v>2987</v>
      </c>
      <c r="I3156" s="13" t="s" ph="1">
        <v>9512</v>
      </c>
      <c r="M3156" s="14" t="str" ph="1">
        <f>IFERROR(INDEX([1]!_born[生没年],
MATCH(I3156,[1]!_born[作],0)),"")</f>
        <v/>
      </c>
      <c r="N3156" s="14" t="str" ph="1">
        <f>IFERROR(INDEX([1]!_born[生没年],
MATCH(K3156,[1]!_born[作],0)),"")</f>
        <v/>
      </c>
      <c r="O3156" s="13" t="s" ph="1">
        <v>9513</v>
      </c>
      <c r="R3156" s="16" t="s" ph="1">
        <v>3123</v>
      </c>
      <c r="S3156" s="13" t="s" ph="1">
        <v>3124</v>
      </c>
      <c r="T3156" s="13" t="s" ph="1">
        <v>9514</v>
      </c>
      <c r="U3156" s="16" ph="1">
        <v>44577</v>
      </c>
      <c r="V3156" s="17" ph="1">
        <f t="shared" si="32"/>
        <v>450.45000000000005</v>
      </c>
      <c r="W3156" s="17" ph="1">
        <f t="shared" si="33"/>
        <v>184.61538461538461</v>
      </c>
      <c r="X3156" s="13" t="s" ph="1">
        <v>2965</v>
      </c>
    </row>
    <row r="3157" spans="1:24" ht="22.5" customHeight="1" ph="1" x14ac:dyDescent="0.35">
      <c r="A3157" s="106" t="s" ph="1">
        <v>3128</v>
      </c>
      <c r="B3157" s="5" t="s" ph="1">
        <v>1596</v>
      </c>
      <c r="C3157" s="13" t="s" ph="1">
        <v>7591</v>
      </c>
      <c r="D3157" s="123" ph="1">
        <v>4</v>
      </c>
      <c r="E3157" s="123" ph="1">
        <v>13</v>
      </c>
      <c r="G3157" s="13" t="s" ph="1">
        <v>699</v>
      </c>
      <c r="H3157" s="13" t="s" ph="1">
        <v>2987</v>
      </c>
      <c r="I3157" s="13" t="s" ph="1">
        <v>9512</v>
      </c>
      <c r="M3157" s="14" t="str" ph="1">
        <f>IFERROR(INDEX([1]!_born[生没年],
MATCH(I3157,[1]!_born[作],0)),"")</f>
        <v/>
      </c>
      <c r="N3157" s="14" t="str" ph="1">
        <f>IFERROR(INDEX([1]!_born[生没年],
MATCH(K3157,[1]!_born[作],0)),"")</f>
        <v/>
      </c>
      <c r="O3157" s="13" t="s" ph="1">
        <v>9513</v>
      </c>
      <c r="R3157" s="16" t="s" ph="1">
        <v>3123</v>
      </c>
      <c r="S3157" s="13" t="s" ph="1">
        <v>3124</v>
      </c>
      <c r="T3157" s="13" t="s" ph="1">
        <v>9514</v>
      </c>
      <c r="U3157" s="16" ph="1">
        <v>44577</v>
      </c>
      <c r="V3157" s="17" ph="1">
        <f t="shared" si="32"/>
        <v>450.45000000000005</v>
      </c>
      <c r="W3157" s="17" ph="1">
        <f t="shared" si="33"/>
        <v>184.61538461538461</v>
      </c>
      <c r="X3157" s="13" t="s" ph="1">
        <v>2965</v>
      </c>
    </row>
    <row r="3158" spans="1:24" ht="22.5" customHeight="1" ph="1" x14ac:dyDescent="0.35">
      <c r="A3158" s="106" t="s" ph="1">
        <v>3130</v>
      </c>
      <c r="B3158" s="5" t="s" ph="1">
        <v>1596</v>
      </c>
      <c r="C3158" s="13" t="s" ph="1">
        <v>7591</v>
      </c>
      <c r="D3158" s="123" ph="1">
        <v>5</v>
      </c>
      <c r="E3158" s="123" ph="1">
        <v>13</v>
      </c>
      <c r="G3158" s="13" t="s" ph="1">
        <v>699</v>
      </c>
      <c r="H3158" s="13" t="s" ph="1">
        <v>2987</v>
      </c>
      <c r="I3158" s="13" t="s" ph="1">
        <v>9512</v>
      </c>
      <c r="M3158" s="14" t="str" ph="1">
        <f>IFERROR(INDEX([1]!_born[生没年],
MATCH(I3158,[1]!_born[作],0)),"")</f>
        <v/>
      </c>
      <c r="N3158" s="14" t="str" ph="1">
        <f>IFERROR(INDEX([1]!_born[生没年],
MATCH(K3158,[1]!_born[作],0)),"")</f>
        <v/>
      </c>
      <c r="O3158" s="13" t="s" ph="1">
        <v>9513</v>
      </c>
      <c r="R3158" s="16" t="s" ph="1">
        <v>3123</v>
      </c>
      <c r="S3158" s="13" t="s" ph="1">
        <v>3124</v>
      </c>
      <c r="T3158" s="13" t="s" ph="1">
        <v>9514</v>
      </c>
      <c r="U3158" s="16" ph="1">
        <v>44577</v>
      </c>
      <c r="V3158" s="17" ph="1">
        <f t="shared" si="32"/>
        <v>450.45000000000005</v>
      </c>
      <c r="W3158" s="17" ph="1">
        <f t="shared" si="33"/>
        <v>184.61538461538461</v>
      </c>
      <c r="X3158" s="13" t="s" ph="1">
        <v>2965</v>
      </c>
    </row>
    <row r="3159" spans="1:24" ht="22.5" customHeight="1" ph="1" x14ac:dyDescent="0.35">
      <c r="A3159" s="106" t="s" ph="1">
        <v>3131</v>
      </c>
      <c r="B3159" s="5" t="s" ph="1">
        <v>1596</v>
      </c>
      <c r="C3159" s="13" t="s" ph="1">
        <v>7591</v>
      </c>
      <c r="D3159" s="123" ph="1">
        <v>6</v>
      </c>
      <c r="E3159" s="123" ph="1">
        <v>13</v>
      </c>
      <c r="G3159" s="13" t="s" ph="1">
        <v>699</v>
      </c>
      <c r="H3159" s="13" t="s" ph="1">
        <v>2987</v>
      </c>
      <c r="I3159" s="13" t="s" ph="1">
        <v>9512</v>
      </c>
      <c r="M3159" s="14" t="str" ph="1">
        <f>IFERROR(INDEX([1]!_born[生没年],
MATCH(I3159,[1]!_born[作],0)),"")</f>
        <v/>
      </c>
      <c r="N3159" s="14" t="str" ph="1">
        <f>IFERROR(INDEX([1]!_born[生没年],
MATCH(K3159,[1]!_born[作],0)),"")</f>
        <v/>
      </c>
      <c r="O3159" s="13" t="s" ph="1">
        <v>9513</v>
      </c>
      <c r="R3159" s="16" t="s" ph="1">
        <v>3123</v>
      </c>
      <c r="S3159" s="13" t="s" ph="1">
        <v>3124</v>
      </c>
      <c r="T3159" s="13" t="s" ph="1">
        <v>9514</v>
      </c>
      <c r="U3159" s="16" ph="1">
        <v>44577</v>
      </c>
      <c r="V3159" s="17" ph="1">
        <f t="shared" si="32"/>
        <v>450.45000000000005</v>
      </c>
      <c r="W3159" s="17" ph="1">
        <f t="shared" si="33"/>
        <v>184.61538461538461</v>
      </c>
      <c r="X3159" s="13" t="s" ph="1">
        <v>2965</v>
      </c>
    </row>
    <row r="3160" spans="1:24" ht="22.5" customHeight="1" ph="1" x14ac:dyDescent="0.35">
      <c r="A3160" s="106" t="s" ph="1">
        <v>3129</v>
      </c>
      <c r="B3160" s="5" t="s" ph="1">
        <v>1596</v>
      </c>
      <c r="C3160" s="13" t="s" ph="1">
        <v>7591</v>
      </c>
      <c r="D3160" s="123" ph="1">
        <v>7</v>
      </c>
      <c r="E3160" s="123" ph="1">
        <v>13</v>
      </c>
      <c r="G3160" s="13" t="s" ph="1">
        <v>699</v>
      </c>
      <c r="H3160" s="13" t="s" ph="1">
        <v>2987</v>
      </c>
      <c r="I3160" s="13" t="s" ph="1">
        <v>9512</v>
      </c>
      <c r="M3160" s="14" t="str" ph="1">
        <f>IFERROR(INDEX([1]!_born[生没年],
MATCH(I3160,[1]!_born[作],0)),"")</f>
        <v/>
      </c>
      <c r="N3160" s="14" t="str" ph="1">
        <f>IFERROR(INDEX([1]!_born[生没年],
MATCH(K3160,[1]!_born[作],0)),"")</f>
        <v/>
      </c>
      <c r="O3160" s="13" t="s" ph="1">
        <v>9513</v>
      </c>
      <c r="R3160" s="16" t="s" ph="1">
        <v>3123</v>
      </c>
      <c r="S3160" s="13" t="s" ph="1">
        <v>3124</v>
      </c>
      <c r="T3160" s="13" t="s" ph="1">
        <v>9514</v>
      </c>
      <c r="U3160" s="16" ph="1">
        <v>44577</v>
      </c>
      <c r="V3160" s="17" ph="1">
        <f t="shared" si="32"/>
        <v>450.45000000000005</v>
      </c>
      <c r="W3160" s="17" ph="1">
        <f t="shared" si="33"/>
        <v>184.61538461538461</v>
      </c>
      <c r="X3160" s="13" t="s" ph="1">
        <v>2965</v>
      </c>
    </row>
    <row r="3161" spans="1:24" ht="22.5" customHeight="1" ph="1" x14ac:dyDescent="0.35">
      <c r="A3161" s="106" t="s" ph="1">
        <v>3132</v>
      </c>
      <c r="B3161" s="5" t="s" ph="1">
        <v>1596</v>
      </c>
      <c r="C3161" s="13" t="s" ph="1">
        <v>7591</v>
      </c>
      <c r="D3161" s="123" ph="1">
        <v>8</v>
      </c>
      <c r="E3161" s="123" ph="1">
        <v>13</v>
      </c>
      <c r="G3161" s="13" t="s" ph="1">
        <v>699</v>
      </c>
      <c r="H3161" s="13" t="s" ph="1">
        <v>2987</v>
      </c>
      <c r="I3161" s="13" t="s" ph="1">
        <v>9512</v>
      </c>
      <c r="M3161" s="14" t="str" ph="1">
        <f>IFERROR(INDEX([1]!_born[生没年],
MATCH(I3161,[1]!_born[作],0)),"")</f>
        <v/>
      </c>
      <c r="N3161" s="14" t="str" ph="1">
        <f>IFERROR(INDEX([1]!_born[生没年],
MATCH(K3161,[1]!_born[作],0)),"")</f>
        <v/>
      </c>
      <c r="O3161" s="13" t="s" ph="1">
        <v>9513</v>
      </c>
      <c r="R3161" s="16" t="s" ph="1">
        <v>3123</v>
      </c>
      <c r="S3161" s="13" t="s" ph="1">
        <v>3124</v>
      </c>
      <c r="T3161" s="13" t="s" ph="1">
        <v>9514</v>
      </c>
      <c r="U3161" s="16" ph="1">
        <v>44577</v>
      </c>
      <c r="V3161" s="17" ph="1">
        <f t="shared" si="32"/>
        <v>450.45000000000005</v>
      </c>
      <c r="W3161" s="17" ph="1">
        <f t="shared" si="33"/>
        <v>184.61538461538461</v>
      </c>
      <c r="X3161" s="13" t="s" ph="1">
        <v>2965</v>
      </c>
    </row>
    <row r="3162" spans="1:24" ht="22.5" customHeight="1" ph="1" x14ac:dyDescent="0.35">
      <c r="A3162" s="106" t="s" ph="1">
        <v>3133</v>
      </c>
      <c r="B3162" s="5" t="s" ph="1">
        <v>1596</v>
      </c>
      <c r="C3162" s="13" t="s" ph="1">
        <v>7591</v>
      </c>
      <c r="D3162" s="123" ph="1">
        <v>9</v>
      </c>
      <c r="E3162" s="123" ph="1">
        <v>13</v>
      </c>
      <c r="G3162" s="13" t="s" ph="1">
        <v>699</v>
      </c>
      <c r="H3162" s="13" t="s" ph="1">
        <v>2987</v>
      </c>
      <c r="I3162" s="13" t="s" ph="1">
        <v>9512</v>
      </c>
      <c r="M3162" s="14" t="str" ph="1">
        <f>IFERROR(INDEX([1]!_born[生没年],
MATCH(I3162,[1]!_born[作],0)),"")</f>
        <v/>
      </c>
      <c r="N3162" s="14" t="str" ph="1">
        <f>IFERROR(INDEX([1]!_born[生没年],
MATCH(K3162,[1]!_born[作],0)),"")</f>
        <v/>
      </c>
      <c r="O3162" s="13" t="s" ph="1">
        <v>9513</v>
      </c>
      <c r="R3162" s="16" t="s" ph="1">
        <v>3123</v>
      </c>
      <c r="S3162" s="13" t="s" ph="1">
        <v>3124</v>
      </c>
      <c r="T3162" s="13" t="s" ph="1">
        <v>9514</v>
      </c>
      <c r="U3162" s="16" ph="1">
        <v>44577</v>
      </c>
      <c r="V3162" s="17" ph="1">
        <f t="shared" si="32"/>
        <v>450.45000000000005</v>
      </c>
      <c r="W3162" s="17" ph="1">
        <f t="shared" si="33"/>
        <v>184.61538461538461</v>
      </c>
      <c r="X3162" s="13" t="s" ph="1">
        <v>2965</v>
      </c>
    </row>
    <row r="3163" spans="1:24" ht="22.5" customHeight="1" ph="1" x14ac:dyDescent="0.35">
      <c r="A3163" s="106" t="s" ph="1">
        <v>3135</v>
      </c>
      <c r="B3163" s="5" t="s" ph="1">
        <v>1596</v>
      </c>
      <c r="C3163" s="13" t="s" ph="1">
        <v>7591</v>
      </c>
      <c r="D3163" s="123" ph="1">
        <v>10</v>
      </c>
      <c r="E3163" s="123" ph="1">
        <v>13</v>
      </c>
      <c r="G3163" s="13" t="s" ph="1">
        <v>699</v>
      </c>
      <c r="H3163" s="13" t="s" ph="1">
        <v>2987</v>
      </c>
      <c r="I3163" s="13" t="s" ph="1">
        <v>9512</v>
      </c>
      <c r="M3163" s="14" t="str" ph="1">
        <f>IFERROR(INDEX([1]!_born[生没年],
MATCH(I3163,[1]!_born[作],0)),"")</f>
        <v/>
      </c>
      <c r="N3163" s="14" t="str" ph="1">
        <f>IFERROR(INDEX([1]!_born[生没年],
MATCH(K3163,[1]!_born[作],0)),"")</f>
        <v/>
      </c>
      <c r="O3163" s="13" t="s" ph="1">
        <v>9513</v>
      </c>
      <c r="R3163" s="16" t="s" ph="1">
        <v>3123</v>
      </c>
      <c r="S3163" s="13" t="s" ph="1">
        <v>3124</v>
      </c>
      <c r="T3163" s="13" t="s" ph="1">
        <v>9514</v>
      </c>
      <c r="U3163" s="16" ph="1">
        <v>44577</v>
      </c>
      <c r="V3163" s="17" ph="1">
        <f t="shared" si="32"/>
        <v>450.45000000000005</v>
      </c>
      <c r="W3163" s="17" ph="1">
        <f t="shared" si="33"/>
        <v>184.61538461538461</v>
      </c>
      <c r="X3163" s="13" t="s" ph="1">
        <v>2965</v>
      </c>
    </row>
    <row r="3164" spans="1:24" ht="22.5" customHeight="1" ph="1" x14ac:dyDescent="0.35">
      <c r="A3164" s="106" t="s" ph="1">
        <v>3136</v>
      </c>
      <c r="B3164" s="5" t="s" ph="1">
        <v>1596</v>
      </c>
      <c r="C3164" s="13" t="s" ph="1">
        <v>7591</v>
      </c>
      <c r="D3164" s="123" ph="1">
        <v>11</v>
      </c>
      <c r="E3164" s="123" ph="1">
        <v>13</v>
      </c>
      <c r="G3164" s="13" t="s" ph="1">
        <v>699</v>
      </c>
      <c r="H3164" s="13" t="s" ph="1">
        <v>2987</v>
      </c>
      <c r="I3164" s="13" t="s" ph="1">
        <v>9512</v>
      </c>
      <c r="M3164" s="14" t="str" ph="1">
        <f>IFERROR(INDEX([1]!_born[生没年],
MATCH(I3164,[1]!_born[作],0)),"")</f>
        <v/>
      </c>
      <c r="N3164" s="14" t="str" ph="1">
        <f>IFERROR(INDEX([1]!_born[生没年],
MATCH(K3164,[1]!_born[作],0)),"")</f>
        <v/>
      </c>
      <c r="O3164" s="13" t="s" ph="1">
        <v>9513</v>
      </c>
      <c r="R3164" s="16" t="s" ph="1">
        <v>3123</v>
      </c>
      <c r="S3164" s="13" t="s" ph="1">
        <v>3124</v>
      </c>
      <c r="T3164" s="13" t="s" ph="1">
        <v>9514</v>
      </c>
      <c r="U3164" s="16" ph="1">
        <v>44577</v>
      </c>
      <c r="V3164" s="17" ph="1">
        <f t="shared" si="32"/>
        <v>450.45000000000005</v>
      </c>
      <c r="W3164" s="17" ph="1">
        <f t="shared" si="33"/>
        <v>184.61538461538461</v>
      </c>
      <c r="X3164" s="13" t="s" ph="1">
        <v>2965</v>
      </c>
    </row>
    <row r="3165" spans="1:24" ht="22.5" customHeight="1" ph="1" x14ac:dyDescent="0.35">
      <c r="A3165" s="106" t="s" ph="1">
        <v>3137</v>
      </c>
      <c r="B3165" s="5" t="s" ph="1">
        <v>1596</v>
      </c>
      <c r="C3165" s="13" t="s" ph="1">
        <v>7591</v>
      </c>
      <c r="D3165" s="123" ph="1">
        <v>12</v>
      </c>
      <c r="E3165" s="123" ph="1">
        <v>13</v>
      </c>
      <c r="G3165" s="13" t="s" ph="1">
        <v>699</v>
      </c>
      <c r="H3165" s="13" t="s" ph="1">
        <v>2987</v>
      </c>
      <c r="I3165" s="13" t="s" ph="1">
        <v>9512</v>
      </c>
      <c r="M3165" s="14" t="str" ph="1">
        <f>IFERROR(INDEX([1]!_born[生没年],
MATCH(I3165,[1]!_born[作],0)),"")</f>
        <v/>
      </c>
      <c r="N3165" s="14" t="str" ph="1">
        <f>IFERROR(INDEX([1]!_born[生没年],
MATCH(K3165,[1]!_born[作],0)),"")</f>
        <v/>
      </c>
      <c r="O3165" s="13" t="s" ph="1">
        <v>9513</v>
      </c>
      <c r="R3165" s="16" t="s" ph="1">
        <v>3123</v>
      </c>
      <c r="S3165" s="13" t="s" ph="1">
        <v>3124</v>
      </c>
      <c r="T3165" s="13" t="s" ph="1">
        <v>9514</v>
      </c>
      <c r="U3165" s="16" ph="1">
        <v>44577</v>
      </c>
      <c r="V3165" s="17" ph="1">
        <f t="shared" si="32"/>
        <v>450.45000000000005</v>
      </c>
      <c r="W3165" s="17" ph="1">
        <f t="shared" si="33"/>
        <v>184.61538461538461</v>
      </c>
      <c r="X3165" s="13" t="s" ph="1">
        <v>2965</v>
      </c>
    </row>
    <row r="3166" spans="1:24" ht="22.5" customHeight="1" ph="1" x14ac:dyDescent="0.35">
      <c r="A3166" s="106" t="s" ph="1">
        <v>3134</v>
      </c>
      <c r="B3166" s="5" t="s" ph="1">
        <v>1596</v>
      </c>
      <c r="C3166" s="13" t="s" ph="1">
        <v>7591</v>
      </c>
      <c r="D3166" s="123" ph="1">
        <v>13</v>
      </c>
      <c r="E3166" s="123" ph="1">
        <v>13</v>
      </c>
      <c r="G3166" s="13" t="s" ph="1">
        <v>699</v>
      </c>
      <c r="H3166" s="13" t="s" ph="1">
        <v>2987</v>
      </c>
      <c r="I3166" s="13" t="s" ph="1">
        <v>9512</v>
      </c>
      <c r="M3166" s="14" t="str" ph="1">
        <f>IFERROR(INDEX([1]!_born[生没年],
MATCH(I3166,[1]!_born[作],0)),"")</f>
        <v/>
      </c>
      <c r="N3166" s="14" t="str" ph="1">
        <f>IFERROR(INDEX([1]!_born[生没年],
MATCH(K3166,[1]!_born[作],0)),"")</f>
        <v/>
      </c>
      <c r="O3166" s="13" t="s" ph="1">
        <v>9513</v>
      </c>
      <c r="R3166" s="16" t="s" ph="1">
        <v>3123</v>
      </c>
      <c r="S3166" s="13" t="s" ph="1">
        <v>3124</v>
      </c>
      <c r="T3166" s="13" t="s" ph="1">
        <v>9514</v>
      </c>
      <c r="U3166" s="16" ph="1">
        <v>44577</v>
      </c>
      <c r="V3166" s="17" ph="1">
        <f t="shared" si="32"/>
        <v>450.45000000000005</v>
      </c>
      <c r="W3166" s="17" ph="1">
        <f t="shared" si="33"/>
        <v>184.61538461538461</v>
      </c>
      <c r="X3166" s="13" t="s" ph="1">
        <v>2965</v>
      </c>
    </row>
    <row r="3167" spans="1:24" ht="22.5" customHeight="1" ph="1" x14ac:dyDescent="0.35">
      <c r="A3167" s="106" t="s" ph="1">
        <v>1678</v>
      </c>
      <c r="B3167" s="5" t="s" ph="1">
        <v>1622</v>
      </c>
      <c r="C3167" s="13" t="s" ph="1">
        <v>7591</v>
      </c>
      <c r="G3167" s="13" t="s" ph="1">
        <v>699</v>
      </c>
      <c r="H3167" s="13" t="s" ph="1">
        <v>2987</v>
      </c>
      <c r="I3167" s="13" t="s" ph="1">
        <v>9515</v>
      </c>
      <c r="M3167" s="14" t="str" ph="1">
        <f>IFERROR(INDEX([1]!_born[生没年],
MATCH(I3167,[1]!_born[作],0)),"")</f>
        <v/>
      </c>
      <c r="N3167" s="14" t="str" ph="1">
        <f>IFERROR(INDEX([1]!_born[生没年],
MATCH(K3167,[1]!_born[作],0)),"")</f>
        <v/>
      </c>
      <c r="O3167" s="13" t="s" ph="1">
        <v>9516</v>
      </c>
      <c r="T3167" s="13" t="s" ph="1">
        <v>9465</v>
      </c>
      <c r="U3167" s="16" t="s" ph="1">
        <v>2966</v>
      </c>
      <c r="V3167" s="17" ph="1">
        <f>680*1.03</f>
        <v>700.4</v>
      </c>
      <c r="W3167" s="17" ph="1">
        <v>108</v>
      </c>
      <c r="X3167" s="13" t="s" ph="1">
        <v>2965</v>
      </c>
    </row>
    <row r="3168" spans="1:24" ht="22.5" customHeight="1" ph="1" x14ac:dyDescent="0.35">
      <c r="A3168" s="106" t="s" ph="1">
        <v>1678</v>
      </c>
      <c r="B3168" s="5" t="s" ph="1">
        <v>1622</v>
      </c>
      <c r="C3168" s="13" t="s" ph="1">
        <v>7591</v>
      </c>
      <c r="G3168" s="13" t="s" ph="1">
        <v>699</v>
      </c>
      <c r="H3168" s="13" t="s" ph="1">
        <v>2987</v>
      </c>
      <c r="I3168" s="13" t="s" ph="1">
        <v>9515</v>
      </c>
      <c r="M3168" s="14" t="str" ph="1">
        <f>IFERROR(INDEX([1]!_born[生没年],
MATCH(I3168,[1]!_born[作],0)),"")</f>
        <v/>
      </c>
      <c r="N3168" s="14" t="str" ph="1">
        <f>IFERROR(INDEX([1]!_born[生没年],
MATCH(K3168,[1]!_born[作],0)),"")</f>
        <v/>
      </c>
      <c r="O3168" s="13" t="s" ph="1">
        <v>9517</v>
      </c>
      <c r="T3168" s="13" t="s" ph="1">
        <v>9465</v>
      </c>
      <c r="U3168" s="16" t="s" ph="1">
        <v>2966</v>
      </c>
      <c r="V3168" s="17" ph="1">
        <f>680*1.03</f>
        <v>700.4</v>
      </c>
      <c r="W3168" s="17" ph="1">
        <v>360</v>
      </c>
      <c r="X3168" s="13" t="s" ph="1">
        <v>2965</v>
      </c>
    </row>
    <row r="3169" spans="1:25" ht="22.5" customHeight="1" ph="1" x14ac:dyDescent="0.35">
      <c r="A3169" s="106" t="s" ph="1">
        <v>2989</v>
      </c>
      <c r="B3169" s="5" t="s" ph="1">
        <v>1622</v>
      </c>
      <c r="C3169" s="13" t="s" ph="1">
        <v>7591</v>
      </c>
      <c r="G3169" s="13" t="s" ph="1">
        <v>699</v>
      </c>
      <c r="H3169" s="13" t="s" ph="1">
        <v>2987</v>
      </c>
      <c r="I3169" s="13" t="s" ph="1">
        <v>9515</v>
      </c>
      <c r="M3169" s="14" t="str" ph="1">
        <f>IFERROR(INDEX([1]!_born[生没年],
MATCH(I3169,[1]!_born[作],0)),"")</f>
        <v/>
      </c>
      <c r="N3169" s="14" t="str" ph="1">
        <f>IFERROR(INDEX([1]!_born[生没年],
MATCH(K3169,[1]!_born[作],0)),"")</f>
        <v/>
      </c>
      <c r="O3169" s="13" t="s" ph="1">
        <v>9518</v>
      </c>
      <c r="T3169" s="13" t="s" ph="1">
        <v>9465</v>
      </c>
      <c r="U3169" s="16" t="s" ph="1">
        <v>2990</v>
      </c>
      <c r="V3169" s="17" ph="1">
        <f>550*1.05</f>
        <v>577.5</v>
      </c>
      <c r="W3169" s="17" ph="1">
        <f>100*1.08</f>
        <v>108</v>
      </c>
      <c r="X3169" s="13" t="s" ph="1">
        <v>2965</v>
      </c>
    </row>
    <row r="3170" spans="1:25" ht="22.5" customHeight="1" ph="1" x14ac:dyDescent="0.35">
      <c r="A3170" s="106" t="s" ph="1">
        <v>2991</v>
      </c>
      <c r="B3170" s="5" t="s" ph="1">
        <v>1622</v>
      </c>
      <c r="C3170" s="13" t="s" ph="1">
        <v>7591</v>
      </c>
      <c r="G3170" s="13" t="s" ph="1">
        <v>699</v>
      </c>
      <c r="H3170" s="13" t="s" ph="1">
        <v>2987</v>
      </c>
      <c r="I3170" s="13" t="s" ph="1">
        <v>9515</v>
      </c>
      <c r="M3170" s="14" t="str" ph="1">
        <f>IFERROR(INDEX([1]!_born[生没年],
MATCH(I3170,[1]!_born[作],0)),"")</f>
        <v/>
      </c>
      <c r="N3170" s="14" t="str" ph="1">
        <f>IFERROR(INDEX([1]!_born[生没年],
MATCH(K3170,[1]!_born[作],0)),"")</f>
        <v/>
      </c>
      <c r="O3170" s="13" t="s" ph="1">
        <v>9519</v>
      </c>
      <c r="T3170" s="13" t="s" ph="1">
        <v>9465</v>
      </c>
      <c r="U3170" s="16" t="s" ph="1">
        <v>2990</v>
      </c>
      <c r="V3170" s="17" ph="1">
        <f>550*1.05</f>
        <v>577.5</v>
      </c>
      <c r="W3170" s="17" ph="1">
        <f>100*1.08</f>
        <v>108</v>
      </c>
      <c r="X3170" s="13" t="s" ph="1">
        <v>2965</v>
      </c>
    </row>
    <row r="3171" spans="1:25" s="7" customFormat="1" ht="22.5" customHeight="1" ph="1" x14ac:dyDescent="0.35">
      <c r="A3171" s="106" ph="1"/>
      <c r="B3171" s="5" ph="1"/>
      <c r="C3171" s="9" t="s" ph="1">
        <v>9520</v>
      </c>
      <c r="D3171" s="122" ph="1"/>
      <c r="E3171" s="122" ph="1"/>
      <c r="G3171" s="8" t="s" ph="1">
        <v>9521</v>
      </c>
      <c r="H3171" s="9" ph="1"/>
      <c r="I3171" s="12" ph="1"/>
      <c r="J3171" s="12" ph="1"/>
      <c r="M3171" s="7" t="str" ph="1">
        <f>IFERROR(INDEX([1]!_born[生没年],
MATCH(I3171,[1]!_born[作],0)),"")</f>
        <v/>
      </c>
      <c r="N3171" s="7" t="str" ph="1">
        <f>IFERROR(INDEX([1]!_born[生没年],
MATCH(K3171,[1]!_born[作],0)),"")</f>
        <v/>
      </c>
      <c r="R3171" s="10" ph="1"/>
      <c r="U3171" s="10" ph="1"/>
      <c r="V3171" s="11" ph="1"/>
      <c r="W3171" s="11" ph="1"/>
    </row>
    <row r="3172" spans="1:25" ht="22.5" customHeight="1" ph="1" x14ac:dyDescent="0.35">
      <c r="A3172" s="106" t="s" ph="1">
        <v>2743</v>
      </c>
      <c r="C3172" s="13" t="s" ph="1">
        <v>25</v>
      </c>
      <c r="G3172" s="13" t="s" ph="1">
        <v>4758</v>
      </c>
      <c r="H3172" s="13" t="s" ph="1">
        <v>5798</v>
      </c>
      <c r="I3172" s="13" t="s" ph="1">
        <v>2744</v>
      </c>
      <c r="K3172" s="13" t="s" ph="1">
        <v>2748</v>
      </c>
      <c r="L3172" s="13" t="s" ph="1">
        <v>746</v>
      </c>
      <c r="M3172" s="14" t="str" ph="1">
        <f>IFERROR(INDEX([1]!_born[生没年],
MATCH(I3172,[1]!_born[作],0)),"")</f>
        <v/>
      </c>
      <c r="N3172" s="14" t="str" ph="1">
        <f>IFERROR(INDEX([1]!_born[生没年],
MATCH(K3172,[1]!_born[作],0)),"")</f>
        <v/>
      </c>
      <c r="O3172" s="13" t="s" ph="1">
        <v>2745</v>
      </c>
      <c r="R3172" s="16" ph="1">
        <v>41109</v>
      </c>
      <c r="S3172" s="13" t="s" ph="1">
        <v>2746</v>
      </c>
      <c r="T3172" s="13" t="s" ph="1">
        <v>2747</v>
      </c>
      <c r="U3172" s="16" ph="1">
        <v>41109</v>
      </c>
      <c r="V3172" s="17" t="s" ph="1">
        <v>1225</v>
      </c>
      <c r="W3172" s="17" ph="1">
        <v>0</v>
      </c>
      <c r="X3172" s="13" t="s" ph="1">
        <v>6179</v>
      </c>
    </row>
    <row r="3173" spans="1:25" ht="22.5" customHeight="1" ph="1" x14ac:dyDescent="0.35">
      <c r="C3173" s="13" t="s" ph="1">
        <v>391</v>
      </c>
      <c r="G3173" s="13" t="s" ph="1">
        <v>46</v>
      </c>
      <c r="H3173" s="13" t="s" ph="1">
        <v>4423</v>
      </c>
      <c r="I3173" s="13" t="s" ph="1">
        <v>2749</v>
      </c>
      <c r="M3173" s="14" t="str" ph="1">
        <f>IFERROR(INDEX([1]!_born[生没年],
MATCH(I3173,[1]!_born[作],0)),"")</f>
        <v/>
      </c>
      <c r="N3173" s="14" t="str" ph="1">
        <f>IFERROR(INDEX([1]!_born[生没年],
MATCH(K3173,[1]!_born[作],0)),"")</f>
        <v/>
      </c>
      <c r="O3173" s="13" t="s" ph="1">
        <v>2750</v>
      </c>
      <c r="R3173" s="16" t="s" ph="1">
        <v>2751</v>
      </c>
      <c r="T3173" s="13" t="s" ph="1">
        <v>2749</v>
      </c>
      <c r="U3173" s="16" t="s" ph="1">
        <v>2752</v>
      </c>
      <c r="V3173" s="17" t="s" ph="1">
        <v>2753</v>
      </c>
      <c r="W3173" s="17" ph="1">
        <v>0</v>
      </c>
      <c r="X3173" s="13" t="s" ph="1">
        <v>6179</v>
      </c>
    </row>
    <row r="3174" spans="1:25" ht="22.5" customHeight="1" ph="1" x14ac:dyDescent="0.35">
      <c r="C3174" s="13" t="s" ph="1">
        <v>391</v>
      </c>
      <c r="G3174" s="13" t="s" ph="1">
        <v>46</v>
      </c>
      <c r="H3174" s="13" t="s" ph="1">
        <v>4423</v>
      </c>
      <c r="I3174" s="13" t="s" ph="1">
        <v>2754</v>
      </c>
      <c r="M3174" s="14" t="str" ph="1">
        <f>IFERROR(INDEX([1]!_born[生没年],
MATCH(I3174,[1]!_born[作],0)),"")</f>
        <v/>
      </c>
      <c r="N3174" s="14" t="str" ph="1">
        <f>IFERROR(INDEX([1]!_born[生没年],
MATCH(K3174,[1]!_born[作],0)),"")</f>
        <v/>
      </c>
      <c r="O3174" s="13" t="s" ph="1">
        <v>2755</v>
      </c>
      <c r="R3174" s="16" t="s" ph="1">
        <v>781</v>
      </c>
      <c r="S3174" s="13" t="s" ph="1">
        <v>9522</v>
      </c>
      <c r="T3174" s="13" t="s" ph="1">
        <v>2754</v>
      </c>
      <c r="U3174" s="16" t="s" ph="1">
        <v>2752</v>
      </c>
      <c r="V3174" s="17" t="s" ph="1">
        <v>2753</v>
      </c>
      <c r="W3174" s="17" ph="1">
        <v>0</v>
      </c>
      <c r="X3174" s="13" t="s" ph="1">
        <v>6179</v>
      </c>
    </row>
    <row r="3175" spans="1:25" ht="22.5" customHeight="1" ph="1" x14ac:dyDescent="0.35">
      <c r="C3175" s="13" t="s" ph="1">
        <v>391</v>
      </c>
      <c r="G3175" s="13" t="s" ph="1">
        <v>46</v>
      </c>
      <c r="H3175" s="13" t="s" ph="1">
        <v>4423</v>
      </c>
      <c r="I3175" s="13" t="s" ph="1">
        <v>2754</v>
      </c>
      <c r="M3175" s="14" t="str" ph="1">
        <f>IFERROR(INDEX([1]!_born[生没年],
MATCH(I3175,[1]!_born[作],0)),"")</f>
        <v/>
      </c>
      <c r="N3175" s="14" t="str" ph="1">
        <f>IFERROR(INDEX([1]!_born[生没年],
MATCH(K3175,[1]!_born[作],0)),"")</f>
        <v/>
      </c>
      <c r="O3175" s="13" t="s" ph="1">
        <v>2756</v>
      </c>
      <c r="R3175" s="16" t="s" ph="1">
        <v>2758</v>
      </c>
      <c r="S3175" s="13" t="s" ph="1">
        <v>9522</v>
      </c>
      <c r="T3175" s="13" t="s" ph="1">
        <v>2754</v>
      </c>
      <c r="U3175" s="16" t="s" ph="1">
        <v>2752</v>
      </c>
      <c r="V3175" s="17" t="s" ph="1">
        <v>2753</v>
      </c>
      <c r="W3175" s="17" ph="1">
        <v>0</v>
      </c>
      <c r="X3175" s="13" t="s" ph="1">
        <v>6179</v>
      </c>
    </row>
    <row r="3176" spans="1:25" ht="22.5" customHeight="1" ph="1" x14ac:dyDescent="0.35">
      <c r="C3176" s="13" t="s" ph="1">
        <v>391</v>
      </c>
      <c r="G3176" s="13" t="s" ph="1">
        <v>46</v>
      </c>
      <c r="H3176" s="13" t="s" ph="1">
        <v>4423</v>
      </c>
      <c r="I3176" s="13" t="s" ph="1">
        <v>2754</v>
      </c>
      <c r="M3176" s="14" t="str" ph="1">
        <f>IFERROR(INDEX([1]!_born[生没年],
MATCH(I3176,[1]!_born[作],0)),"")</f>
        <v/>
      </c>
      <c r="N3176" s="14" t="str" ph="1">
        <f>IFERROR(INDEX([1]!_born[生没年],
MATCH(K3176,[1]!_born[作],0)),"")</f>
        <v/>
      </c>
      <c r="O3176" s="13" t="s" ph="1">
        <v>2757</v>
      </c>
      <c r="R3176" s="16" t="s" ph="1">
        <v>2759</v>
      </c>
      <c r="S3176" s="13" t="s" ph="1">
        <v>9522</v>
      </c>
      <c r="T3176" s="13" t="s" ph="1">
        <v>2754</v>
      </c>
      <c r="U3176" s="16" t="s" ph="1">
        <v>2752</v>
      </c>
      <c r="V3176" s="17" t="s" ph="1">
        <v>2753</v>
      </c>
      <c r="W3176" s="17" ph="1">
        <v>0</v>
      </c>
      <c r="X3176" s="13" t="s" ph="1">
        <v>6179</v>
      </c>
    </row>
    <row r="3177" spans="1:25" ht="22.5" customHeight="1" ph="1" x14ac:dyDescent="0.35">
      <c r="C3177" s="13" t="s" ph="1">
        <v>25</v>
      </c>
      <c r="G3177" s="13" t="s" ph="1">
        <v>2491</v>
      </c>
      <c r="H3177" s="13" t="s" ph="1">
        <v>4423</v>
      </c>
      <c r="I3177" s="13" t="s" ph="1">
        <v>10219</v>
      </c>
      <c r="M3177" s="14" t="str" ph="1">
        <f>IFERROR(INDEX([1]!_born[生没年],
MATCH(I3177,[1]!_born[作],0)),"")</f>
        <v/>
      </c>
      <c r="N3177" s="14" t="str" ph="1">
        <f>IFERROR(INDEX([1]!_born[生没年],
MATCH(K3177,[1]!_born[作],0)),"")</f>
        <v/>
      </c>
      <c r="O3177" s="13" t="s" ph="1">
        <v>10220</v>
      </c>
      <c r="R3177" s="16" t="s" ph="1">
        <v>10068</v>
      </c>
      <c r="T3177" s="13" t="s" ph="1">
        <v>10219</v>
      </c>
      <c r="U3177" s="16" t="s" ph="1">
        <v>10068</v>
      </c>
      <c r="V3177" s="17" ph="1">
        <v>0</v>
      </c>
      <c r="W3177" s="17" ph="1">
        <v>0</v>
      </c>
      <c r="X3177" s="13" t="s" ph="1">
        <v>10219</v>
      </c>
    </row>
    <row r="3178" spans="1:25" ht="22.5" customHeight="1" ph="1" x14ac:dyDescent="0.35">
      <c r="C3178" s="13" t="s" ph="1">
        <v>25</v>
      </c>
      <c r="G3178" s="13" t="s" ph="1">
        <v>2491</v>
      </c>
      <c r="H3178" s="13" t="s" ph="1">
        <v>4423</v>
      </c>
      <c r="I3178" s="13" t="s" ph="1">
        <v>10221</v>
      </c>
      <c r="M3178" s="14" t="str" ph="1">
        <f>IFERROR(INDEX([1]!_born[生没年],
MATCH(I3178,[1]!_born[作],0)),"")</f>
        <v/>
      </c>
      <c r="N3178" s="14" t="str" ph="1">
        <f>IFERROR(INDEX([1]!_born[生没年],
MATCH(K3178,[1]!_born[作],0)),"")</f>
        <v/>
      </c>
      <c r="O3178" s="13" t="s" ph="1">
        <v>10222</v>
      </c>
      <c r="R3178" s="16" t="s" ph="1">
        <v>10070</v>
      </c>
      <c r="T3178" s="13" t="s" ph="1">
        <v>10221</v>
      </c>
      <c r="U3178" s="16" t="s" ph="1">
        <v>10070</v>
      </c>
      <c r="V3178" s="17" ph="1">
        <v>0</v>
      </c>
      <c r="W3178" s="17" ph="1">
        <v>0</v>
      </c>
      <c r="X3178" s="13" t="s" ph="1">
        <v>10221</v>
      </c>
    </row>
    <row r="3179" spans="1:25" ht="22.5" customHeight="1" ph="1" x14ac:dyDescent="0.35">
      <c r="C3179" s="13" t="s" ph="1">
        <v>25</v>
      </c>
      <c r="G3179" s="13" t="s" ph="1">
        <v>2491</v>
      </c>
      <c r="H3179" s="13" t="s" ph="1">
        <v>4423</v>
      </c>
      <c r="I3179" s="13" t="s" ph="1">
        <v>10221</v>
      </c>
      <c r="M3179" s="14" t="str" ph="1">
        <f>IFERROR(INDEX([1]!_born[生没年],
MATCH(I3179,[1]!_born[作],0)),"")</f>
        <v/>
      </c>
      <c r="N3179" s="14" t="str" ph="1">
        <f>IFERROR(INDEX([1]!_born[生没年],
MATCH(K3179,[1]!_born[作],0)),"")</f>
        <v/>
      </c>
      <c r="O3179" s="13" t="s" ph="1">
        <v>10223</v>
      </c>
      <c r="R3179" s="16" t="s" ph="1">
        <v>10069</v>
      </c>
      <c r="T3179" s="13" t="s" ph="1">
        <v>10221</v>
      </c>
      <c r="U3179" s="16" t="s" ph="1">
        <v>10069</v>
      </c>
      <c r="V3179" s="17" ph="1">
        <v>0</v>
      </c>
      <c r="W3179" s="17" ph="1">
        <v>0</v>
      </c>
      <c r="X3179" s="13" t="s" ph="1">
        <v>10221</v>
      </c>
    </row>
    <row r="3180" spans="1:25" ht="22.5" customHeight="1" ph="1" x14ac:dyDescent="0.35">
      <c r="A3180" s="106" t="s" ph="1">
        <v>1718</v>
      </c>
      <c r="B3180" s="5" t="s" ph="1">
        <v>1719</v>
      </c>
      <c r="C3180" s="13" t="s" ph="1">
        <v>1720</v>
      </c>
      <c r="G3180" s="13" t="s" ph="1">
        <v>705</v>
      </c>
      <c r="H3180" s="13" t="s" ph="1">
        <v>4423</v>
      </c>
      <c r="I3180" s="13" t="s" ph="1">
        <v>9523</v>
      </c>
      <c r="M3180" s="14" t="str" ph="1">
        <f>IFERROR(INDEX([1]!_born[生没年],
MATCH(I3180,[1]!_born[作],0)),"")</f>
        <v/>
      </c>
      <c r="N3180" s="14" t="str" ph="1">
        <f>IFERROR(INDEX([1]!_born[生没年],
MATCH(K3180,[1]!_born[作],0)),"")</f>
        <v/>
      </c>
      <c r="O3180" s="13" t="s" ph="1">
        <v>9524</v>
      </c>
      <c r="R3180" s="16" t="s" ph="1">
        <v>1721</v>
      </c>
      <c r="T3180" s="13" t="s" ph="1">
        <v>9525</v>
      </c>
      <c r="U3180" s="16" ph="1">
        <v>39722</v>
      </c>
      <c r="V3180" s="17" ph="1">
        <f>1900*1.05</f>
        <v>1995</v>
      </c>
      <c r="W3180" s="17" ph="1">
        <v>0</v>
      </c>
      <c r="X3180" s="13" t="s" ph="1">
        <v>9523</v>
      </c>
    </row>
    <row r="3181" spans="1:25" ht="22.5" customHeight="1" ph="1" x14ac:dyDescent="0.35">
      <c r="C3181" s="13" t="s" ph="1">
        <v>2549</v>
      </c>
      <c r="G3181" s="13" t="s" ph="1">
        <v>3803</v>
      </c>
      <c r="H3181" s="13" t="s" ph="1">
        <v>2550</v>
      </c>
      <c r="I3181" s="13" t="s" ph="1">
        <v>9526</v>
      </c>
      <c r="M3181" s="14" t="str" ph="1">
        <f>IFERROR(INDEX([1]!_born[生没年],
MATCH(I3181,[1]!_born[作],0)),"")</f>
        <v/>
      </c>
      <c r="N3181" s="14" t="str" ph="1">
        <f>IFERROR(INDEX([1]!_born[生没年],
MATCH(K3181,[1]!_born[作],0)),"")</f>
        <v/>
      </c>
      <c r="O3181" s="13" t="s" ph="1">
        <v>9527</v>
      </c>
      <c r="T3181" s="13" t="s" ph="1">
        <v>9528</v>
      </c>
      <c r="U3181" s="16" t="s" ph="1">
        <v>2551</v>
      </c>
      <c r="V3181" s="17" ph="1">
        <v>0</v>
      </c>
      <c r="W3181" s="17" ph="1">
        <v>0</v>
      </c>
    </row>
    <row r="3182" spans="1:25" ht="22.5" customHeight="1" ph="1" x14ac:dyDescent="0.35">
      <c r="C3182" s="13" t="s" ph="1">
        <v>4106</v>
      </c>
      <c r="G3182" s="13" t="s" ph="1">
        <v>3803</v>
      </c>
      <c r="H3182" s="13" t="s" ph="1">
        <v>4423</v>
      </c>
      <c r="I3182" s="13" t="s" ph="1">
        <v>9529</v>
      </c>
      <c r="M3182" s="14" t="str" ph="1">
        <f>IFERROR(INDEX([1]!_born[生没年],
MATCH(I3182,[1]!_born[作],0)),"")</f>
        <v/>
      </c>
      <c r="N3182" s="14" t="str" ph="1">
        <f>IFERROR(INDEX([1]!_born[生没年],
MATCH(K3182,[1]!_born[作],0)),"")</f>
        <v/>
      </c>
      <c r="O3182" s="13" t="s" ph="1">
        <v>2548</v>
      </c>
      <c r="R3182" s="16" ph="1">
        <v>40585</v>
      </c>
      <c r="T3182" s="13" t="s" ph="1">
        <v>9530</v>
      </c>
      <c r="U3182" s="16" ph="1">
        <v>40603</v>
      </c>
      <c r="V3182" s="17" ph="1">
        <v>0</v>
      </c>
      <c r="W3182" s="17" ph="1">
        <v>0</v>
      </c>
    </row>
    <row r="3183" spans="1:25" ht="22.5" customHeight="1" ph="1" x14ac:dyDescent="0.35">
      <c r="A3183" s="106" t="s" ph="1">
        <v>1722</v>
      </c>
      <c r="B3183" s="5" t="s" ph="1">
        <v>571</v>
      </c>
      <c r="C3183" s="13" t="s" ph="1">
        <v>4106</v>
      </c>
      <c r="G3183" s="13" t="s" ph="1">
        <v>6483</v>
      </c>
      <c r="H3183" s="13" t="s" ph="1">
        <v>4423</v>
      </c>
      <c r="I3183" s="13" t="s" ph="1">
        <v>9531</v>
      </c>
      <c r="M3183" s="14" t="str" ph="1">
        <f>IFERROR(INDEX([1]!_born[生没年],
MATCH(I3183,[1]!_born[作],0)),"")</f>
        <v/>
      </c>
      <c r="N3183" s="14" t="str" ph="1">
        <f>IFERROR(INDEX([1]!_born[生没年],
MATCH(K3183,[1]!_born[作],0)),"")</f>
        <v/>
      </c>
      <c r="O3183" s="13" t="s" ph="1">
        <v>9532</v>
      </c>
      <c r="T3183" s="13" t="s" ph="1">
        <v>9533</v>
      </c>
      <c r="U3183" s="16" ph="1">
        <v>38800</v>
      </c>
      <c r="V3183" s="17" ph="1">
        <f>800*1.05</f>
        <v>840</v>
      </c>
      <c r="W3183" s="17" ph="1">
        <v>0</v>
      </c>
      <c r="X3183" s="13" t="s" ph="1">
        <v>3907</v>
      </c>
      <c r="Y3183" s="13" t="s" ph="1">
        <v>3640</v>
      </c>
    </row>
    <row r="3184" spans="1:25" ht="22.5" customHeight="1" ph="1" x14ac:dyDescent="0.35">
      <c r="A3184" s="106" t="s" ph="1">
        <v>1722</v>
      </c>
      <c r="B3184" s="5" t="s" ph="1">
        <v>1723</v>
      </c>
      <c r="C3184" s="13" t="s" ph="1">
        <v>4106</v>
      </c>
      <c r="G3184" s="13" t="s" ph="1">
        <v>6483</v>
      </c>
      <c r="H3184" s="13" t="s" ph="1">
        <v>4423</v>
      </c>
      <c r="I3184" s="13" t="s" ph="1">
        <v>9534</v>
      </c>
      <c r="M3184" s="14" t="str" ph="1">
        <f>IFERROR(INDEX([1]!_born[生没年],
MATCH(I3184,[1]!_born[作],0)),"")</f>
        <v/>
      </c>
      <c r="N3184" s="14" t="str" ph="1">
        <f>IFERROR(INDEX([1]!_born[生没年],
MATCH(K3184,[1]!_born[作],0)),"")</f>
        <v/>
      </c>
      <c r="O3184" s="13" t="s" ph="1">
        <v>630</v>
      </c>
      <c r="T3184" s="13" t="s" ph="1">
        <v>9533</v>
      </c>
      <c r="U3184" s="16" ph="1">
        <v>38800</v>
      </c>
      <c r="V3184" s="17" ph="1">
        <f>800*1.05</f>
        <v>840</v>
      </c>
      <c r="W3184" s="17" ph="1">
        <v>0</v>
      </c>
      <c r="X3184" s="13" t="s" ph="1">
        <v>3907</v>
      </c>
      <c r="Y3184" s="13" t="s" ph="1">
        <v>3640</v>
      </c>
    </row>
    <row r="3185" spans="1:25" ht="22.5" customHeight="1" ph="1" x14ac:dyDescent="0.35">
      <c r="C3185" s="13" t="s" ph="1">
        <v>1285</v>
      </c>
      <c r="G3185" s="13" t="s" ph="1">
        <v>9535</v>
      </c>
      <c r="H3185" s="13" t="s" ph="1">
        <v>4423</v>
      </c>
      <c r="I3185" s="13" t="s" ph="1">
        <v>9536</v>
      </c>
      <c r="M3185" s="14" t="str" ph="1">
        <f>IFERROR(INDEX([1]!_born[生没年],
MATCH(I3185,[1]!_born[作],0)),"")</f>
        <v/>
      </c>
      <c r="N3185" s="14" t="str" ph="1">
        <f>IFERROR(INDEX([1]!_born[生没年],
MATCH(K3185,[1]!_born[作],0)),"")</f>
        <v/>
      </c>
      <c r="O3185" s="13" t="s" ph="1">
        <v>9537</v>
      </c>
      <c r="S3185" s="13" t="s" ph="1">
        <v>9538</v>
      </c>
      <c r="T3185" s="13" t="s" ph="1">
        <v>9539</v>
      </c>
      <c r="U3185" s="16" ph="1">
        <v>36959</v>
      </c>
      <c r="V3185" s="17" ph="1">
        <v>1700</v>
      </c>
      <c r="W3185" s="17" ph="1">
        <v>1700</v>
      </c>
      <c r="X3185" s="13" t="s" ph="1">
        <v>473</v>
      </c>
      <c r="Y3185" s="13" t="s" ph="1">
        <v>9085</v>
      </c>
    </row>
    <row r="3186" spans="1:25" ht="22.5" customHeight="1" ph="1" x14ac:dyDescent="0.35">
      <c r="C3186" s="13" t="s" ph="1">
        <v>25</v>
      </c>
      <c r="G3186" s="13" t="s" ph="1">
        <v>6483</v>
      </c>
      <c r="H3186" s="13" t="s" ph="1">
        <v>4423</v>
      </c>
      <c r="I3186" s="13" t="s" ph="1">
        <v>9540</v>
      </c>
      <c r="M3186" s="14" t="str" ph="1">
        <f>IFERROR(INDEX([1]!_born[生没年],
MATCH(I3186,[1]!_born[作],0)),"")</f>
        <v/>
      </c>
      <c r="N3186" s="14" t="str" ph="1">
        <f>IFERROR(INDEX([1]!_born[生没年],
MATCH(K3186,[1]!_born[作],0)),"")</f>
        <v/>
      </c>
      <c r="O3186" s="13" t="s" ph="1">
        <v>10224</v>
      </c>
      <c r="U3186" s="16" t="s" ph="1">
        <v>3167</v>
      </c>
      <c r="W3186" s="17" ph="1">
        <v>0</v>
      </c>
      <c r="X3186" s="13" t="s" ph="1">
        <v>3907</v>
      </c>
      <c r="Y3186" s="13" t="s" ph="1">
        <v>3640</v>
      </c>
    </row>
    <row r="3187" spans="1:25" ht="22.5" customHeight="1" ph="1" x14ac:dyDescent="0.35">
      <c r="C3187" s="13" t="s" ph="1">
        <v>4106</v>
      </c>
      <c r="G3187" s="13" t="s" ph="1">
        <v>6483</v>
      </c>
      <c r="H3187" s="13" t="s" ph="1">
        <v>4423</v>
      </c>
      <c r="I3187" s="13" t="s" ph="1">
        <v>9541</v>
      </c>
      <c r="M3187" s="14" t="str" ph="1">
        <f>IFERROR(INDEX([1]!_born[生没年],
MATCH(I3187,[1]!_born[作],0)),"")</f>
        <v/>
      </c>
      <c r="N3187" s="14" t="str" ph="1">
        <f>IFERROR(INDEX([1]!_born[生没年],
MATCH(K3187,[1]!_born[作],0)),"")</f>
        <v/>
      </c>
      <c r="O3187" s="13" t="s" ph="1">
        <v>9541</v>
      </c>
      <c r="S3187" s="13" t="s" ph="1">
        <v>5819</v>
      </c>
      <c r="W3187" s="17" ph="1">
        <v>0</v>
      </c>
    </row>
    <row r="3188" spans="1:25" ht="22.5" customHeight="1" ph="1" x14ac:dyDescent="0.35">
      <c r="A3188" s="106" t="s" ph="1">
        <v>2861</v>
      </c>
      <c r="B3188" s="5" t="s" ph="1">
        <v>2862</v>
      </c>
      <c r="C3188" s="13" t="s" ph="1">
        <v>25</v>
      </c>
      <c r="G3188" s="13" t="s" ph="1">
        <v>9542</v>
      </c>
      <c r="H3188" s="13" t="s" ph="1">
        <v>4423</v>
      </c>
      <c r="I3188" s="13" t="s" ph="1">
        <v>9543</v>
      </c>
      <c r="M3188" s="14" t="str" ph="1">
        <f>IFERROR(INDEX([1]!_born[生没年],
MATCH(I3188,[1]!_born[作],0)),"")</f>
        <v/>
      </c>
      <c r="N3188" s="14" t="str" ph="1">
        <f>IFERROR(INDEX([1]!_born[生没年],
MATCH(K3188,[1]!_born[作],0)),"")</f>
        <v/>
      </c>
      <c r="O3188" s="13" t="s" ph="1">
        <v>9544</v>
      </c>
      <c r="R3188" s="16" ph="1">
        <v>41765</v>
      </c>
      <c r="S3188" s="13" t="s" ph="1">
        <v>9545</v>
      </c>
      <c r="T3188" s="13" t="s" ph="1">
        <v>9546</v>
      </c>
      <c r="U3188" s="16" ph="1">
        <v>42372</v>
      </c>
      <c r="V3188" s="17" ph="1">
        <f>1429*1.05</f>
        <v>1500.45</v>
      </c>
      <c r="W3188" s="17" ph="1">
        <v>0</v>
      </c>
      <c r="X3188" s="13" t="s" ph="1">
        <v>3907</v>
      </c>
    </row>
    <row r="3189" spans="1:25" ht="22.5" customHeight="1" ph="1" x14ac:dyDescent="0.35">
      <c r="A3189" s="106" t="s" ph="1">
        <v>1724</v>
      </c>
      <c r="B3189" s="5" t="s" ph="1">
        <v>1725</v>
      </c>
      <c r="C3189" s="13" t="s" ph="1">
        <v>1285</v>
      </c>
      <c r="G3189" s="13" t="s" ph="1">
        <v>6483</v>
      </c>
      <c r="H3189" s="13" t="s" ph="1">
        <v>4423</v>
      </c>
      <c r="I3189" s="13" t="s" ph="1">
        <v>9547</v>
      </c>
      <c r="J3189" s="13" t="s" ph="1">
        <v>9548</v>
      </c>
      <c r="K3189" s="13" t="s" ph="1">
        <v>9549</v>
      </c>
      <c r="M3189" s="14" t="str" ph="1">
        <f>IFERROR(INDEX([1]!_born[生没年],
MATCH(I3189,[1]!_born[作],0)),"")</f>
        <v/>
      </c>
      <c r="N3189" s="14" t="str" ph="1">
        <f>IFERROR(INDEX([1]!_born[生没年],
MATCH(K3189,[1]!_born[作],0)),"")</f>
        <v/>
      </c>
      <c r="O3189" s="13" t="s" ph="1">
        <v>9550</v>
      </c>
      <c r="R3189" s="16" ph="1">
        <v>38565</v>
      </c>
      <c r="S3189" s="13" t="s" ph="1">
        <v>9551</v>
      </c>
      <c r="T3189" s="13" t="s" ph="1">
        <v>9552</v>
      </c>
      <c r="V3189" s="17" ph="1">
        <f>1429*1.05</f>
        <v>1500.45</v>
      </c>
      <c r="W3189" s="17" ph="1">
        <v>0</v>
      </c>
      <c r="X3189" s="13" t="s" ph="1">
        <v>3907</v>
      </c>
    </row>
    <row r="3190" spans="1:25" ht="22.5" customHeight="1" ph="1" x14ac:dyDescent="0.35">
      <c r="C3190" s="13" t="s" ph="1">
        <v>1285</v>
      </c>
      <c r="G3190" s="13" t="s" ph="1">
        <v>6483</v>
      </c>
      <c r="H3190" s="13" t="s" ph="1">
        <v>4423</v>
      </c>
      <c r="I3190" s="13" t="s" ph="1">
        <v>9553</v>
      </c>
      <c r="M3190" s="14" t="str" ph="1">
        <f>IFERROR(INDEX([1]!_born[生没年],
MATCH(I3190,[1]!_born[作],0)),"")</f>
        <v/>
      </c>
      <c r="N3190" s="14" t="str" ph="1">
        <f>IFERROR(INDEX([1]!_born[生没年],
MATCH(K3190,[1]!_born[作],0)),"")</f>
        <v/>
      </c>
      <c r="O3190" s="13" t="s" ph="1">
        <v>9554</v>
      </c>
      <c r="X3190" s="13" t="s" ph="1">
        <v>2629</v>
      </c>
    </row>
    <row r="3191" spans="1:25" ht="22.5" customHeight="1" ph="1" x14ac:dyDescent="0.35">
      <c r="C3191" s="13" t="s" ph="1">
        <v>1285</v>
      </c>
      <c r="G3191" s="13" t="s" ph="1">
        <v>6483</v>
      </c>
      <c r="H3191" s="13" t="s" ph="1">
        <v>4423</v>
      </c>
      <c r="I3191" s="13" t="s" ph="1">
        <v>9553</v>
      </c>
      <c r="M3191" s="14" t="str" ph="1">
        <f>IFERROR(INDEX([1]!_born[生没年],
MATCH(I3191,[1]!_born[作],0)),"")</f>
        <v/>
      </c>
      <c r="N3191" s="14" t="str" ph="1">
        <f>IFERROR(INDEX([1]!_born[生没年],
MATCH(K3191,[1]!_born[作],0)),"")</f>
        <v/>
      </c>
      <c r="O3191" s="13" t="s" ph="1">
        <v>9554</v>
      </c>
      <c r="S3191" s="13" t="s" ph="1">
        <v>9555</v>
      </c>
      <c r="T3191" s="13" t="s" ph="1">
        <v>9556</v>
      </c>
      <c r="W3191" s="17" ph="1">
        <v>0</v>
      </c>
    </row>
    <row r="3192" spans="1:25" ht="22.5" customHeight="1" ph="1" x14ac:dyDescent="0.35">
      <c r="C3192" s="13" t="s" ph="1">
        <v>4106</v>
      </c>
      <c r="G3192" s="13" t="s" ph="1">
        <v>6483</v>
      </c>
      <c r="H3192" s="13" t="s" ph="1">
        <v>4423</v>
      </c>
      <c r="I3192" s="13" t="s" ph="1">
        <v>9553</v>
      </c>
      <c r="M3192" s="14" t="str" ph="1">
        <f>IFERROR(INDEX([1]!_born[生没年],
MATCH(I3192,[1]!_born[作],0)),"")</f>
        <v/>
      </c>
      <c r="N3192" s="14" t="str" ph="1">
        <f>IFERROR(INDEX([1]!_born[生没年],
MATCH(K3192,[1]!_born[作],0)),"")</f>
        <v/>
      </c>
      <c r="O3192" s="13" t="s" ph="1">
        <v>9557</v>
      </c>
      <c r="S3192" s="13" t="s" ph="1">
        <v>9555</v>
      </c>
      <c r="W3192" s="17" ph="1">
        <v>0</v>
      </c>
    </row>
    <row r="3193" spans="1:25" ht="22.5" customHeight="1" ph="1" x14ac:dyDescent="0.35">
      <c r="C3193" s="13" t="s" ph="1">
        <v>4106</v>
      </c>
      <c r="G3193" s="13" t="s" ph="1">
        <v>6483</v>
      </c>
      <c r="H3193" s="13" t="s" ph="1">
        <v>4423</v>
      </c>
      <c r="I3193" s="13" t="s" ph="1">
        <v>9558</v>
      </c>
      <c r="M3193" s="14" t="str" ph="1">
        <f>IFERROR(INDEX([1]!_born[生没年],
MATCH(I3193,[1]!_born[作],0)),"")</f>
        <v/>
      </c>
      <c r="N3193" s="14" t="str" ph="1">
        <f>IFERROR(INDEX([1]!_born[生没年],
MATCH(K3193,[1]!_born[作],0)),"")</f>
        <v/>
      </c>
      <c r="O3193" s="13" t="s" ph="1">
        <v>9559</v>
      </c>
      <c r="S3193" s="13" t="s" ph="1">
        <v>5819</v>
      </c>
      <c r="W3193" s="17" ph="1">
        <v>0</v>
      </c>
    </row>
    <row r="3194" spans="1:25" ht="22.5" customHeight="1" ph="1" x14ac:dyDescent="0.35">
      <c r="C3194" s="13" t="s" ph="1">
        <v>4106</v>
      </c>
      <c r="G3194" s="13" t="s" ph="1">
        <v>6483</v>
      </c>
      <c r="H3194" s="13" t="s" ph="1">
        <v>4423</v>
      </c>
      <c r="I3194" s="13" t="s" ph="1">
        <v>9560</v>
      </c>
      <c r="M3194" s="14" t="str" ph="1">
        <f>IFERROR(INDEX([1]!_born[生没年],
MATCH(I3194,[1]!_born[作],0)),"")</f>
        <v/>
      </c>
      <c r="N3194" s="14" t="str" ph="1">
        <f>IFERROR(INDEX([1]!_born[生没年],
MATCH(K3194,[1]!_born[作],0)),"")</f>
        <v/>
      </c>
      <c r="O3194" s="13" t="s" ph="1">
        <v>9561</v>
      </c>
      <c r="R3194" s="16" t="s" ph="1">
        <v>1726</v>
      </c>
      <c r="S3194" s="13" t="s" ph="1">
        <v>9520</v>
      </c>
      <c r="W3194" s="17" ph="1">
        <v>0</v>
      </c>
    </row>
    <row r="3195" spans="1:25" ht="22.5" customHeight="1" ph="1" x14ac:dyDescent="0.35">
      <c r="C3195" s="13" t="s" ph="1">
        <v>4106</v>
      </c>
      <c r="G3195" s="13" t="s" ph="1">
        <v>6483</v>
      </c>
      <c r="H3195" s="13" t="s" ph="1">
        <v>1219</v>
      </c>
      <c r="I3195" s="13" t="s" ph="1">
        <v>9562</v>
      </c>
      <c r="M3195" s="14" t="str" ph="1">
        <f>IFERROR(INDEX([1]!_born[生没年],
MATCH(I3195,[1]!_born[作],0)),"")</f>
        <v/>
      </c>
      <c r="N3195" s="14" t="str" ph="1">
        <f>IFERROR(INDEX([1]!_born[生没年],
MATCH(K3195,[1]!_born[作],0)),"")</f>
        <v/>
      </c>
      <c r="O3195" s="13" t="s" ph="1">
        <v>9563</v>
      </c>
      <c r="S3195" s="13" t="s" ph="1">
        <v>9564</v>
      </c>
      <c r="T3195" s="13" t="s" ph="1">
        <v>9565</v>
      </c>
      <c r="V3195" s="17" ph="1">
        <v>1000</v>
      </c>
    </row>
    <row r="3196" spans="1:25" ht="22.5" customHeight="1" ph="1" x14ac:dyDescent="0.35">
      <c r="C3196" s="13" t="s" ph="1">
        <v>5796</v>
      </c>
      <c r="G3196" s="13" t="s" ph="1">
        <v>1727</v>
      </c>
      <c r="H3196" s="13" t="s" ph="1">
        <v>4423</v>
      </c>
      <c r="I3196" s="13" t="s" ph="1">
        <v>9566</v>
      </c>
      <c r="M3196" s="14" t="str" ph="1">
        <f>IFERROR(INDEX([1]!_born[生没年],
MATCH(I3196,[1]!_born[作],0)),"")</f>
        <v/>
      </c>
      <c r="N3196" s="14" t="str" ph="1">
        <f>IFERROR(INDEX([1]!_born[生没年],
MATCH(K3196,[1]!_born[作],0)),"")</f>
        <v/>
      </c>
      <c r="O3196" s="13" t="s" ph="1">
        <v>9567</v>
      </c>
      <c r="R3196" s="16" t="s" ph="1">
        <v>1728</v>
      </c>
      <c r="S3196" s="13" t="s" ph="1">
        <v>9568</v>
      </c>
      <c r="T3196" s="13" t="s" ph="1">
        <v>6988</v>
      </c>
      <c r="U3196" s="16" t="s" ph="1">
        <v>1430</v>
      </c>
      <c r="V3196" s="17" ph="1">
        <v>1200</v>
      </c>
      <c r="W3196" s="17" ph="1">
        <v>0</v>
      </c>
      <c r="X3196" s="13" t="s" ph="1">
        <v>9569</v>
      </c>
    </row>
    <row r="3197" spans="1:25" ht="22.5" customHeight="1" ph="1" x14ac:dyDescent="0.35">
      <c r="C3197" s="13" t="s" ph="1">
        <v>5796</v>
      </c>
      <c r="G3197" s="13" t="s" ph="1">
        <v>1727</v>
      </c>
      <c r="H3197" s="13" t="s" ph="1">
        <v>4423</v>
      </c>
      <c r="I3197" s="13" t="s" ph="1">
        <v>9566</v>
      </c>
      <c r="M3197" s="14" t="str" ph="1">
        <f>IFERROR(INDEX([1]!_born[生没年],
MATCH(I3197,[1]!_born[作],0)),"")</f>
        <v/>
      </c>
      <c r="N3197" s="14" t="str" ph="1">
        <f>IFERROR(INDEX([1]!_born[生没年],
MATCH(K3197,[1]!_born[作],0)),"")</f>
        <v/>
      </c>
      <c r="O3197" s="13" t="s" ph="1">
        <v>9570</v>
      </c>
      <c r="R3197" s="16" t="s" ph="1">
        <v>1729</v>
      </c>
      <c r="S3197" s="13" t="s" ph="1">
        <v>1730</v>
      </c>
      <c r="T3197" s="13" t="s" ph="1">
        <v>6988</v>
      </c>
      <c r="U3197" s="16" t="s" ph="1">
        <v>1430</v>
      </c>
      <c r="W3197" s="17" ph="1">
        <v>0</v>
      </c>
      <c r="X3197" s="13" t="s" ph="1">
        <v>9569</v>
      </c>
    </row>
    <row r="3198" spans="1:25" ht="22.5" customHeight="1" ph="1" x14ac:dyDescent="0.35">
      <c r="C3198" s="13" t="s" ph="1">
        <v>5796</v>
      </c>
      <c r="G3198" s="13" t="s" ph="1">
        <v>1727</v>
      </c>
      <c r="H3198" s="13" t="s" ph="1">
        <v>4423</v>
      </c>
      <c r="I3198" s="13" t="s" ph="1">
        <v>9566</v>
      </c>
      <c r="M3198" s="14" t="str" ph="1">
        <f>IFERROR(INDEX([1]!_born[生没年],
MATCH(I3198,[1]!_born[作],0)),"")</f>
        <v/>
      </c>
      <c r="N3198" s="14" t="str" ph="1">
        <f>IFERROR(INDEX([1]!_born[生没年],
MATCH(K3198,[1]!_born[作],0)),"")</f>
        <v/>
      </c>
      <c r="O3198" s="13" t="s" ph="1">
        <v>9571</v>
      </c>
      <c r="R3198" s="16" t="s" ph="1">
        <v>1731</v>
      </c>
      <c r="T3198" s="13" t="s" ph="1">
        <v>6988</v>
      </c>
      <c r="U3198" s="16" t="s" ph="1">
        <v>1430</v>
      </c>
      <c r="V3198" s="17" ph="1">
        <v>1500</v>
      </c>
      <c r="W3198" s="17" ph="1">
        <v>0</v>
      </c>
      <c r="X3198" s="13" t="s" ph="1">
        <v>9569</v>
      </c>
    </row>
    <row r="3199" spans="1:25" ht="22.5" customHeight="1" ph="1" x14ac:dyDescent="0.35">
      <c r="C3199" s="13" t="s" ph="1">
        <v>5796</v>
      </c>
      <c r="G3199" s="13" t="s" ph="1">
        <v>1727</v>
      </c>
      <c r="H3199" s="13" t="s" ph="1">
        <v>4423</v>
      </c>
      <c r="I3199" s="13" t="s" ph="1">
        <v>9566</v>
      </c>
      <c r="M3199" s="14" t="str" ph="1">
        <f>IFERROR(INDEX([1]!_born[生没年],
MATCH(I3199,[1]!_born[作],0)),"")</f>
        <v/>
      </c>
      <c r="N3199" s="14" t="str" ph="1">
        <f>IFERROR(INDEX([1]!_born[生没年],
MATCH(K3199,[1]!_born[作],0)),"")</f>
        <v/>
      </c>
      <c r="O3199" s="13" t="s" ph="1">
        <v>9572</v>
      </c>
      <c r="R3199" s="16" t="s" ph="1">
        <v>1732</v>
      </c>
      <c r="S3199" s="13" t="s" ph="1">
        <v>1733</v>
      </c>
      <c r="T3199" s="13" t="s" ph="1">
        <v>6988</v>
      </c>
      <c r="U3199" s="16" t="s" ph="1">
        <v>1430</v>
      </c>
      <c r="V3199" s="17" ph="1">
        <v>2800</v>
      </c>
      <c r="W3199" s="17" ph="1">
        <v>0</v>
      </c>
      <c r="X3199" s="13" t="s" ph="1">
        <v>9569</v>
      </c>
    </row>
    <row r="3200" spans="1:25" ht="22.5" customHeight="1" ph="1" x14ac:dyDescent="0.35">
      <c r="C3200" s="13" t="s" ph="1">
        <v>9220</v>
      </c>
      <c r="G3200" s="13" t="s" ph="1">
        <v>6483</v>
      </c>
      <c r="H3200" s="13" t="s" ph="1">
        <v>4423</v>
      </c>
      <c r="I3200" s="13" t="s" ph="1">
        <v>9573</v>
      </c>
      <c r="M3200" s="14" t="str" ph="1">
        <f>IFERROR(INDEX([1]!_born[生没年],
MATCH(I3200,[1]!_born[作],0)),"")</f>
        <v/>
      </c>
      <c r="N3200" s="14" t="str" ph="1">
        <f>IFERROR(INDEX([1]!_born[生没年],
MATCH(K3200,[1]!_born[作],0)),"")</f>
        <v/>
      </c>
      <c r="O3200" s="13" t="s" ph="1">
        <v>9574</v>
      </c>
      <c r="U3200" s="16" t="s" ph="1">
        <v>1217</v>
      </c>
      <c r="W3200" s="17" ph="1">
        <v>0</v>
      </c>
    </row>
    <row r="3201" spans="1:25" ht="22.5" customHeight="1" ph="1" x14ac:dyDescent="0.35">
      <c r="C3201" s="13" t="s" ph="1">
        <v>4106</v>
      </c>
      <c r="G3201" s="13" t="s" ph="1">
        <v>6483</v>
      </c>
      <c r="H3201" s="13" t="s" ph="1">
        <v>4423</v>
      </c>
      <c r="I3201" s="13" t="s" ph="1">
        <v>1734</v>
      </c>
      <c r="M3201" s="14" t="str" ph="1">
        <f>IFERROR(INDEX([1]!_born[生没年],
MATCH(I3201,[1]!_born[作],0)),"")</f>
        <v/>
      </c>
      <c r="N3201" s="14" t="str" ph="1">
        <f>IFERROR(INDEX([1]!_born[生没年],
MATCH(K3201,[1]!_born[作],0)),"")</f>
        <v/>
      </c>
      <c r="O3201" s="13" t="s" ph="1">
        <v>1734</v>
      </c>
      <c r="W3201" s="17" ph="1">
        <v>0</v>
      </c>
    </row>
    <row r="3202" spans="1:25" ht="22.5" customHeight="1" ph="1" x14ac:dyDescent="0.35">
      <c r="C3202" s="13" t="s" ph="1">
        <v>4106</v>
      </c>
      <c r="G3202" s="13" t="s" ph="1">
        <v>6483</v>
      </c>
      <c r="H3202" s="13" t="s" ph="1">
        <v>4423</v>
      </c>
      <c r="I3202" s="13" t="s" ph="1">
        <v>9575</v>
      </c>
      <c r="M3202" s="14" t="str" ph="1">
        <f>IFERROR(INDEX([1]!_born[生没年],
MATCH(I3202,[1]!_born[作],0)),"")</f>
        <v/>
      </c>
      <c r="N3202" s="14" t="str" ph="1">
        <f>IFERROR(INDEX([1]!_born[生没年],
MATCH(K3202,[1]!_born[作],0)),"")</f>
        <v/>
      </c>
      <c r="O3202" s="13" t="s" ph="1">
        <v>9576</v>
      </c>
      <c r="R3202" s="16" t="s" ph="1">
        <v>1735</v>
      </c>
      <c r="T3202" s="13" t="s" ph="1">
        <v>9577</v>
      </c>
      <c r="U3202" s="16" ph="1">
        <v>37023</v>
      </c>
      <c r="W3202" s="17" ph="1">
        <v>500</v>
      </c>
      <c r="X3202" s="13" t="s" ph="1">
        <v>3632</v>
      </c>
      <c r="Y3202" s="13" t="s" ph="1">
        <v>3633</v>
      </c>
    </row>
    <row r="3203" spans="1:25" ht="22.5" customHeight="1" ph="1" x14ac:dyDescent="0.35">
      <c r="C3203" s="13" t="s" ph="1">
        <v>3648</v>
      </c>
      <c r="G3203" s="13" t="s" ph="1">
        <v>1218</v>
      </c>
      <c r="H3203" s="13" t="s" ph="1">
        <v>4423</v>
      </c>
      <c r="I3203" s="13" t="s" ph="1">
        <v>9578</v>
      </c>
      <c r="K3203" s="13" t="s" ph="1">
        <v>9579</v>
      </c>
      <c r="M3203" s="14" t="str" ph="1">
        <f>IFERROR(INDEX([1]!_born[生没年],
MATCH(I3203,[1]!_born[作],0)),"")</f>
        <v/>
      </c>
      <c r="N3203" s="14" t="str" ph="1">
        <f>IFERROR(INDEX([1]!_born[生没年],
MATCH(K3203,[1]!_born[作],0)),"")</f>
        <v/>
      </c>
      <c r="O3203" s="13" t="s" ph="1">
        <v>9580</v>
      </c>
      <c r="R3203" s="16" t="s" ph="1">
        <v>9581</v>
      </c>
      <c r="S3203" s="13" t="s" ph="1">
        <v>1736</v>
      </c>
      <c r="T3203" s="13" t="s" ph="1">
        <v>9582</v>
      </c>
      <c r="U3203" s="16" ph="1">
        <v>38515</v>
      </c>
      <c r="V3203" s="17" ph="1">
        <v>1200</v>
      </c>
      <c r="W3203" s="17" ph="1">
        <v>0</v>
      </c>
    </row>
    <row r="3204" spans="1:25" ht="22.5" customHeight="1" ph="1" x14ac:dyDescent="0.35">
      <c r="A3204" s="106" t="s" ph="1">
        <v>1737</v>
      </c>
      <c r="B3204" s="5" t="s" ph="1">
        <v>1738</v>
      </c>
      <c r="C3204" s="13" t="s" ph="1">
        <v>3648</v>
      </c>
      <c r="G3204" s="13" t="s" ph="1">
        <v>1218</v>
      </c>
      <c r="H3204" s="13" t="s" ph="1">
        <v>4423</v>
      </c>
      <c r="I3204" s="13" t="s" ph="1">
        <v>9583</v>
      </c>
      <c r="M3204" s="14" t="str" ph="1">
        <f>IFERROR(INDEX([1]!_born[生没年],
MATCH(I3204,[1]!_born[作],0)),"")</f>
        <v/>
      </c>
      <c r="N3204" s="14" t="str" ph="1">
        <f>IFERROR(INDEX([1]!_born[生没年],
MATCH(K3204,[1]!_born[作],0)),"")</f>
        <v/>
      </c>
      <c r="O3204" s="13" t="s" ph="1">
        <v>9584</v>
      </c>
      <c r="R3204" s="16" t="s" ph="1">
        <v>1739</v>
      </c>
      <c r="S3204" s="13" t="s" ph="1">
        <v>9585</v>
      </c>
      <c r="T3204" s="13" t="s" ph="1">
        <v>9586</v>
      </c>
      <c r="U3204" s="16" ph="1">
        <v>38472</v>
      </c>
      <c r="V3204" s="17" ph="1">
        <f>700*1.05</f>
        <v>735</v>
      </c>
      <c r="W3204" s="17" ph="1">
        <v>0</v>
      </c>
    </row>
    <row r="3205" spans="1:25" ht="22.5" customHeight="1" ph="1" x14ac:dyDescent="0.35">
      <c r="A3205" s="106" t="s" ph="1">
        <v>1740</v>
      </c>
      <c r="B3205" s="5" t="s" ph="1">
        <v>1741</v>
      </c>
      <c r="C3205" s="13" t="s" ph="1">
        <v>3648</v>
      </c>
      <c r="G3205" s="13" t="s" ph="1">
        <v>1218</v>
      </c>
      <c r="H3205" s="13" t="s" ph="1">
        <v>4423</v>
      </c>
      <c r="I3205" s="13" t="s" ph="1">
        <v>9587</v>
      </c>
      <c r="M3205" s="14" t="str" ph="1">
        <f>IFERROR(INDEX([1]!_born[生没年],
MATCH(I3205,[1]!_born[作],0)),"")</f>
        <v/>
      </c>
      <c r="N3205" s="14" t="str" ph="1">
        <f>IFERROR(INDEX([1]!_born[生没年],
MATCH(K3205,[1]!_born[作],0)),"")</f>
        <v/>
      </c>
      <c r="O3205" s="13" t="s" ph="1">
        <v>9588</v>
      </c>
      <c r="S3205" s="13" t="s" ph="1">
        <v>9589</v>
      </c>
      <c r="T3205" s="13" t="s" ph="1">
        <v>9590</v>
      </c>
      <c r="U3205" s="16" ph="1">
        <v>38388</v>
      </c>
      <c r="V3205" s="17" ph="1">
        <f>700*1.05</f>
        <v>735</v>
      </c>
      <c r="W3205" s="17" ph="1">
        <v>0</v>
      </c>
    </row>
    <row r="3206" spans="1:25" ht="22.5" customHeight="1" ph="1" x14ac:dyDescent="0.35">
      <c r="C3206" s="13" t="s" ph="1">
        <v>3648</v>
      </c>
      <c r="G3206" s="13" t="s" ph="1">
        <v>46</v>
      </c>
      <c r="H3206" s="13" t="s" ph="1">
        <v>4423</v>
      </c>
      <c r="I3206" s="13" t="s" ph="1">
        <v>9591</v>
      </c>
      <c r="M3206" s="14" t="str" ph="1">
        <f>IFERROR(INDEX([1]!_born[生没年],
MATCH(I3206,[1]!_born[作],0)),"")</f>
        <v/>
      </c>
      <c r="N3206" s="14" t="str" ph="1">
        <f>IFERROR(INDEX([1]!_born[生没年],
MATCH(K3206,[1]!_born[作],0)),"")</f>
        <v/>
      </c>
      <c r="O3206" s="13" t="s" ph="1">
        <v>9592</v>
      </c>
      <c r="S3206" s="13" t="s" ph="1">
        <v>9593</v>
      </c>
      <c r="T3206" s="13" t="s" ph="1">
        <v>2452</v>
      </c>
      <c r="U3206" s="16" ph="1">
        <v>40075</v>
      </c>
      <c r="V3206" s="17" ph="1">
        <f>500*1.05</f>
        <v>525</v>
      </c>
      <c r="W3206" s="17" ph="1">
        <v>0</v>
      </c>
    </row>
    <row r="3207" spans="1:25" ht="22.5" customHeight="1" ph="1" x14ac:dyDescent="0.35">
      <c r="A3207" s="106" t="s" ph="1">
        <v>1742</v>
      </c>
      <c r="B3207" s="5" t="s" ph="1">
        <v>1741</v>
      </c>
      <c r="C3207" s="13" t="s" ph="1">
        <v>6459</v>
      </c>
      <c r="G3207" s="13" t="s" ph="1">
        <v>46</v>
      </c>
      <c r="H3207" s="13" t="s" ph="1">
        <v>4423</v>
      </c>
      <c r="I3207" s="13" t="s" ph="1">
        <v>1743</v>
      </c>
      <c r="M3207" s="14" t="str" ph="1">
        <f>IFERROR(INDEX([1]!_born[生没年],
MATCH(I3207,[1]!_born[作],0)),"")</f>
        <v/>
      </c>
      <c r="N3207" s="14" t="str" ph="1">
        <f>IFERROR(INDEX([1]!_born[生没年],
MATCH(K3207,[1]!_born[作],0)),"")</f>
        <v/>
      </c>
      <c r="O3207" s="13" t="s" ph="1">
        <v>685</v>
      </c>
      <c r="S3207" s="13" t="s" ph="1">
        <v>1744</v>
      </c>
      <c r="T3207" s="13" t="s" ph="1">
        <v>9594</v>
      </c>
      <c r="U3207" s="16" ph="1">
        <v>38388</v>
      </c>
      <c r="V3207" s="17" ph="1">
        <f>1000*1.05</f>
        <v>1050</v>
      </c>
      <c r="W3207" s="17" ph="1">
        <v>0</v>
      </c>
    </row>
    <row r="3208" spans="1:25" ht="22.5" customHeight="1" ph="1" x14ac:dyDescent="0.35">
      <c r="A3208" s="106" t="s" ph="1">
        <v>2963</v>
      </c>
      <c r="B3208" s="5" t="s" ph="1">
        <v>2964</v>
      </c>
      <c r="C3208" s="13" t="s" ph="1">
        <v>4106</v>
      </c>
      <c r="G3208" s="13" t="s" ph="1">
        <v>6483</v>
      </c>
      <c r="H3208" s="13" t="s" ph="1">
        <v>4423</v>
      </c>
      <c r="I3208" s="13" t="s" ph="1">
        <v>9595</v>
      </c>
      <c r="M3208" s="14" t="str" ph="1">
        <f>IFERROR(INDEX([1]!_born[生没年],
MATCH(I3208,[1]!_born[作],0)),"")</f>
        <v/>
      </c>
      <c r="N3208" s="14" t="str" ph="1">
        <f>IFERROR(INDEX([1]!_born[生没年],
MATCH(K3208,[1]!_born[作],0)),"")</f>
        <v/>
      </c>
      <c r="O3208" s="13" t="s" ph="1">
        <v>9596</v>
      </c>
      <c r="R3208" s="16" ph="1">
        <v>42865</v>
      </c>
      <c r="S3208" s="13" t="s" ph="1">
        <v>9597</v>
      </c>
      <c r="T3208" s="13" t="s" ph="1">
        <v>9598</v>
      </c>
      <c r="V3208" s="17" ph="1">
        <f>1500*1.08</f>
        <v>1620</v>
      </c>
      <c r="W3208" s="17" ph="1">
        <v>0</v>
      </c>
      <c r="X3208" s="13" t="s" ph="1">
        <v>9599</v>
      </c>
    </row>
    <row r="3209" spans="1:25" ht="22.5" customHeight="1" ph="1" x14ac:dyDescent="0.35">
      <c r="A3209" s="106" t="s" ph="1">
        <v>2979</v>
      </c>
      <c r="B3209" s="5" t="s" ph="1">
        <v>2964</v>
      </c>
      <c r="C3209" s="13" t="s" ph="1">
        <v>4106</v>
      </c>
      <c r="G3209" s="13" t="s" ph="1">
        <v>6483</v>
      </c>
      <c r="H3209" s="13" t="s" ph="1">
        <v>4423</v>
      </c>
      <c r="I3209" s="13" t="s" ph="1">
        <v>9600</v>
      </c>
      <c r="M3209" s="14" t="str" ph="1">
        <f>IFERROR(INDEX([1]!_born[生没年],
MATCH(I3209,[1]!_born[作],0)),"")</f>
        <v/>
      </c>
      <c r="N3209" s="14" t="str" ph="1">
        <f>IFERROR(INDEX([1]!_born[生没年],
MATCH(K3209,[1]!_born[作],0)),"")</f>
        <v/>
      </c>
      <c r="O3209" s="13" t="s" ph="1">
        <v>9601</v>
      </c>
      <c r="R3209" s="16" t="s" ph="1">
        <v>2966</v>
      </c>
      <c r="T3209" s="13" t="s" ph="1">
        <v>9602</v>
      </c>
      <c r="V3209" s="17" ph="1">
        <f>1600*1.08</f>
        <v>1728</v>
      </c>
      <c r="W3209" s="17" ph="1">
        <v>0</v>
      </c>
      <c r="X3209" s="13" t="s" ph="1">
        <v>9599</v>
      </c>
    </row>
    <row r="3210" spans="1:25" ht="22.5" customHeight="1" ph="1" x14ac:dyDescent="0.35">
      <c r="C3210" s="13" t="s" ph="1">
        <v>25</v>
      </c>
      <c r="G3210" s="13" t="s" ph="1">
        <v>9542</v>
      </c>
      <c r="H3210" s="13" t="s" ph="1">
        <v>4423</v>
      </c>
      <c r="I3210" s="13" t="s" ph="1">
        <v>9603</v>
      </c>
      <c r="M3210" s="14" t="str" ph="1">
        <f>IFERROR(INDEX([1]!_born[生没年],
MATCH(I3210,[1]!_born[作],0)),"")</f>
        <v/>
      </c>
      <c r="N3210" s="14" t="str" ph="1">
        <f>IFERROR(INDEX([1]!_born[生没年],
MATCH(K3210,[1]!_born[作],0)),"")</f>
        <v/>
      </c>
      <c r="O3210" s="13" t="s" ph="1">
        <v>9604</v>
      </c>
      <c r="R3210" s="16" t="s" ph="1">
        <v>2966</v>
      </c>
      <c r="T3210" s="13" t="s" ph="1">
        <v>9605</v>
      </c>
      <c r="V3210" s="17" ph="1">
        <v>0</v>
      </c>
      <c r="W3210" s="17" ph="1">
        <v>0</v>
      </c>
      <c r="X3210" s="13" t="s" ph="1">
        <v>9599</v>
      </c>
    </row>
    <row r="3211" spans="1:25" ht="22.5" customHeight="1" ph="1" x14ac:dyDescent="0.35">
      <c r="C3211" s="13" t="s" ph="1">
        <v>6459</v>
      </c>
      <c r="G3211" s="13" t="s" ph="1">
        <v>6483</v>
      </c>
      <c r="H3211" s="13" t="s" ph="1">
        <v>4423</v>
      </c>
      <c r="I3211" s="13" t="s" ph="1">
        <v>2939</v>
      </c>
      <c r="K3211" s="13" t="s" ph="1">
        <v>9606</v>
      </c>
      <c r="L3211" s="13" t="s" ph="1">
        <v>9607</v>
      </c>
      <c r="M3211" s="14" t="str" ph="1">
        <f>IFERROR(INDEX([1]!_born[生没年],
MATCH(I3211,[1]!_born[作],0)),"")</f>
        <v/>
      </c>
      <c r="N3211" s="14" t="str" ph="1">
        <f>IFERROR(INDEX([1]!_born[生没年],
MATCH(K3211,[1]!_born[作],0)),"")</f>
        <v/>
      </c>
      <c r="O3211" s="13" t="s" ph="1">
        <v>9608</v>
      </c>
      <c r="R3211" s="16" ph="1">
        <v>42552</v>
      </c>
      <c r="T3211" s="13" t="s" ph="1">
        <v>9609</v>
      </c>
      <c r="V3211" s="17" ph="1">
        <v>300</v>
      </c>
      <c r="W3211" s="17" ph="1">
        <v>0</v>
      </c>
      <c r="X3211" s="13" t="s" ph="1">
        <v>9599</v>
      </c>
    </row>
    <row r="3212" spans="1:25" ht="22.5" customHeight="1" ph="1" x14ac:dyDescent="0.35">
      <c r="C3212" s="13" t="s" ph="1">
        <v>6459</v>
      </c>
      <c r="G3212" s="13" t="s" ph="1">
        <v>6483</v>
      </c>
      <c r="H3212" s="13" t="s" ph="1">
        <v>4423</v>
      </c>
      <c r="I3212" s="13" t="s" ph="1">
        <v>9610</v>
      </c>
      <c r="M3212" s="14" t="str" ph="1">
        <f>IFERROR(INDEX([1]!_born[生没年],
MATCH(I3212,[1]!_born[作],0)),"")</f>
        <v/>
      </c>
      <c r="N3212" s="14" t="str" ph="1">
        <f>IFERROR(INDEX([1]!_born[生没年],
MATCH(K3212,[1]!_born[作],0)),"")</f>
        <v/>
      </c>
      <c r="O3212" s="13" t="s" ph="1">
        <v>9611</v>
      </c>
      <c r="R3212" s="16" ph="1">
        <v>32111</v>
      </c>
      <c r="T3212" s="13" t="s" ph="1">
        <v>9610</v>
      </c>
      <c r="V3212" s="17" ph="1">
        <f>100+120</f>
        <v>220</v>
      </c>
      <c r="W3212" s="17" ph="1">
        <v>0</v>
      </c>
      <c r="X3212" s="13" t="s" ph="1">
        <v>9599</v>
      </c>
    </row>
    <row r="3213" spans="1:25" ht="22.5" customHeight="1" ph="1" x14ac:dyDescent="0.35">
      <c r="C3213" s="13" t="s" ph="1">
        <v>6459</v>
      </c>
      <c r="G3213" s="13" t="s" ph="1">
        <v>6483</v>
      </c>
      <c r="H3213" s="13" t="s" ph="1">
        <v>4423</v>
      </c>
      <c r="I3213" s="13" t="s" ph="1">
        <v>9612</v>
      </c>
      <c r="M3213" s="14" t="str" ph="1">
        <f>IFERROR(INDEX([1]!_born[生没年],
MATCH(I3213,[1]!_born[作],0)),"")</f>
        <v/>
      </c>
      <c r="N3213" s="14" t="str" ph="1">
        <f>IFERROR(INDEX([1]!_born[生没年],
MATCH(K3213,[1]!_born[作],0)),"")</f>
        <v/>
      </c>
      <c r="O3213" s="13" t="s" ph="1">
        <v>9613</v>
      </c>
      <c r="R3213" s="16" ph="1">
        <v>31948</v>
      </c>
      <c r="T3213" s="13" t="s" ph="1">
        <v>9614</v>
      </c>
      <c r="V3213" s="17" ph="1">
        <f>300+120</f>
        <v>420</v>
      </c>
      <c r="W3213" s="17" ph="1">
        <v>0</v>
      </c>
      <c r="X3213" s="13" t="s" ph="1">
        <v>9599</v>
      </c>
    </row>
    <row r="3214" spans="1:25" s="19" customFormat="1" ht="22.5" customHeight="1" ph="1" x14ac:dyDescent="0.35">
      <c r="A3214" s="107" ph="1"/>
      <c r="B3214" s="18" ph="1"/>
      <c r="C3214" s="19" t="s" ph="1">
        <v>1745</v>
      </c>
      <c r="D3214" s="124" ph="1"/>
      <c r="E3214" s="124" ph="1"/>
      <c r="G3214" s="19" t="s" ph="1">
        <v>1218</v>
      </c>
      <c r="H3214" s="19" t="s" ph="1">
        <v>4472</v>
      </c>
      <c r="I3214" s="19" t="s" ph="1">
        <v>9615</v>
      </c>
      <c r="M3214" s="27" t="str" ph="1">
        <f>IFERROR(INDEX([1]!_born[生没年],
MATCH(I3214,[1]!_born[作],0)),"")</f>
        <v/>
      </c>
      <c r="N3214" s="27" t="str" ph="1">
        <f>IFERROR(INDEX([1]!_born[生没年],
MATCH(K3214,[1]!_born[作],0)),"")</f>
        <v/>
      </c>
      <c r="O3214" s="19" t="s" ph="1">
        <v>1746</v>
      </c>
      <c r="R3214" s="20" t="s" ph="1">
        <v>1747</v>
      </c>
      <c r="T3214" s="19" t="s" ph="1">
        <v>9615</v>
      </c>
      <c r="U3214" s="20" t="s" ph="1">
        <v>1748</v>
      </c>
      <c r="V3214" s="21" ph="1"/>
      <c r="W3214" s="21" ph="1">
        <v>0</v>
      </c>
    </row>
    <row r="3215" spans="1:25" s="19" customFormat="1" ht="22.5" customHeight="1" ph="1" x14ac:dyDescent="0.35">
      <c r="A3215" s="107" ph="1"/>
      <c r="B3215" s="18" ph="1"/>
      <c r="C3215" s="19" t="s" ph="1">
        <v>1745</v>
      </c>
      <c r="D3215" s="124" ph="1"/>
      <c r="E3215" s="124" ph="1"/>
      <c r="G3215" s="19" t="s" ph="1">
        <v>1218</v>
      </c>
      <c r="H3215" s="19" t="s" ph="1">
        <v>4472</v>
      </c>
      <c r="I3215" s="19" t="s" ph="1">
        <v>9615</v>
      </c>
      <c r="K3215" s="19" t="s" ph="1">
        <v>1749</v>
      </c>
      <c r="L3215" s="19" t="s" ph="1">
        <v>1750</v>
      </c>
      <c r="M3215" s="27" t="str" ph="1">
        <f>IFERROR(INDEX([1]!_born[生没年],
MATCH(I3215,[1]!_born[作],0)),"")</f>
        <v/>
      </c>
      <c r="N3215" s="27" t="str" ph="1">
        <f>IFERROR(INDEX([1]!_born[生没年],
MATCH(K3215,[1]!_born[作],0)),"")</f>
        <v/>
      </c>
      <c r="O3215" s="19" t="s" ph="1">
        <v>9616</v>
      </c>
      <c r="R3215" s="20" t="s" ph="1">
        <v>1751</v>
      </c>
      <c r="T3215" s="19" t="s" ph="1">
        <v>9615</v>
      </c>
      <c r="U3215" s="20" t="s" ph="1">
        <v>1748</v>
      </c>
      <c r="V3215" s="21" ph="1"/>
      <c r="W3215" s="21" ph="1">
        <v>0</v>
      </c>
    </row>
    <row r="3216" spans="1:25" ht="22.5" customHeight="1" ph="1" x14ac:dyDescent="0.35">
      <c r="C3216" s="13" t="s" ph="1">
        <v>1745</v>
      </c>
      <c r="G3216" s="13" t="s" ph="1">
        <v>6985</v>
      </c>
      <c r="H3216" s="13" t="s" ph="1">
        <v>4423</v>
      </c>
      <c r="I3216" s="13" t="s" ph="1">
        <v>9617</v>
      </c>
      <c r="M3216" s="14" t="str" ph="1">
        <f>IFERROR(INDEX([1]!_born[生没年],
MATCH(I3216,[1]!_born[作],0)),"")</f>
        <v/>
      </c>
      <c r="N3216" s="14" t="str" ph="1">
        <f>IFERROR(INDEX([1]!_born[生没年],
MATCH(K3216,[1]!_born[作],0)),"")</f>
        <v/>
      </c>
      <c r="O3216" s="13" t="s" ph="1">
        <v>9618</v>
      </c>
      <c r="R3216" s="16" t="s" ph="1">
        <v>1752</v>
      </c>
      <c r="T3216" s="13" t="s" ph="1">
        <v>9619</v>
      </c>
      <c r="U3216" s="16" ph="1">
        <v>38047</v>
      </c>
      <c r="V3216" s="17" ph="1">
        <v>0</v>
      </c>
      <c r="W3216" s="17" ph="1">
        <v>0</v>
      </c>
    </row>
    <row r="3217" spans="1:25" s="19" customFormat="1" ht="22.5" customHeight="1" ph="1" x14ac:dyDescent="0.35">
      <c r="A3217" s="107" ph="1"/>
      <c r="B3217" s="18" ph="1"/>
      <c r="C3217" s="19" t="s" ph="1">
        <v>1745</v>
      </c>
      <c r="D3217" s="124" ph="1"/>
      <c r="E3217" s="124" ph="1"/>
      <c r="G3217" s="19" t="s" ph="1">
        <v>3833</v>
      </c>
      <c r="H3217" s="19" t="s" ph="1">
        <v>1219</v>
      </c>
      <c r="I3217" s="19" t="s" ph="1">
        <v>9620</v>
      </c>
      <c r="M3217" s="27" t="str" ph="1">
        <f>IFERROR(INDEX([1]!_born[生没年],
MATCH(I3217,[1]!_born[作],0)),"")</f>
        <v/>
      </c>
      <c r="N3217" s="27" t="str" ph="1">
        <f>IFERROR(INDEX([1]!_born[生没年],
MATCH(K3217,[1]!_born[作],0)),"")</f>
        <v/>
      </c>
      <c r="O3217" s="19" t="s" ph="1">
        <v>9621</v>
      </c>
      <c r="R3217" s="20" ph="1"/>
      <c r="U3217" s="20" ph="1"/>
      <c r="V3217" s="21" ph="1">
        <v>500</v>
      </c>
      <c r="W3217" s="21" ph="1"/>
    </row>
    <row r="3218" spans="1:25" s="19" customFormat="1" ht="22.5" customHeight="1" ph="1" x14ac:dyDescent="0.35">
      <c r="A3218" s="107" ph="1"/>
      <c r="B3218" s="18" ph="1"/>
      <c r="C3218" s="19" t="s" ph="1">
        <v>1745</v>
      </c>
      <c r="D3218" s="124" ph="1"/>
      <c r="E3218" s="124" ph="1"/>
      <c r="G3218" s="19" t="s" ph="1">
        <v>3833</v>
      </c>
      <c r="H3218" s="19" t="s" ph="1">
        <v>1219</v>
      </c>
      <c r="I3218" s="19" t="s" ph="1">
        <v>9622</v>
      </c>
      <c r="J3218" s="19" t="s" ph="1">
        <v>3721</v>
      </c>
      <c r="M3218" s="27" t="str" ph="1">
        <f>IFERROR(INDEX([1]!_born[生没年],
MATCH(I3218,[1]!_born[作],0)),"")</f>
        <v/>
      </c>
      <c r="N3218" s="27" t="str" ph="1">
        <f>IFERROR(INDEX([1]!_born[生没年],
MATCH(K3218,[1]!_born[作],0)),"")</f>
        <v/>
      </c>
      <c r="O3218" s="19" t="s" ph="1">
        <v>9623</v>
      </c>
      <c r="R3218" s="20" t="s" ph="1">
        <v>1753</v>
      </c>
      <c r="T3218" s="19" t="s" ph="1">
        <v>9624</v>
      </c>
      <c r="U3218" s="20" ph="1"/>
      <c r="V3218" s="21" ph="1">
        <v>800</v>
      </c>
      <c r="W3218" s="21" ph="1"/>
    </row>
    <row r="3219" spans="1:25" s="19" customFormat="1" ht="22.5" customHeight="1" ph="1" x14ac:dyDescent="0.35">
      <c r="A3219" s="107" ph="1"/>
      <c r="B3219" s="18" ph="1"/>
      <c r="C3219" s="19" t="s" ph="1">
        <v>1745</v>
      </c>
      <c r="D3219" s="124" ph="1"/>
      <c r="E3219" s="124" ph="1"/>
      <c r="G3219" s="19" t="s" ph="1">
        <v>3833</v>
      </c>
      <c r="H3219" s="19" t="s" ph="1">
        <v>1219</v>
      </c>
      <c r="I3219" s="19" t="s" ph="1">
        <v>9625</v>
      </c>
      <c r="J3219" s="19" t="s" ph="1">
        <v>3721</v>
      </c>
      <c r="M3219" s="27" t="str" ph="1">
        <f>IFERROR(INDEX([1]!_born[生没年],
MATCH(I3219,[1]!_born[作],0)),"")</f>
        <v/>
      </c>
      <c r="N3219" s="27" t="str" ph="1">
        <f>IFERROR(INDEX([1]!_born[生没年],
MATCH(K3219,[1]!_born[作],0)),"")</f>
        <v/>
      </c>
      <c r="O3219" s="19" t="s" ph="1">
        <v>9626</v>
      </c>
      <c r="R3219" s="20" t="s" ph="1">
        <v>1754</v>
      </c>
      <c r="T3219" s="19" t="s" ph="1">
        <v>9627</v>
      </c>
      <c r="U3219" s="20" ph="1"/>
      <c r="V3219" s="21" ph="1">
        <v>800</v>
      </c>
      <c r="W3219" s="21" ph="1"/>
    </row>
    <row r="3220" spans="1:25" s="19" customFormat="1" ht="22.5" customHeight="1" ph="1" x14ac:dyDescent="0.35">
      <c r="A3220" s="107" ph="1"/>
      <c r="B3220" s="18" ph="1"/>
      <c r="C3220" s="19" t="s" ph="1">
        <v>1745</v>
      </c>
      <c r="D3220" s="124" ph="1"/>
      <c r="E3220" s="124" ph="1"/>
      <c r="G3220" s="19" t="s" ph="1">
        <v>3833</v>
      </c>
      <c r="H3220" s="19" t="s" ph="1">
        <v>1219</v>
      </c>
      <c r="I3220" s="19" t="s" ph="1">
        <v>9625</v>
      </c>
      <c r="J3220" s="19" t="s" ph="1">
        <v>3721</v>
      </c>
      <c r="M3220" s="27" t="str" ph="1">
        <f>IFERROR(INDEX([1]!_born[生没年],
MATCH(I3220,[1]!_born[作],0)),"")</f>
        <v/>
      </c>
      <c r="N3220" s="27" t="str" ph="1">
        <f>IFERROR(INDEX([1]!_born[生没年],
MATCH(K3220,[1]!_born[作],0)),"")</f>
        <v/>
      </c>
      <c r="O3220" s="19" t="s" ph="1">
        <v>9626</v>
      </c>
      <c r="R3220" s="20" ph="1"/>
      <c r="T3220" s="19" t="s" ph="1">
        <v>9627</v>
      </c>
      <c r="U3220" s="20" ph="1"/>
      <c r="V3220" s="21" ph="1"/>
      <c r="W3220" s="21" ph="1"/>
    </row>
    <row r="3221" spans="1:25" s="19" customFormat="1" ht="22.5" customHeight="1" ph="1" x14ac:dyDescent="0.35">
      <c r="A3221" s="107" ph="1"/>
      <c r="B3221" s="18" ph="1"/>
      <c r="C3221" s="19" t="s" ph="1">
        <v>1745</v>
      </c>
      <c r="D3221" s="124" ph="1"/>
      <c r="E3221" s="124" ph="1"/>
      <c r="G3221" s="19" t="s" ph="1">
        <v>3833</v>
      </c>
      <c r="H3221" s="19" t="s" ph="1">
        <v>1219</v>
      </c>
      <c r="I3221" s="19" t="s" ph="1">
        <v>9625</v>
      </c>
      <c r="J3221" s="19" t="s" ph="1">
        <v>3721</v>
      </c>
      <c r="M3221" s="27" t="str" ph="1">
        <f>IFERROR(INDEX([1]!_born[生没年],
MATCH(I3221,[1]!_born[作],0)),"")</f>
        <v/>
      </c>
      <c r="N3221" s="27" t="str" ph="1">
        <f>IFERROR(INDEX([1]!_born[生没年],
MATCH(K3221,[1]!_born[作],0)),"")</f>
        <v/>
      </c>
      <c r="O3221" s="19" t="s" ph="1">
        <v>9628</v>
      </c>
      <c r="R3221" s="20" t="s" ph="1">
        <v>1755</v>
      </c>
      <c r="S3221" s="19" t="s" ph="1">
        <v>1756</v>
      </c>
      <c r="T3221" s="19" t="s" ph="1">
        <v>9627</v>
      </c>
      <c r="U3221" s="20" ph="1"/>
      <c r="V3221" s="21" ph="1">
        <v>200</v>
      </c>
      <c r="W3221" s="21" ph="1"/>
    </row>
    <row r="3222" spans="1:25" s="19" customFormat="1" ht="22.5" customHeight="1" ph="1" x14ac:dyDescent="0.35">
      <c r="A3222" s="107" ph="1"/>
      <c r="B3222" s="18" ph="1"/>
      <c r="C3222" s="19" t="s" ph="1">
        <v>1745</v>
      </c>
      <c r="D3222" s="124" ph="1">
        <v>1</v>
      </c>
      <c r="E3222" s="124" t="s" ph="1">
        <v>1225</v>
      </c>
      <c r="G3222" s="19" t="s" ph="1">
        <v>3833</v>
      </c>
      <c r="H3222" s="19" t="s" ph="1">
        <v>1219</v>
      </c>
      <c r="I3222" s="19" t="s" ph="1">
        <v>9629</v>
      </c>
      <c r="M3222" s="27" t="str" ph="1">
        <f>IFERROR(INDEX([1]!_born[生没年],
MATCH(I3222,[1]!_born[作],0)),"")</f>
        <v/>
      </c>
      <c r="N3222" s="27" t="str" ph="1">
        <f>IFERROR(INDEX([1]!_born[生没年],
MATCH(K3222,[1]!_born[作],0)),"")</f>
        <v/>
      </c>
      <c r="O3222" s="19" t="s" ph="1">
        <v>9630</v>
      </c>
      <c r="R3222" s="20" ph="1"/>
      <c r="S3222" s="19" t="s" ph="1">
        <v>9631</v>
      </c>
      <c r="U3222" s="20" ph="1"/>
      <c r="V3222" s="21" ph="1"/>
      <c r="W3222" s="21" ph="1"/>
    </row>
    <row r="3223" spans="1:25" s="19" customFormat="1" ht="22.5" customHeight="1" ph="1" x14ac:dyDescent="0.35">
      <c r="A3223" s="107" ph="1"/>
      <c r="B3223" s="18" ph="1"/>
      <c r="C3223" s="19" t="s" ph="1">
        <v>1745</v>
      </c>
      <c r="D3223" s="124" ph="1">
        <v>2</v>
      </c>
      <c r="E3223" s="124" t="s" ph="1">
        <v>1225</v>
      </c>
      <c r="G3223" s="19" t="s" ph="1">
        <v>3833</v>
      </c>
      <c r="H3223" s="19" t="s" ph="1">
        <v>1219</v>
      </c>
      <c r="I3223" s="19" t="s" ph="1">
        <v>9629</v>
      </c>
      <c r="M3223" s="27" t="str" ph="1">
        <f>IFERROR(INDEX([1]!_born[生没年],
MATCH(I3223,[1]!_born[作],0)),"")</f>
        <v/>
      </c>
      <c r="N3223" s="27" t="str" ph="1">
        <f>IFERROR(INDEX([1]!_born[生没年],
MATCH(K3223,[1]!_born[作],0)),"")</f>
        <v/>
      </c>
      <c r="O3223" s="19" t="s" ph="1">
        <v>9632</v>
      </c>
      <c r="R3223" s="20" ph="1"/>
      <c r="S3223" s="19" t="s" ph="1">
        <v>9631</v>
      </c>
      <c r="U3223" s="20" ph="1"/>
      <c r="V3223" s="21" ph="1"/>
      <c r="W3223" s="21" ph="1"/>
    </row>
    <row r="3224" spans="1:25" ht="22.5" customHeight="1" ph="1" x14ac:dyDescent="0.35">
      <c r="A3224" s="106" t="s" ph="1">
        <v>1757</v>
      </c>
      <c r="C3224" s="13" t="s" ph="1">
        <v>1285</v>
      </c>
      <c r="G3224" s="13" t="s" ph="1">
        <v>3803</v>
      </c>
      <c r="H3224" s="13" t="s" ph="1">
        <v>4423</v>
      </c>
      <c r="I3224" s="13" t="s" ph="1">
        <v>9633</v>
      </c>
      <c r="M3224" s="14" t="str" ph="1">
        <f>IFERROR(INDEX([1]!_born[生没年],
MATCH(I3224,[1]!_born[作],0)),"")</f>
        <v/>
      </c>
      <c r="N3224" s="14" t="str" ph="1">
        <f>IFERROR(INDEX([1]!_born[生没年],
MATCH(K3224,[1]!_born[作],0)),"")</f>
        <v/>
      </c>
      <c r="O3224" s="13" t="s" ph="1">
        <v>9634</v>
      </c>
      <c r="S3224" s="13" t="s" ph="1">
        <v>9635</v>
      </c>
      <c r="U3224" s="16" t="s" ph="1">
        <v>1758</v>
      </c>
      <c r="V3224" s="17" ph="1">
        <v>1800</v>
      </c>
      <c r="W3224" s="17" ph="1">
        <v>0</v>
      </c>
      <c r="X3224" s="13" t="s" ph="1">
        <v>9636</v>
      </c>
    </row>
    <row r="3225" spans="1:25" ht="22.5" customHeight="1" ph="1" x14ac:dyDescent="0.35">
      <c r="C3225" s="13" t="s" ph="1">
        <v>5854</v>
      </c>
      <c r="G3225" s="13" t="s" ph="1">
        <v>1266</v>
      </c>
      <c r="H3225" s="13" t="s" ph="1">
        <v>1269</v>
      </c>
      <c r="I3225" s="13" t="s" ph="1">
        <v>9637</v>
      </c>
      <c r="M3225" s="14" t="str" ph="1">
        <f>IFERROR(INDEX([1]!_born[生没年],
MATCH(I3225,[1]!_born[作],0)),"")</f>
        <v/>
      </c>
      <c r="N3225" s="14" t="str" ph="1">
        <f>IFERROR(INDEX([1]!_born[生没年],
MATCH(K3225,[1]!_born[作],0)),"")</f>
        <v/>
      </c>
      <c r="O3225" s="13" t="s" ph="1">
        <v>9638</v>
      </c>
      <c r="R3225" s="16" t="s" ph="1">
        <v>1759</v>
      </c>
      <c r="S3225" s="13" t="s" ph="1">
        <v>1760</v>
      </c>
      <c r="T3225" s="13" t="s" ph="1">
        <v>9637</v>
      </c>
      <c r="V3225" s="17" ph="1">
        <f>130*4</f>
        <v>520</v>
      </c>
    </row>
    <row r="3226" spans="1:25" s="7" customFormat="1" ht="22.5" customHeight="1" ph="1" x14ac:dyDescent="0.25">
      <c r="A3226" s="106" ph="1"/>
      <c r="B3226" s="5" ph="1"/>
      <c r="C3226" s="9" t="s" ph="1">
        <v>1285</v>
      </c>
      <c r="D3226" s="122" ph="1"/>
      <c r="E3226" s="122" ph="1"/>
      <c r="G3226" s="8" t="s" ph="1">
        <v>1761</v>
      </c>
      <c r="H3226" s="9" ph="1"/>
      <c r="I3226" s="12" ph="1"/>
      <c r="J3226" s="12" ph="1"/>
      <c r="M3226" s="7" t="str" ph="1">
        <f>IFERROR(INDEX([1]!_born[生没年],
MATCH(I3226,[1]!_born[作],0)),"")</f>
        <v/>
      </c>
      <c r="N3226" s="7" t="str" ph="1">
        <f>IFERROR(INDEX([1]!_born[生没年],
MATCH(K3226,[1]!_born[作],0)),"")</f>
        <v/>
      </c>
      <c r="R3226" s="10" ph="1"/>
      <c r="U3226" s="10" ph="1"/>
      <c r="V3226" s="11" ph="1"/>
      <c r="W3226" s="11" ph="1"/>
    </row>
    <row r="3227" spans="1:25" ht="22.5" customHeight="1" ph="1" x14ac:dyDescent="0.35">
      <c r="A3227" s="106" t="s" ph="1">
        <v>3112</v>
      </c>
      <c r="C3227" s="13" t="s" ph="1">
        <v>25</v>
      </c>
      <c r="G3227" s="13" t="s" ph="1">
        <v>700</v>
      </c>
      <c r="I3227" s="13" t="s" ph="1">
        <v>9639</v>
      </c>
      <c r="J3227" s="13" t="s" ph="1">
        <v>9640</v>
      </c>
      <c r="K3227" s="13" t="s" ph="1">
        <v>9641</v>
      </c>
      <c r="L3227" s="13" t="s" ph="1">
        <v>3645</v>
      </c>
      <c r="M3227" s="14" t="str" ph="1">
        <f>IFERROR(INDEX([1]!_born[生没年],
MATCH(I3227,[1]!_born[作],0)),"")</f>
        <v/>
      </c>
      <c r="N3227" s="14" t="str" ph="1">
        <f>IFERROR(INDEX([1]!_born[生没年],
MATCH(K3227,[1]!_born[作],0)),"")</f>
        <v/>
      </c>
      <c r="O3227" s="13" t="s" ph="1">
        <v>9642</v>
      </c>
      <c r="R3227" s="16" ph="1">
        <v>38808</v>
      </c>
      <c r="T3227" s="13" t="s" ph="1">
        <v>9643</v>
      </c>
      <c r="U3227" s="16" t="s" ph="1">
        <v>2920</v>
      </c>
      <c r="V3227" s="17" ph="1">
        <f>762*1.05</f>
        <v>800.1</v>
      </c>
      <c r="W3227" s="17" ph="1">
        <f>762*1.05</f>
        <v>800.1</v>
      </c>
      <c r="X3227" s="13" t="s" ph="1">
        <v>4265</v>
      </c>
    </row>
    <row r="3228" spans="1:25" s="19" customFormat="1" ht="22.5" customHeight="1" ph="1" x14ac:dyDescent="0.35">
      <c r="A3228" s="107" ph="1"/>
      <c r="B3228" s="18" ph="1"/>
      <c r="C3228" s="19" t="s" ph="1">
        <v>1285</v>
      </c>
      <c r="D3228" s="124" ph="1"/>
      <c r="E3228" s="124" ph="1"/>
      <c r="G3228" s="19" t="s" ph="1">
        <v>1761</v>
      </c>
      <c r="I3228" s="19" t="s" ph="1">
        <v>9644</v>
      </c>
      <c r="J3228" s="19" t="s" ph="1">
        <v>5587</v>
      </c>
      <c r="K3228" s="19" t="s" ph="1">
        <v>9645</v>
      </c>
      <c r="L3228" s="19" t="s" ph="1">
        <v>9646</v>
      </c>
      <c r="M3228" s="27" t="str" ph="1">
        <f>IFERROR(INDEX([1]!_born[生没年],
MATCH(I3228,[1]!_born[作],0)),"")</f>
        <v/>
      </c>
      <c r="N3228" s="27" t="str" ph="1">
        <f>IFERROR(INDEX([1]!_born[生没年],
MATCH(K3228,[1]!_born[作],0)),"")</f>
        <v/>
      </c>
      <c r="O3228" s="19" t="s" ph="1">
        <v>9647</v>
      </c>
      <c r="R3228" s="20" ph="1"/>
      <c r="S3228" s="19" t="s" ph="1">
        <v>9648</v>
      </c>
      <c r="T3228" s="19" t="s" ph="1">
        <v>9649</v>
      </c>
      <c r="U3228" s="20" t="s" ph="1">
        <v>1217</v>
      </c>
      <c r="V3228" s="21" ph="1">
        <v>618</v>
      </c>
      <c r="W3228" s="21" ph="1"/>
      <c r="Y3228" s="19" t="s" ph="1">
        <v>6517</v>
      </c>
    </row>
    <row r="3229" spans="1:25" s="19" customFormat="1" ht="22.5" customHeight="1" ph="1" x14ac:dyDescent="0.35">
      <c r="A3229" s="107" ph="1"/>
      <c r="B3229" s="18" ph="1"/>
      <c r="C3229" s="19" t="s" ph="1">
        <v>1285</v>
      </c>
      <c r="D3229" s="124" ph="1"/>
      <c r="E3229" s="124" ph="1"/>
      <c r="G3229" s="19" t="s" ph="1">
        <v>1761</v>
      </c>
      <c r="I3229" s="19" t="s" ph="1">
        <v>9650</v>
      </c>
      <c r="J3229" s="19" t="s" ph="1">
        <v>9651</v>
      </c>
      <c r="K3229" s="19" t="s" ph="1">
        <v>9645</v>
      </c>
      <c r="L3229" s="19" t="s" ph="1">
        <v>9646</v>
      </c>
      <c r="M3229" s="27" t="str" ph="1">
        <f>IFERROR(INDEX([1]!_born[生没年],
MATCH(I3229,[1]!_born[作],0)),"")</f>
        <v/>
      </c>
      <c r="N3229" s="27" t="str" ph="1">
        <f>IFERROR(INDEX([1]!_born[生没年],
MATCH(K3229,[1]!_born[作],0)),"")</f>
        <v/>
      </c>
      <c r="O3229" s="19" t="s" ph="1">
        <v>9652</v>
      </c>
      <c r="R3229" s="20" ph="1"/>
      <c r="T3229" s="19" t="s" ph="1">
        <v>9649</v>
      </c>
      <c r="U3229" s="20" t="s" ph="1">
        <v>1217</v>
      </c>
      <c r="V3229" s="21" ph="1">
        <v>618</v>
      </c>
      <c r="W3229" s="21" ph="1"/>
      <c r="Y3229" s="19" t="s" ph="1">
        <v>6517</v>
      </c>
    </row>
    <row r="3230" spans="1:25" s="19" customFormat="1" ht="22.5" customHeight="1" ph="1" x14ac:dyDescent="0.35">
      <c r="A3230" s="107" ph="1"/>
      <c r="B3230" s="18" ph="1"/>
      <c r="C3230" s="19" t="s" ph="1">
        <v>1285</v>
      </c>
      <c r="D3230" s="124" ph="1"/>
      <c r="E3230" s="124" ph="1"/>
      <c r="G3230" s="19" t="s" ph="1">
        <v>1761</v>
      </c>
      <c r="I3230" s="19" t="s" ph="1">
        <v>9653</v>
      </c>
      <c r="K3230" s="19" t="s" ph="1">
        <v>9654</v>
      </c>
      <c r="L3230" s="19" t="s" ph="1">
        <v>9655</v>
      </c>
      <c r="M3230" s="27" t="str" ph="1">
        <f>IFERROR(INDEX([1]!_born[生没年],
MATCH(I3230,[1]!_born[作],0)),"")</f>
        <v/>
      </c>
      <c r="N3230" s="27" t="str" ph="1">
        <f>IFERROR(INDEX([1]!_born[生没年],
MATCH(K3230,[1]!_born[作],0)),"")</f>
        <v/>
      </c>
      <c r="O3230" s="19" t="s" ph="1">
        <v>9656</v>
      </c>
      <c r="R3230" s="20" ph="1"/>
      <c r="T3230" s="19" t="s" ph="1">
        <v>9649</v>
      </c>
      <c r="U3230" s="20" t="s" ph="1">
        <v>1217</v>
      </c>
      <c r="V3230" s="21" ph="1">
        <v>1480</v>
      </c>
      <c r="W3230" s="21" ph="1"/>
      <c r="Y3230" s="19" t="s" ph="1">
        <v>6517</v>
      </c>
    </row>
    <row r="3231" spans="1:25" ht="22.5" customHeight="1" ph="1" x14ac:dyDescent="0.35">
      <c r="C3231" s="13" t="s" ph="1">
        <v>1285</v>
      </c>
      <c r="G3231" s="13" t="s" ph="1">
        <v>9657</v>
      </c>
      <c r="I3231" s="13" t="s" ph="1">
        <v>9658</v>
      </c>
      <c r="M3231" s="14" t="str" ph="1">
        <f>IFERROR(INDEX([1]!_born[生没年],
MATCH(I3231,[1]!_born[作],0)),"")</f>
        <v/>
      </c>
      <c r="N3231" s="14" t="str" ph="1">
        <f>IFERROR(INDEX([1]!_born[生没年],
MATCH(K3231,[1]!_born[作],0)),"")</f>
        <v/>
      </c>
      <c r="O3231" s="13" t="s" ph="1">
        <v>9659</v>
      </c>
      <c r="R3231" s="16" t="s" ph="1">
        <v>1343</v>
      </c>
      <c r="T3231" s="13" t="s" ph="1">
        <v>3728</v>
      </c>
      <c r="U3231" s="16" ph="1">
        <v>36807</v>
      </c>
      <c r="V3231" s="17" ph="1">
        <v>1600</v>
      </c>
      <c r="W3231" s="17" ph="1">
        <v>0</v>
      </c>
      <c r="X3231" s="13" t="s" ph="1">
        <v>3622</v>
      </c>
      <c r="Y3231" s="13" t="s" ph="1">
        <v>3623</v>
      </c>
    </row>
    <row r="3232" spans="1:25" ht="22.5" customHeight="1" ph="1" x14ac:dyDescent="0.35">
      <c r="A3232" s="106" t="s" ph="1">
        <v>2919</v>
      </c>
      <c r="C3232" s="13" t="s" ph="1">
        <v>25</v>
      </c>
      <c r="G3232" s="13" t="s" ph="1">
        <v>700</v>
      </c>
      <c r="I3232" s="13" t="s" ph="1">
        <v>9660</v>
      </c>
      <c r="M3232" s="14" t="str" ph="1">
        <f>IFERROR(INDEX([1]!_born[生没年],
MATCH(I3232,[1]!_born[作],0)),"")</f>
        <v/>
      </c>
      <c r="N3232" s="14" t="str" ph="1">
        <f>IFERROR(INDEX([1]!_born[生没年],
MATCH(K3232,[1]!_born[作],0)),"")</f>
        <v/>
      </c>
      <c r="O3232" s="13" t="s" ph="1">
        <v>9661</v>
      </c>
      <c r="T3232" s="13" t="s" ph="1">
        <v>9662</v>
      </c>
      <c r="U3232" s="16" t="s" ph="1">
        <v>2920</v>
      </c>
      <c r="V3232" s="17" ph="1">
        <f>1200*1.08</f>
        <v>1296</v>
      </c>
      <c r="W3232" s="17" ph="1">
        <f>1200*1.08</f>
        <v>1296</v>
      </c>
      <c r="Y3232" s="13" t="s" ph="1">
        <v>9663</v>
      </c>
    </row>
    <row r="3233" spans="1:25" ht="22.5" customHeight="1" ph="1" x14ac:dyDescent="0.35">
      <c r="A3233" s="106" t="s" ph="1">
        <v>9664</v>
      </c>
      <c r="C3233" s="13" t="s" ph="1">
        <v>3648</v>
      </c>
      <c r="G3233" s="13" t="s" ph="1">
        <v>700</v>
      </c>
      <c r="I3233" s="13" t="s" ph="1">
        <v>9665</v>
      </c>
      <c r="M3233" s="14" t="str" ph="1">
        <f>IFERROR(INDEX([1]!_born[生没年],
MATCH(I3233,[1]!_born[作],0)),"")</f>
        <v/>
      </c>
      <c r="N3233" s="14" t="str" ph="1">
        <f>IFERROR(INDEX([1]!_born[生没年],
MATCH(K3233,[1]!_born[作],0)),"")</f>
        <v/>
      </c>
      <c r="O3233" s="13" t="s" ph="1">
        <v>9666</v>
      </c>
      <c r="R3233" s="16" t="s" ph="1">
        <v>3046</v>
      </c>
      <c r="S3233" s="13" t="s" ph="1">
        <v>9667</v>
      </c>
      <c r="U3233" s="16" ph="1">
        <v>43900</v>
      </c>
      <c r="V3233" s="17" ph="1">
        <f>909*1.1</f>
        <v>999.90000000000009</v>
      </c>
      <c r="W3233" s="17" ph="1">
        <v>0</v>
      </c>
      <c r="X3233" s="13" t="s" ph="1">
        <v>3045</v>
      </c>
      <c r="Y3233" s="13" t="s" ph="1">
        <v>9668</v>
      </c>
    </row>
    <row r="3234" spans="1:25" ht="22.5" customHeight="1" ph="1" x14ac:dyDescent="0.35">
      <c r="A3234" s="106" t="s" ph="1">
        <v>2670</v>
      </c>
      <c r="C3234" s="13" t="s" ph="1">
        <v>3648</v>
      </c>
      <c r="G3234" s="13" t="s" ph="1">
        <v>700</v>
      </c>
      <c r="I3234" s="13" t="s" ph="1">
        <v>2671</v>
      </c>
      <c r="M3234" s="14" t="str" ph="1">
        <f>IFERROR(INDEX([1]!_born[生没年],
MATCH(I3234,[1]!_born[作],0)),"")</f>
        <v/>
      </c>
      <c r="N3234" s="14" t="str" ph="1">
        <f>IFERROR(INDEX([1]!_born[生没年],
MATCH(K3234,[1]!_born[作],0)),"")</f>
        <v/>
      </c>
      <c r="O3234" s="13" t="s" ph="1">
        <v>9669</v>
      </c>
      <c r="S3234" s="13" t="s" ph="1">
        <v>9670</v>
      </c>
      <c r="T3234" s="13" t="s" ph="1">
        <v>2671</v>
      </c>
      <c r="U3234" s="16" ph="1">
        <v>41461</v>
      </c>
      <c r="V3234" s="17" ph="1">
        <v>500</v>
      </c>
      <c r="W3234" s="17" ph="1">
        <v>500</v>
      </c>
    </row>
    <row r="3235" spans="1:25" ht="22.5" customHeight="1" ph="1" x14ac:dyDescent="0.35">
      <c r="C3235" s="13" t="s" ph="1">
        <v>3648</v>
      </c>
      <c r="G3235" s="13" t="s" ph="1">
        <v>1761</v>
      </c>
      <c r="I3235" s="13" t="s" ph="1">
        <v>9671</v>
      </c>
      <c r="J3235" s="13" t="s" ph="1">
        <v>9672</v>
      </c>
      <c r="M3235" s="14" t="str" ph="1">
        <f>IFERROR(INDEX([1]!_born[生没年],
MATCH(I3235,[1]!_born[作],0)),"")</f>
        <v/>
      </c>
      <c r="N3235" s="14" t="str" ph="1">
        <f>IFERROR(INDEX([1]!_born[生没年],
MATCH(K3235,[1]!_born[作],0)),"")</f>
        <v/>
      </c>
      <c r="O3235" s="13" t="s" ph="1">
        <v>9673</v>
      </c>
      <c r="S3235" s="13" t="s" ph="1">
        <v>9674</v>
      </c>
      <c r="T3235" s="13" t="s" ph="1">
        <v>3900</v>
      </c>
      <c r="U3235" s="16" ph="1">
        <v>37530</v>
      </c>
      <c r="V3235" s="17" ph="1">
        <f>1200*1.05</f>
        <v>1260</v>
      </c>
      <c r="W3235" s="17" ph="1">
        <f>1200*1.05</f>
        <v>1260</v>
      </c>
    </row>
    <row r="3236" spans="1:25" ht="22.5" customHeight="1" ph="1" x14ac:dyDescent="0.35">
      <c r="C3236" s="13" t="s" ph="1">
        <v>3648</v>
      </c>
      <c r="G3236" s="13" t="s" ph="1">
        <v>1761</v>
      </c>
      <c r="I3236" s="13" t="s" ph="1">
        <v>9675</v>
      </c>
      <c r="J3236" s="13" t="s" ph="1">
        <v>9672</v>
      </c>
      <c r="M3236" s="14" t="str" ph="1">
        <f>IFERROR(INDEX([1]!_born[生没年],
MATCH(I3236,[1]!_born[作],0)),"")</f>
        <v/>
      </c>
      <c r="N3236" s="14" t="str" ph="1">
        <f>IFERROR(INDEX([1]!_born[生没年],
MATCH(K3236,[1]!_born[作],0)),"")</f>
        <v/>
      </c>
      <c r="O3236" s="13" t="s" ph="1">
        <v>9676</v>
      </c>
      <c r="R3236" s="16" t="s" ph="1">
        <v>1762</v>
      </c>
      <c r="S3236" s="13" t="s" ph="1">
        <v>1763</v>
      </c>
      <c r="T3236" s="13" t="s" ph="1">
        <v>4626</v>
      </c>
      <c r="U3236" s="16" t="s" ph="1">
        <v>1764</v>
      </c>
      <c r="V3236" s="17" ph="1">
        <v>980</v>
      </c>
      <c r="W3236" s="17" ph="1">
        <v>420</v>
      </c>
    </row>
    <row r="3237" spans="1:25" s="7" customFormat="1" ht="22.5" customHeight="1" ph="1" x14ac:dyDescent="0.25">
      <c r="A3237" s="106" ph="1"/>
      <c r="B3237" s="5" ph="1"/>
      <c r="C3237" s="9" t="s" ph="1">
        <v>1285</v>
      </c>
      <c r="D3237" s="122" ph="1"/>
      <c r="E3237" s="122" ph="1"/>
      <c r="G3237" s="8" t="s" ph="1">
        <v>1765</v>
      </c>
      <c r="H3237" s="9" ph="1"/>
      <c r="I3237" s="12" ph="1"/>
      <c r="J3237" s="12" ph="1"/>
      <c r="M3237" s="7" t="str" ph="1">
        <f>IFERROR(INDEX([1]!_born[生没年],
MATCH(I3237,[1]!_born[作],0)),"")</f>
        <v/>
      </c>
      <c r="N3237" s="7" t="str" ph="1">
        <f>IFERROR(INDEX([1]!_born[生没年],
MATCH(K3237,[1]!_born[作],0)),"")</f>
        <v/>
      </c>
      <c r="R3237" s="10" ph="1"/>
      <c r="U3237" s="10" ph="1"/>
      <c r="V3237" s="11" ph="1"/>
      <c r="W3237" s="11" ph="1"/>
    </row>
    <row r="3238" spans="1:25" ht="22.5" customHeight="1" ph="1" x14ac:dyDescent="0.35">
      <c r="A3238" s="106" t="s" ph="1">
        <v>2576</v>
      </c>
      <c r="B3238" s="5" t="s" ph="1">
        <v>1767</v>
      </c>
      <c r="C3238" s="13" t="s" ph="1">
        <v>25</v>
      </c>
      <c r="G3238" s="13" t="s" ph="1">
        <v>701</v>
      </c>
      <c r="I3238" s="13" t="s" ph="1">
        <v>9677</v>
      </c>
      <c r="M3238" s="14" t="str" ph="1">
        <f>IFERROR(INDEX([1]!_born[生没年],
MATCH(I3238,[1]!_born[作],0)),"")</f>
        <v/>
      </c>
      <c r="N3238" s="14" t="str" ph="1">
        <f>IFERROR(INDEX([1]!_born[生没年],
MATCH(K3238,[1]!_born[作],0)),"")</f>
        <v/>
      </c>
      <c r="O3238" s="13" t="s" ph="1">
        <v>9678</v>
      </c>
      <c r="R3238" s="16" ph="1">
        <v>40637</v>
      </c>
      <c r="T3238" s="13" t="s" ph="1">
        <v>9679</v>
      </c>
      <c r="U3238" s="16" ph="1">
        <v>40680</v>
      </c>
      <c r="V3238" s="17" ph="1">
        <f>2800*1.05</f>
        <v>2940</v>
      </c>
      <c r="W3238" s="17" ph="1">
        <v>0</v>
      </c>
      <c r="X3238" s="13" t="s" ph="1">
        <v>9680</v>
      </c>
      <c r="Y3238" s="13" t="s" ph="1">
        <v>9681</v>
      </c>
    </row>
    <row r="3239" spans="1:25" ht="22.5" customHeight="1" ph="1" x14ac:dyDescent="0.35">
      <c r="A3239" s="106" t="s" ph="1">
        <v>2583</v>
      </c>
      <c r="B3239" s="5" t="s" ph="1">
        <v>1767</v>
      </c>
      <c r="C3239" s="13" t="s" ph="1">
        <v>25</v>
      </c>
      <c r="G3239" s="13" t="s" ph="1">
        <v>701</v>
      </c>
      <c r="I3239" s="13" t="s" ph="1">
        <v>9682</v>
      </c>
      <c r="J3239" s="13" t="s" ph="1">
        <v>3664</v>
      </c>
      <c r="K3239" s="13" t="s" ph="1">
        <v>9683</v>
      </c>
      <c r="L3239" s="13" t="s" ph="1">
        <v>9684</v>
      </c>
      <c r="M3239" s="14" t="str" ph="1">
        <f>IFERROR(INDEX([1]!_born[生没年],
MATCH(I3239,[1]!_born[作],0)),"")</f>
        <v/>
      </c>
      <c r="N3239" s="14" t="str" ph="1">
        <f>IFERROR(INDEX([1]!_born[生没年],
MATCH(K3239,[1]!_born[作],0)),"")</f>
        <v/>
      </c>
      <c r="O3239" s="13" t="s" ph="1">
        <v>9685</v>
      </c>
      <c r="R3239" s="16" ph="1">
        <v>38578</v>
      </c>
      <c r="T3239" s="13" t="s" ph="1">
        <v>9686</v>
      </c>
      <c r="U3239" s="16" ph="1">
        <v>40817</v>
      </c>
      <c r="V3239" s="17" ph="1">
        <f>2400*1.05</f>
        <v>2520</v>
      </c>
      <c r="W3239" s="17" ph="1">
        <v>0</v>
      </c>
      <c r="Y3239" s="13" t="s" ph="1">
        <v>9687</v>
      </c>
    </row>
    <row r="3240" spans="1:25" ht="22.5" customHeight="1" ph="1" x14ac:dyDescent="0.35">
      <c r="A3240" s="106" t="s" ph="1">
        <v>2584</v>
      </c>
      <c r="B3240" s="5" t="s" ph="1">
        <v>1767</v>
      </c>
      <c r="C3240" s="13" t="s" ph="1">
        <v>25</v>
      </c>
      <c r="G3240" s="13" t="s" ph="1">
        <v>701</v>
      </c>
      <c r="I3240" s="13" t="s" ph="1">
        <v>9688</v>
      </c>
      <c r="J3240" s="13" t="s" ph="1">
        <v>3664</v>
      </c>
      <c r="K3240" s="13" t="s" ph="1">
        <v>9689</v>
      </c>
      <c r="L3240" s="13" t="s" ph="1">
        <v>9684</v>
      </c>
      <c r="M3240" s="14" t="str" ph="1">
        <f>IFERROR(INDEX([1]!_born[生没年],
MATCH(I3240,[1]!_born[作],0)),"")</f>
        <v/>
      </c>
      <c r="N3240" s="14" t="str" ph="1">
        <f>IFERROR(INDEX([1]!_born[生没年],
MATCH(K3240,[1]!_born[作],0)),"")</f>
        <v/>
      </c>
      <c r="O3240" s="13" t="s" ph="1">
        <v>9690</v>
      </c>
      <c r="R3240" s="16" ph="1">
        <v>40522</v>
      </c>
      <c r="T3240" s="13" t="s" ph="1">
        <v>9691</v>
      </c>
      <c r="U3240" s="16" t="s" ph="1">
        <v>2551</v>
      </c>
      <c r="V3240" s="17" ph="1">
        <f>3600*1.05</f>
        <v>3780</v>
      </c>
      <c r="W3240" s="17" ph="1">
        <v>0</v>
      </c>
      <c r="Y3240" s="13" t="s" ph="1">
        <v>9687</v>
      </c>
    </row>
    <row r="3241" spans="1:25" ht="22.5" customHeight="1" ph="1" x14ac:dyDescent="0.35">
      <c r="A3241" s="106" t="s" ph="1">
        <v>2585</v>
      </c>
      <c r="B3241" s="5" t="s" ph="1">
        <v>1767</v>
      </c>
      <c r="C3241" s="13" t="s" ph="1">
        <v>25</v>
      </c>
      <c r="G3241" s="13" t="s" ph="1">
        <v>701</v>
      </c>
      <c r="I3241" s="13" t="s" ph="1">
        <v>2586</v>
      </c>
      <c r="J3241" s="13" t="s" ph="1">
        <v>3664</v>
      </c>
      <c r="K3241" s="13" t="s" ph="1">
        <v>9692</v>
      </c>
      <c r="L3241" s="13" t="s" ph="1">
        <v>3628</v>
      </c>
      <c r="M3241" s="14" t="str" ph="1">
        <f>IFERROR(INDEX([1]!_born[生没年],
MATCH(I3241,[1]!_born[作],0)),"")</f>
        <v/>
      </c>
      <c r="N3241" s="14" t="str" ph="1">
        <f>IFERROR(INDEX([1]!_born[生没年],
MATCH(K3241,[1]!_born[作],0)),"")</f>
        <v/>
      </c>
      <c r="O3241" s="13" t="s" ph="1">
        <v>9693</v>
      </c>
      <c r="R3241" s="16" ph="1">
        <v>39619</v>
      </c>
      <c r="T3241" s="13" t="s" ph="1">
        <v>9694</v>
      </c>
      <c r="U3241" s="16" t="s" ph="1">
        <v>2506</v>
      </c>
      <c r="V3241" s="17" ph="1">
        <f>4200*1.05</f>
        <v>4410</v>
      </c>
      <c r="W3241" s="17" ph="1">
        <v>0</v>
      </c>
      <c r="Y3241" s="13" t="s" ph="1">
        <v>9687</v>
      </c>
    </row>
    <row r="3242" spans="1:25" ht="22.5" customHeight="1" ph="1" x14ac:dyDescent="0.35">
      <c r="A3242" s="106" t="s" ph="1">
        <v>2587</v>
      </c>
      <c r="B3242" s="5" t="s" ph="1">
        <v>2588</v>
      </c>
      <c r="C3242" s="13" t="s" ph="1">
        <v>25</v>
      </c>
      <c r="G3242" s="13" t="s" ph="1">
        <v>701</v>
      </c>
      <c r="I3242" s="13" t="s" ph="1">
        <v>2589</v>
      </c>
      <c r="J3242" s="13" t="s" ph="1">
        <v>3664</v>
      </c>
      <c r="K3242" s="13" t="s" ph="1">
        <v>9695</v>
      </c>
      <c r="L3242" s="13" t="s" ph="1">
        <v>3628</v>
      </c>
      <c r="M3242" s="14" t="str" ph="1">
        <f>IFERROR(INDEX([1]!_born[生没年],
MATCH(I3242,[1]!_born[作],0)),"")</f>
        <v/>
      </c>
      <c r="N3242" s="14" t="str" ph="1">
        <f>IFERROR(INDEX([1]!_born[生没年],
MATCH(K3242,[1]!_born[作],0)),"")</f>
        <v/>
      </c>
      <c r="O3242" s="13" t="s" ph="1">
        <v>9696</v>
      </c>
      <c r="R3242" s="16" ph="1">
        <v>39192</v>
      </c>
      <c r="T3242" s="13" t="s" ph="1">
        <v>2590</v>
      </c>
      <c r="U3242" s="16" t="s" ph="1">
        <v>2506</v>
      </c>
      <c r="V3242" s="17" ph="1">
        <f>4200*1.05</f>
        <v>4410</v>
      </c>
      <c r="W3242" s="17" ph="1">
        <v>0</v>
      </c>
      <c r="Y3242" s="13" t="s" ph="1">
        <v>9687</v>
      </c>
    </row>
    <row r="3243" spans="1:25" ht="22.5" customHeight="1" ph="1" x14ac:dyDescent="0.35">
      <c r="A3243" s="106" t="s" ph="1">
        <v>2591</v>
      </c>
      <c r="B3243" s="5" t="s" ph="1">
        <v>2592</v>
      </c>
      <c r="C3243" s="13" t="s" ph="1">
        <v>25</v>
      </c>
      <c r="G3243" s="13" t="s" ph="1">
        <v>701</v>
      </c>
      <c r="I3243" s="13" t="s" ph="1">
        <v>9697</v>
      </c>
      <c r="J3243" s="13" t="s" ph="1">
        <v>3664</v>
      </c>
      <c r="M3243" s="14" t="str" ph="1">
        <f>IFERROR(INDEX([1]!_born[生没年],
MATCH(I3243,[1]!_born[作],0)),"")</f>
        <v/>
      </c>
      <c r="N3243" s="14" t="str" ph="1">
        <f>IFERROR(INDEX([1]!_born[生没年],
MATCH(K3243,[1]!_born[作],0)),"")</f>
        <v/>
      </c>
      <c r="O3243" s="13" t="s" ph="1">
        <v>9698</v>
      </c>
      <c r="R3243" s="16" ph="1">
        <v>40794</v>
      </c>
      <c r="T3243" s="13" t="s" ph="1">
        <v>9699</v>
      </c>
      <c r="U3243" s="16" t="s" ph="1">
        <v>2593</v>
      </c>
      <c r="V3243" s="17" ph="1">
        <f>2500*1.05</f>
        <v>2625</v>
      </c>
      <c r="W3243" s="17" ph="1">
        <v>0</v>
      </c>
      <c r="Y3243" s="13" t="s" ph="1">
        <v>9700</v>
      </c>
    </row>
    <row r="3244" spans="1:25" ht="22.5" customHeight="1" ph="1" x14ac:dyDescent="0.35">
      <c r="A3244" s="106" t="s" ph="1">
        <v>2594</v>
      </c>
      <c r="B3244" s="5" t="s" ph="1">
        <v>2595</v>
      </c>
      <c r="C3244" s="13" t="s" ph="1">
        <v>25</v>
      </c>
      <c r="G3244" s="13" t="s" ph="1">
        <v>701</v>
      </c>
      <c r="I3244" s="13" t="s" ph="1">
        <v>9701</v>
      </c>
      <c r="J3244" s="13" t="s" ph="1">
        <v>4049</v>
      </c>
      <c r="M3244" s="14" t="str" ph="1">
        <f>IFERROR(INDEX([1]!_born[生没年],
MATCH(I3244,[1]!_born[作],0)),"")</f>
        <v/>
      </c>
      <c r="N3244" s="14" t="str" ph="1">
        <f>IFERROR(INDEX([1]!_born[生没年],
MATCH(K3244,[1]!_born[作],0)),"")</f>
        <v/>
      </c>
      <c r="O3244" s="13" t="s" ph="1">
        <v>9702</v>
      </c>
      <c r="R3244" s="16" ph="1">
        <v>40848</v>
      </c>
      <c r="S3244" s="13" t="s" ph="1">
        <v>9703</v>
      </c>
      <c r="T3244" s="13" t="s" ph="1">
        <v>9704</v>
      </c>
      <c r="U3244" s="16" t="s" ph="1">
        <v>2593</v>
      </c>
      <c r="V3244" s="17" ph="1">
        <f>1886*1.05</f>
        <v>1980.3000000000002</v>
      </c>
      <c r="W3244" s="17" ph="1">
        <v>0</v>
      </c>
      <c r="Y3244" s="13" t="s" ph="1">
        <v>9705</v>
      </c>
    </row>
    <row r="3245" spans="1:25" ht="22.5" customHeight="1" ph="1" x14ac:dyDescent="0.35">
      <c r="A3245" s="106" t="s" ph="1">
        <v>1766</v>
      </c>
      <c r="B3245" s="5" t="s" ph="1">
        <v>1767</v>
      </c>
      <c r="C3245" s="13" t="s" ph="1">
        <v>4106</v>
      </c>
      <c r="G3245" s="13" t="s" ph="1">
        <v>1765</v>
      </c>
      <c r="I3245" s="13" t="s" ph="1">
        <v>9706</v>
      </c>
      <c r="M3245" s="14" t="str" ph="1">
        <f>IFERROR(INDEX([1]!_born[生没年],
MATCH(I3245,[1]!_born[作],0)),"")</f>
        <v/>
      </c>
      <c r="N3245" s="14" t="str" ph="1">
        <f>IFERROR(INDEX([1]!_born[生没年],
MATCH(K3245,[1]!_born[作],0)),"")</f>
        <v/>
      </c>
      <c r="O3245" s="13" t="s" ph="1">
        <v>9707</v>
      </c>
      <c r="R3245" s="16" t="s" ph="1">
        <v>1768</v>
      </c>
      <c r="S3245" s="13" t="s" ph="1">
        <v>1769</v>
      </c>
      <c r="T3245" s="13" t="s" ph="1">
        <v>9691</v>
      </c>
      <c r="U3245" s="16" t="s" ph="1">
        <v>1770</v>
      </c>
      <c r="V3245" s="17" ph="1">
        <f>1980*1.05</f>
        <v>2079</v>
      </c>
      <c r="W3245" s="17" ph="1">
        <f>1980*1.05</f>
        <v>2079</v>
      </c>
      <c r="X3245" s="13" t="s" ph="1">
        <v>9680</v>
      </c>
    </row>
    <row r="3246" spans="1:25" ht="22.5" customHeight="1" ph="1" x14ac:dyDescent="0.35">
      <c r="A3246" s="106" t="s" ph="1">
        <v>1771</v>
      </c>
      <c r="B3246" s="5" t="s" ph="1">
        <v>1767</v>
      </c>
      <c r="C3246" s="13" t="s" ph="1">
        <v>1285</v>
      </c>
      <c r="G3246" s="13" t="s" ph="1">
        <v>1765</v>
      </c>
      <c r="I3246" s="13" t="s" ph="1">
        <v>9708</v>
      </c>
      <c r="M3246" s="14" t="str" ph="1">
        <f>IFERROR(INDEX([1]!_born[生没年],
MATCH(I3246,[1]!_born[作],0)),"")</f>
        <v/>
      </c>
      <c r="N3246" s="14" t="str" ph="1">
        <f>IFERROR(INDEX([1]!_born[生没年],
MATCH(K3246,[1]!_born[作],0)),"")</f>
        <v/>
      </c>
      <c r="O3246" s="13" t="s" ph="1">
        <v>9709</v>
      </c>
      <c r="R3246" s="16" t="s" ph="1">
        <v>1768</v>
      </c>
      <c r="S3246" s="13" t="s" ph="1">
        <v>9710</v>
      </c>
      <c r="T3246" s="13" t="s" ph="1">
        <v>9711</v>
      </c>
      <c r="U3246" s="16" t="s" ph="1">
        <v>1770</v>
      </c>
      <c r="V3246" s="17" ph="1">
        <f>2680*1.05</f>
        <v>2814</v>
      </c>
      <c r="W3246" s="17" ph="1">
        <f>2680*1.05</f>
        <v>2814</v>
      </c>
      <c r="X3246" s="13" t="s" ph="1">
        <v>9680</v>
      </c>
    </row>
    <row r="3247" spans="1:25" ht="22.5" customHeight="1" ph="1" x14ac:dyDescent="0.35">
      <c r="A3247" s="106" t="s" ph="1">
        <v>1772</v>
      </c>
      <c r="B3247" s="5" t="s" ph="1">
        <v>1767</v>
      </c>
      <c r="C3247" s="13" t="s" ph="1">
        <v>1285</v>
      </c>
      <c r="G3247" s="13" t="s" ph="1">
        <v>1765</v>
      </c>
      <c r="I3247" s="13" t="s" ph="1">
        <v>9712</v>
      </c>
      <c r="J3247" s="13" t="s" ph="1">
        <v>3664</v>
      </c>
      <c r="K3247" s="13" t="s" ph="1">
        <v>9713</v>
      </c>
      <c r="L3247" s="13" t="s" ph="1">
        <v>9714</v>
      </c>
      <c r="M3247" s="14" t="str" ph="1">
        <f>IFERROR(INDEX([1]!_born[生没年],
MATCH(I3247,[1]!_born[作],0)),"")</f>
        <v/>
      </c>
      <c r="N3247" s="14" t="str" ph="1">
        <f>IFERROR(INDEX([1]!_born[生没年],
MATCH(K3247,[1]!_born[作],0)),"")</f>
        <v/>
      </c>
      <c r="O3247" s="13" t="s" ph="1">
        <v>9715</v>
      </c>
      <c r="R3247" s="16" t="s" ph="1">
        <v>1773</v>
      </c>
      <c r="S3247" s="13" t="s" ph="1">
        <v>9710</v>
      </c>
      <c r="T3247" s="13" t="s" ph="1">
        <v>9711</v>
      </c>
      <c r="U3247" s="16" ph="1">
        <v>39686</v>
      </c>
      <c r="V3247" s="17" ph="1">
        <f>2380*1.05</f>
        <v>2499</v>
      </c>
      <c r="W3247" s="17" ph="1">
        <f>2380*1.05</f>
        <v>2499</v>
      </c>
      <c r="X3247" s="13" t="s" ph="1">
        <v>9680</v>
      </c>
    </row>
    <row r="3248" spans="1:25" ht="22.5" customHeight="1" ph="1" x14ac:dyDescent="0.35">
      <c r="C3248" s="13" t="s" ph="1">
        <v>4106</v>
      </c>
      <c r="G3248" s="13" t="s" ph="1">
        <v>1765</v>
      </c>
      <c r="I3248" s="13" t="s" ph="1">
        <v>9716</v>
      </c>
      <c r="M3248" s="14" t="str" ph="1">
        <f>IFERROR(INDEX([1]!_born[生没年],
MATCH(I3248,[1]!_born[作],0)),"")</f>
        <v/>
      </c>
      <c r="N3248" s="14" t="str" ph="1">
        <f>IFERROR(INDEX([1]!_born[生没年],
MATCH(K3248,[1]!_born[作],0)),"")</f>
        <v/>
      </c>
      <c r="O3248" s="13" t="s" ph="1">
        <v>9717</v>
      </c>
      <c r="S3248" s="13" t="s" ph="1">
        <v>1774</v>
      </c>
      <c r="T3248" s="13" t="s" ph="1">
        <v>4070</v>
      </c>
      <c r="U3248" s="16" ph="1">
        <v>36773</v>
      </c>
      <c r="V3248" s="17" ph="1">
        <f>1200*1.05</f>
        <v>1260</v>
      </c>
      <c r="W3248" s="17" ph="1">
        <v>600</v>
      </c>
      <c r="X3248" s="13" t="s" ph="1">
        <v>9718</v>
      </c>
    </row>
    <row r="3249" spans="1:25" ht="22.5" customHeight="1" ph="1" x14ac:dyDescent="0.35">
      <c r="C3249" s="13" t="s" ph="1">
        <v>4106</v>
      </c>
      <c r="G3249" s="13" t="s" ph="1">
        <v>1765</v>
      </c>
      <c r="M3249" s="14" t="str" ph="1">
        <f>IFERROR(INDEX([1]!_born[生没年],
MATCH(I3249,[1]!_born[作],0)),"")</f>
        <v/>
      </c>
      <c r="N3249" s="14" t="str" ph="1">
        <f>IFERROR(INDEX([1]!_born[生没年],
MATCH(K3249,[1]!_born[作],0)),"")</f>
        <v/>
      </c>
      <c r="O3249" s="13" t="s" ph="1">
        <v>9719</v>
      </c>
      <c r="U3249" s="16" t="s" ph="1">
        <v>1217</v>
      </c>
    </row>
    <row r="3250" spans="1:25" ht="22.5" customHeight="1" ph="1" x14ac:dyDescent="0.35">
      <c r="C3250" s="13" t="s" ph="1">
        <v>1285</v>
      </c>
      <c r="G3250" s="13" t="s" ph="1">
        <v>1765</v>
      </c>
      <c r="I3250" s="13" t="s" ph="1">
        <v>9720</v>
      </c>
      <c r="M3250" s="14" t="str" ph="1">
        <f>IFERROR(INDEX([1]!_born[生没年],
MATCH(I3250,[1]!_born[作],0)),"")</f>
        <v/>
      </c>
      <c r="N3250" s="14" t="str" ph="1">
        <f>IFERROR(INDEX([1]!_born[生没年],
MATCH(K3250,[1]!_born[作],0)),"")</f>
        <v/>
      </c>
      <c r="O3250" s="13" t="s" ph="1">
        <v>9721</v>
      </c>
      <c r="R3250" s="16" t="s" ph="1">
        <v>1238</v>
      </c>
      <c r="S3250" s="13" t="s" ph="1">
        <v>9722</v>
      </c>
      <c r="T3250" s="13" t="s" ph="1">
        <v>9</v>
      </c>
      <c r="V3250" s="17" ph="1">
        <f>2300*1.05</f>
        <v>2415</v>
      </c>
      <c r="W3250" s="17" ph="1">
        <v>0</v>
      </c>
    </row>
    <row r="3251" spans="1:25" ht="22.5" customHeight="1" ph="1" x14ac:dyDescent="0.35">
      <c r="C3251" s="13" t="s" ph="1">
        <v>1285</v>
      </c>
      <c r="D3251" s="123" ph="1">
        <v>2</v>
      </c>
      <c r="E3251" s="123" t="s" ph="1">
        <v>1225</v>
      </c>
      <c r="G3251" s="13" t="s" ph="1">
        <v>1765</v>
      </c>
      <c r="I3251" s="13" t="s" ph="1">
        <v>9723</v>
      </c>
      <c r="J3251" s="13" t="s" ph="1">
        <v>3664</v>
      </c>
      <c r="M3251" s="14" t="str" ph="1">
        <f>IFERROR(INDEX([1]!_born[生没年],
MATCH(I3251,[1]!_born[作],0)),"")</f>
        <v/>
      </c>
      <c r="N3251" s="14" t="str" ph="1">
        <f>IFERROR(INDEX([1]!_born[生没年],
MATCH(K3251,[1]!_born[作],0)),"")</f>
        <v/>
      </c>
      <c r="O3251" s="13" t="s" ph="1">
        <v>9724</v>
      </c>
      <c r="T3251" s="13" t="s" ph="1">
        <v>9</v>
      </c>
      <c r="V3251" s="17" ph="1">
        <f>1200*1.05*2</f>
        <v>2520</v>
      </c>
    </row>
    <row r="3252" spans="1:25" ht="22.5" customHeight="1" ph="1" x14ac:dyDescent="0.35">
      <c r="C3252" s="13" t="s" ph="1">
        <v>1285</v>
      </c>
      <c r="G3252" s="13" t="s" ph="1">
        <v>1765</v>
      </c>
      <c r="I3252" s="13" t="s" ph="1">
        <v>9725</v>
      </c>
      <c r="M3252" s="14" t="str" ph="1">
        <f>IFERROR(INDEX([1]!_born[生没年],
MATCH(I3252,[1]!_born[作],0)),"")</f>
        <v/>
      </c>
      <c r="N3252" s="14" t="str" ph="1">
        <f>IFERROR(INDEX([1]!_born[生没年],
MATCH(K3252,[1]!_born[作],0)),"")</f>
        <v/>
      </c>
      <c r="O3252" s="13" t="s" ph="1">
        <v>9726</v>
      </c>
      <c r="R3252" s="16" t="s" ph="1">
        <v>1239</v>
      </c>
      <c r="S3252" s="13" t="s" ph="1">
        <v>9727</v>
      </c>
      <c r="T3252" s="13" t="s" ph="1">
        <v>9728</v>
      </c>
      <c r="V3252" s="17" ph="1">
        <f>1300*1.05</f>
        <v>1365</v>
      </c>
      <c r="X3252" s="5" t="s" ph="1">
        <v>9680</v>
      </c>
      <c r="Y3252" s="5" ph="1"/>
    </row>
    <row r="3253" spans="1:25" ht="22.5" customHeight="1" ph="1" x14ac:dyDescent="0.35">
      <c r="C3253" s="13" t="s" ph="1">
        <v>1285</v>
      </c>
      <c r="G3253" s="13" t="s" ph="1">
        <v>1765</v>
      </c>
      <c r="I3253" s="13" t="s" ph="1">
        <v>9729</v>
      </c>
      <c r="K3253" s="13" t="s" ph="1">
        <v>9730</v>
      </c>
      <c r="L3253" s="13" t="s" ph="1">
        <v>9731</v>
      </c>
      <c r="M3253" s="14" t="str" ph="1">
        <f>IFERROR(INDEX([1]!_born[生没年],
MATCH(I3253,[1]!_born[作],0)),"")</f>
        <v/>
      </c>
      <c r="N3253" s="14" t="str" ph="1">
        <f>IFERROR(INDEX([1]!_born[生没年],
MATCH(K3253,[1]!_born[作],0)),"")</f>
        <v/>
      </c>
      <c r="O3253" s="13" t="s" ph="1">
        <v>9732</v>
      </c>
      <c r="R3253" s="16" t="s" ph="1">
        <v>1239</v>
      </c>
      <c r="T3253" s="13" t="s" ph="1">
        <v>544</v>
      </c>
      <c r="V3253" s="17" ph="1">
        <f>1300*1.05</f>
        <v>1365</v>
      </c>
      <c r="X3253" s="5" t="s" ph="1">
        <v>9680</v>
      </c>
      <c r="Y3253" s="5" ph="1"/>
    </row>
    <row r="3254" spans="1:25" ht="22.5" customHeight="1" ph="1" x14ac:dyDescent="0.35">
      <c r="C3254" s="13" t="s" ph="1">
        <v>4106</v>
      </c>
      <c r="G3254" s="13" t="s" ph="1">
        <v>1765</v>
      </c>
      <c r="I3254" s="13" t="s" ph="1">
        <v>9733</v>
      </c>
      <c r="M3254" s="14" t="str" ph="1">
        <f>IFERROR(INDEX([1]!_born[生没年],
MATCH(I3254,[1]!_born[作],0)),"")</f>
        <v/>
      </c>
      <c r="N3254" s="14" t="str" ph="1">
        <f>IFERROR(INDEX([1]!_born[生没年],
MATCH(K3254,[1]!_born[作],0)),"")</f>
        <v/>
      </c>
      <c r="O3254" s="13" t="s" ph="1">
        <v>9734</v>
      </c>
      <c r="T3254" s="13" t="s" ph="1">
        <v>9735</v>
      </c>
      <c r="U3254" s="16" t="s" ph="1">
        <v>1217</v>
      </c>
      <c r="V3254" s="17" ph="1">
        <v>980</v>
      </c>
      <c r="W3254" s="17" ph="1">
        <v>0</v>
      </c>
    </row>
    <row r="3255" spans="1:25" ht="22.5" customHeight="1" ph="1" x14ac:dyDescent="0.35">
      <c r="C3255" s="13" t="s" ph="1">
        <v>4106</v>
      </c>
      <c r="D3255" s="123" ph="1">
        <v>1</v>
      </c>
      <c r="E3255" s="123" ph="1">
        <v>4</v>
      </c>
      <c r="G3255" s="13" t="s" ph="1">
        <v>1765</v>
      </c>
      <c r="I3255" s="13" t="s" ph="1">
        <v>9736</v>
      </c>
      <c r="M3255" s="14" t="str" ph="1">
        <f>IFERROR(INDEX([1]!_born[生没年],
MATCH(I3255,[1]!_born[作],0)),"")</f>
        <v/>
      </c>
      <c r="N3255" s="14" t="str" ph="1">
        <f>IFERROR(INDEX([1]!_born[生没年],
MATCH(K3255,[1]!_born[作],0)),"")</f>
        <v/>
      </c>
      <c r="O3255" s="13" t="s" ph="1">
        <v>9737</v>
      </c>
      <c r="T3255" s="13" t="s" ph="1">
        <v>9738</v>
      </c>
      <c r="U3255" s="16" t="s" ph="1">
        <v>1217</v>
      </c>
      <c r="V3255" s="17" ph="1">
        <f>1000*2</f>
        <v>2000</v>
      </c>
      <c r="W3255" s="17" ph="1">
        <v>0</v>
      </c>
    </row>
    <row r="3256" spans="1:25" ht="22.5" customHeight="1" ph="1" x14ac:dyDescent="0.35">
      <c r="C3256" s="13" t="s" ph="1">
        <v>4106</v>
      </c>
      <c r="D3256" s="123" ph="1">
        <v>2</v>
      </c>
      <c r="E3256" s="123" ph="1">
        <v>4</v>
      </c>
      <c r="G3256" s="13" t="s" ph="1">
        <v>1765</v>
      </c>
      <c r="I3256" s="13" t="s" ph="1">
        <v>9736</v>
      </c>
      <c r="M3256" s="14" t="str" ph="1">
        <f>IFERROR(INDEX([1]!_born[生没年],
MATCH(I3256,[1]!_born[作],0)),"")</f>
        <v/>
      </c>
      <c r="N3256" s="14" t="str" ph="1">
        <f>IFERROR(INDEX([1]!_born[生没年],
MATCH(K3256,[1]!_born[作],0)),"")</f>
        <v/>
      </c>
      <c r="O3256" s="13" t="s" ph="1">
        <v>9739</v>
      </c>
      <c r="T3256" s="13" t="s" ph="1">
        <v>9738</v>
      </c>
      <c r="U3256" s="16" t="s" ph="1">
        <v>1217</v>
      </c>
      <c r="V3256" s="17" ph="1">
        <f>1000*2</f>
        <v>2000</v>
      </c>
      <c r="W3256" s="17" ph="1">
        <v>0</v>
      </c>
    </row>
    <row r="3257" spans="1:25" ht="22.5" customHeight="1" ph="1" x14ac:dyDescent="0.35">
      <c r="C3257" s="13" t="s" ph="1">
        <v>1285</v>
      </c>
      <c r="G3257" s="13" t="s" ph="1">
        <v>1765</v>
      </c>
      <c r="I3257" s="13" t="s" ph="1">
        <v>9740</v>
      </c>
      <c r="M3257" s="14" t="str" ph="1">
        <f>IFERROR(INDEX([1]!_born[生没年],
MATCH(I3257,[1]!_born[作],0)),"")</f>
        <v/>
      </c>
      <c r="N3257" s="14" t="str" ph="1">
        <f>IFERROR(INDEX([1]!_born[生没年],
MATCH(K3257,[1]!_born[作],0)),"")</f>
        <v/>
      </c>
      <c r="O3257" s="13" t="s" ph="1">
        <v>9741</v>
      </c>
      <c r="S3257" s="13" t="s" ph="1">
        <v>364</v>
      </c>
      <c r="T3257" s="13" t="s" ph="1">
        <v>9738</v>
      </c>
      <c r="U3257" s="16" t="s" ph="1">
        <v>1217</v>
      </c>
      <c r="V3257" s="17" ph="1">
        <v>1500</v>
      </c>
      <c r="W3257" s="17" ph="1">
        <v>0</v>
      </c>
    </row>
    <row r="3258" spans="1:25" ht="22.5" customHeight="1" ph="1" x14ac:dyDescent="0.35">
      <c r="C3258" s="13" t="s" ph="1">
        <v>1285</v>
      </c>
      <c r="G3258" s="13" t="s" ph="1">
        <v>1765</v>
      </c>
      <c r="I3258" s="13" t="s" ph="1">
        <v>9742</v>
      </c>
      <c r="M3258" s="14" t="str" ph="1">
        <f>IFERROR(INDEX([1]!_born[生没年],
MATCH(I3258,[1]!_born[作],0)),"")</f>
        <v/>
      </c>
      <c r="N3258" s="14" t="str" ph="1">
        <f>IFERROR(INDEX([1]!_born[生没年],
MATCH(K3258,[1]!_born[作],0)),"")</f>
        <v/>
      </c>
      <c r="O3258" s="13" t="s" ph="1">
        <v>9743</v>
      </c>
      <c r="S3258" s="13" t="s" ph="1">
        <v>364</v>
      </c>
      <c r="T3258" s="13" t="s" ph="1">
        <v>9744</v>
      </c>
      <c r="U3258" s="16" t="s" ph="1">
        <v>1217</v>
      </c>
      <c r="V3258" s="17" ph="1">
        <v>1500</v>
      </c>
      <c r="W3258" s="17" ph="1">
        <v>0</v>
      </c>
    </row>
    <row r="3259" spans="1:25" ht="22.5" customHeight="1" ph="1" x14ac:dyDescent="0.35">
      <c r="C3259" s="13" t="s" ph="1">
        <v>4106</v>
      </c>
      <c r="G3259" s="13" t="s" ph="1">
        <v>1765</v>
      </c>
      <c r="M3259" s="14" t="str" ph="1">
        <f>IFERROR(INDEX([1]!_born[生没年],
MATCH(I3259,[1]!_born[作],0)),"")</f>
        <v/>
      </c>
      <c r="N3259" s="14" t="str" ph="1">
        <f>IFERROR(INDEX([1]!_born[生没年],
MATCH(K3259,[1]!_born[作],0)),"")</f>
        <v/>
      </c>
      <c r="O3259" s="13" t="s" ph="1">
        <v>9745</v>
      </c>
      <c r="U3259" s="16" t="s" ph="1">
        <v>1217</v>
      </c>
      <c r="W3259" s="17" ph="1">
        <v>0</v>
      </c>
    </row>
    <row r="3260" spans="1:25" ht="22.5" customHeight="1" ph="1" x14ac:dyDescent="0.35">
      <c r="C3260" s="13" t="s" ph="1">
        <v>4106</v>
      </c>
      <c r="D3260" s="123" ph="1">
        <v>1</v>
      </c>
      <c r="E3260" s="123" ph="1">
        <v>4</v>
      </c>
      <c r="G3260" s="13" t="s" ph="1">
        <v>1765</v>
      </c>
      <c r="M3260" s="14" t="str" ph="1">
        <f>IFERROR(INDEX([1]!_born[生没年],
MATCH(I3260,[1]!_born[作],0)),"")</f>
        <v/>
      </c>
      <c r="N3260" s="14" t="str" ph="1">
        <f>IFERROR(INDEX([1]!_born[生没年],
MATCH(K3260,[1]!_born[作],0)),"")</f>
        <v/>
      </c>
      <c r="O3260" s="13" t="s" ph="1">
        <v>9746</v>
      </c>
      <c r="U3260" s="16" t="s" ph="1">
        <v>1217</v>
      </c>
      <c r="W3260" s="17" ph="1">
        <v>0</v>
      </c>
    </row>
    <row r="3261" spans="1:25" ht="22.5" customHeight="1" ph="1" x14ac:dyDescent="0.35">
      <c r="C3261" s="13" t="s" ph="1">
        <v>4106</v>
      </c>
      <c r="D3261" s="123" ph="1">
        <v>2</v>
      </c>
      <c r="E3261" s="123" ph="1">
        <v>4</v>
      </c>
      <c r="G3261" s="13" t="s" ph="1">
        <v>1765</v>
      </c>
      <c r="M3261" s="14" t="str" ph="1">
        <f>IFERROR(INDEX([1]!_born[生没年],
MATCH(I3261,[1]!_born[作],0)),"")</f>
        <v/>
      </c>
      <c r="N3261" s="14" t="str" ph="1">
        <f>IFERROR(INDEX([1]!_born[生没年],
MATCH(K3261,[1]!_born[作],0)),"")</f>
        <v/>
      </c>
      <c r="O3261" s="13" t="s" ph="1">
        <v>9747</v>
      </c>
      <c r="U3261" s="16" t="s" ph="1">
        <v>1217</v>
      </c>
      <c r="W3261" s="17" ph="1">
        <v>0</v>
      </c>
    </row>
    <row r="3262" spans="1:25" ht="22.5" customHeight="1" ph="1" x14ac:dyDescent="0.35">
      <c r="A3262" s="106" t="s" ph="1">
        <v>2624</v>
      </c>
      <c r="B3262" s="5" t="s" ph="1">
        <v>2625</v>
      </c>
      <c r="C3262" s="13" t="s" ph="1">
        <v>25</v>
      </c>
      <c r="G3262" s="13" t="s" ph="1">
        <v>701</v>
      </c>
      <c r="H3262" s="13" t="s" ph="1">
        <v>2623</v>
      </c>
      <c r="M3262" s="14" t="str" ph="1">
        <f>IFERROR(INDEX([1]!_born[生没年],
MATCH(I3262,[1]!_born[作],0)),"")</f>
        <v/>
      </c>
      <c r="N3262" s="14" t="str" ph="1">
        <f>IFERROR(INDEX([1]!_born[生没年],
MATCH(K3262,[1]!_born[作],0)),"")</f>
        <v/>
      </c>
      <c r="O3262" s="13" t="s" ph="1">
        <v>9748</v>
      </c>
      <c r="R3262" s="16" ph="1">
        <v>40571</v>
      </c>
      <c r="T3262" s="13" t="s" ph="1">
        <v>2626</v>
      </c>
      <c r="U3262" s="16" ph="1">
        <v>41194</v>
      </c>
      <c r="V3262" s="17" ph="1">
        <f>3600*1.05</f>
        <v>3780</v>
      </c>
      <c r="W3262" s="17" ph="1">
        <f>2969+250</f>
        <v>3219</v>
      </c>
      <c r="X3262" s="13" t="s" ph="1">
        <v>5062</v>
      </c>
    </row>
    <row r="3263" spans="1:25" s="7" customFormat="1" ht="22.5" customHeight="1" ph="1" x14ac:dyDescent="0.35">
      <c r="A3263" s="106" ph="1"/>
      <c r="B3263" s="5" ph="1"/>
      <c r="C3263" s="9" t="s" ph="1">
        <v>9749</v>
      </c>
      <c r="D3263" s="122" ph="1"/>
      <c r="E3263" s="122" ph="1"/>
      <c r="G3263" s="8" t="s" ph="1">
        <v>9749</v>
      </c>
      <c r="H3263" s="9" ph="1"/>
      <c r="M3263" s="34" t="str" ph="1">
        <f>IFERROR(INDEX([1]!_born[生没年],
MATCH(I3263,[1]!_born[作],0)),"")</f>
        <v/>
      </c>
      <c r="N3263" s="34" t="str" ph="1">
        <f>IFERROR(INDEX([1]!_born[生没年],
MATCH(K3263,[1]!_born[作],0)),"")</f>
        <v/>
      </c>
      <c r="R3263" s="10" ph="1"/>
      <c r="U3263" s="10" ph="1"/>
      <c r="V3263" s="11" ph="1"/>
      <c r="W3263" s="11" ph="1"/>
    </row>
    <row r="3264" spans="1:25" ht="22.5" customHeight="1" ph="1" x14ac:dyDescent="0.35">
      <c r="C3264" s="13" t="s" ph="1">
        <v>9749</v>
      </c>
      <c r="G3264" s="13" t="s" ph="1">
        <v>9751</v>
      </c>
      <c r="H3264" s="13" t="s" ph="1">
        <v>1780</v>
      </c>
      <c r="I3264" s="15" t="s" ph="1">
        <v>9754</v>
      </c>
      <c r="M3264" s="14" t="str" ph="1">
        <f>IFERROR(INDEX([1]!_born[生没年],
MATCH(I3264,[1]!_born[作],0)),"")</f>
        <v/>
      </c>
      <c r="N3264" s="14" t="str" ph="1">
        <f>IFERROR(INDEX([1]!_born[生没年],
MATCH(K3264,[1]!_born[作],0)),"")</f>
        <v/>
      </c>
      <c r="O3264" s="15" t="s" ph="1">
        <v>9755</v>
      </c>
      <c r="T3264" s="13" t="s" ph="1">
        <v>9756</v>
      </c>
    </row>
    <row r="3265" spans="1:24" ht="22.5" customHeight="1" ph="1" x14ac:dyDescent="0.35">
      <c r="C3265" s="13" t="s" ph="1">
        <v>9749</v>
      </c>
      <c r="G3265" s="13" t="s" ph="1">
        <v>9751</v>
      </c>
      <c r="H3265" s="13" t="s" ph="1">
        <v>1780</v>
      </c>
      <c r="I3265" s="15" t="s" ph="1">
        <v>10235</v>
      </c>
      <c r="M3265" s="14" t="str" ph="1">
        <f>IFERROR(INDEX([1]!_born[生没年],
MATCH(I3265,[1]!_born[作],0)),"")</f>
        <v/>
      </c>
      <c r="N3265" s="14" t="str" ph="1">
        <f>IFERROR(INDEX([1]!_born[生没年],
MATCH(K3265,[1]!_born[作],0)),"")</f>
        <v/>
      </c>
      <c r="O3265" s="15" t="s" ph="1">
        <v>1781</v>
      </c>
    </row>
    <row r="3266" spans="1:24" ht="22.5" customHeight="1" ph="1" x14ac:dyDescent="0.35">
      <c r="C3266" s="13" t="s" ph="1">
        <v>9749</v>
      </c>
      <c r="G3266" s="13" t="s" ph="1">
        <v>9751</v>
      </c>
      <c r="H3266" s="13" t="s" ph="1">
        <v>1780</v>
      </c>
      <c r="I3266" s="15" t="s" ph="1">
        <v>10235</v>
      </c>
      <c r="M3266" s="14" t="str" ph="1">
        <f>IFERROR(INDEX([1]!_born[生没年],
MATCH(I3266,[1]!_born[作],0)),"")</f>
        <v/>
      </c>
      <c r="N3266" s="14" t="str" ph="1">
        <f>IFERROR(INDEX([1]!_born[生没年],
MATCH(K3266,[1]!_born[作],0)),"")</f>
        <v/>
      </c>
      <c r="O3266" s="15" t="s" ph="1">
        <v>9753</v>
      </c>
    </row>
    <row r="3267" spans="1:24" ht="22.5" customHeight="1" ph="1" x14ac:dyDescent="0.35">
      <c r="C3267" s="13" t="s" ph="1">
        <v>9749</v>
      </c>
      <c r="G3267" s="13" t="s" ph="1">
        <v>9751</v>
      </c>
      <c r="H3267" s="13" t="s" ph="1">
        <v>1792</v>
      </c>
      <c r="I3267" s="15" t="s" ph="1">
        <v>9770</v>
      </c>
      <c r="M3267" s="14" t="str" ph="1">
        <f>IFERROR(INDEX([1]!_born[生没年],
MATCH(I3267,[1]!_born[作],0)),"")</f>
        <v/>
      </c>
      <c r="N3267" s="14" t="str" ph="1">
        <f>IFERROR(INDEX([1]!_born[生没年],
MATCH(K3267,[1]!_born[作],0)),"")</f>
        <v/>
      </c>
      <c r="O3267" s="15" t="s" ph="1">
        <v>606</v>
      </c>
      <c r="T3267" s="13" t="s" ph="1">
        <v>9756</v>
      </c>
    </row>
    <row r="3268" spans="1:24" ht="22.5" customHeight="1" ph="1" x14ac:dyDescent="0.35">
      <c r="C3268" s="13" t="s" ph="1">
        <v>9749</v>
      </c>
      <c r="G3268" s="13" t="s" ph="1">
        <v>9751</v>
      </c>
      <c r="H3268" s="13" t="s" ph="1">
        <v>1780</v>
      </c>
      <c r="I3268" s="13" t="s" ph="1">
        <v>10320</v>
      </c>
      <c r="M3268" s="14" t="str" ph="1">
        <f>IFERROR(INDEX([1]!_born[生没年],
MATCH(I3268,[1]!_born[作],0)),"")</f>
        <v/>
      </c>
      <c r="N3268" s="14" t="str" ph="1">
        <f>IFERROR(INDEX([1]!_born[生没年],
MATCH(K3268,[1]!_born[作],0)),"")</f>
        <v/>
      </c>
      <c r="O3268" s="13" t="s" ph="1">
        <v>9762</v>
      </c>
      <c r="R3268" s="16" t="s" ph="1">
        <v>1261</v>
      </c>
      <c r="S3268" s="13" t="s" ph="1">
        <v>9763</v>
      </c>
      <c r="T3268" s="13" t="s" ph="1">
        <v>4119</v>
      </c>
    </row>
    <row r="3269" spans="1:24" ht="22.5" customHeight="1" ph="1" x14ac:dyDescent="0.35">
      <c r="A3269" s="106" t="s" ph="1">
        <v>1793</v>
      </c>
      <c r="B3269" s="5" t="s" ph="1">
        <v>1794</v>
      </c>
      <c r="C3269" s="13" t="s" ph="1">
        <v>9749</v>
      </c>
      <c r="D3269" s="123" ph="1">
        <v>1</v>
      </c>
      <c r="E3269" s="123" ph="1">
        <v>4</v>
      </c>
      <c r="G3269" s="13" t="s" ph="1">
        <v>9751</v>
      </c>
      <c r="H3269" s="13" t="s" ph="1">
        <v>1792</v>
      </c>
      <c r="I3269" s="13" t="s" ph="1">
        <v>644</v>
      </c>
      <c r="K3269" s="13" t="s" ph="1">
        <v>9771</v>
      </c>
      <c r="L3269" s="13" t="s" ph="1">
        <v>3628</v>
      </c>
      <c r="M3269" s="14" t="str" ph="1">
        <f>IFERROR(INDEX([1]!_born[生没年],
MATCH(I3269,[1]!_born[作],0)),"")</f>
        <v/>
      </c>
      <c r="N3269" s="14" t="str" ph="1">
        <f>IFERROR(INDEX([1]!_born[生没年],
MATCH(K3269,[1]!_born[作],0)),"")</f>
        <v/>
      </c>
      <c r="O3269" s="13" t="s" ph="1">
        <v>9772</v>
      </c>
      <c r="R3269" s="16" t="s" ph="1">
        <v>1795</v>
      </c>
      <c r="S3269" s="13" t="s" ph="1">
        <v>1796</v>
      </c>
      <c r="T3269" s="13" t="s" ph="1">
        <v>9773</v>
      </c>
      <c r="U3269" s="16" ph="1">
        <v>39338</v>
      </c>
      <c r="V3269" s="17" ph="1">
        <f>1800*1.03</f>
        <v>1854</v>
      </c>
      <c r="W3269" s="17" ph="1">
        <f>920+340</f>
        <v>1260</v>
      </c>
      <c r="X3269" s="13" t="s" ph="1">
        <v>9774</v>
      </c>
    </row>
    <row r="3270" spans="1:24" ht="22.5" customHeight="1" ph="1" x14ac:dyDescent="0.35">
      <c r="A3270" s="106" t="s" ph="1">
        <v>1797</v>
      </c>
      <c r="B3270" s="5" t="s" ph="1">
        <v>1794</v>
      </c>
      <c r="C3270" s="13" t="s" ph="1">
        <v>9749</v>
      </c>
      <c r="D3270" s="123" ph="1">
        <v>2</v>
      </c>
      <c r="E3270" s="123" ph="1">
        <v>4</v>
      </c>
      <c r="G3270" s="13" t="s" ph="1">
        <v>9751</v>
      </c>
      <c r="H3270" s="13" t="s" ph="1">
        <v>1792</v>
      </c>
      <c r="I3270" s="13" t="s" ph="1">
        <v>644</v>
      </c>
      <c r="K3270" s="13" t="s" ph="1">
        <v>9771</v>
      </c>
      <c r="L3270" s="13" t="s" ph="1">
        <v>3628</v>
      </c>
      <c r="M3270" s="14" t="str" ph="1">
        <f>IFERROR(INDEX([1]!_born[生没年],
MATCH(I3270,[1]!_born[作],0)),"")</f>
        <v/>
      </c>
      <c r="N3270" s="14" t="str" ph="1">
        <f>IFERROR(INDEX([1]!_born[生没年],
MATCH(K3270,[1]!_born[作],0)),"")</f>
        <v/>
      </c>
      <c r="O3270" s="13" t="s" ph="1">
        <v>9775</v>
      </c>
      <c r="R3270" s="16" t="s" ph="1">
        <v>1795</v>
      </c>
      <c r="S3270" s="13" t="s" ph="1">
        <v>1798</v>
      </c>
      <c r="T3270" s="13" t="s" ph="1">
        <v>9773</v>
      </c>
      <c r="U3270" s="16" ph="1">
        <v>39338</v>
      </c>
      <c r="V3270" s="17" ph="1">
        <f>1400*1.05</f>
        <v>1470</v>
      </c>
      <c r="W3270" s="17" ph="1">
        <f>1400*1.05</f>
        <v>1470</v>
      </c>
      <c r="X3270" s="13" t="s" ph="1">
        <v>2629</v>
      </c>
    </row>
    <row r="3271" spans="1:24" ht="22.5" customHeight="1" ph="1" x14ac:dyDescent="0.35">
      <c r="C3271" s="13" t="s" ph="1">
        <v>9749</v>
      </c>
      <c r="G3271" s="13" t="s" ph="1">
        <v>1788</v>
      </c>
      <c r="H3271" s="13" t="s" ph="1">
        <v>1789</v>
      </c>
      <c r="I3271" s="13" t="s" ph="1">
        <v>10321</v>
      </c>
      <c r="K3271" s="13" t="s" ph="1">
        <v>10322</v>
      </c>
      <c r="L3271" s="13" t="s" ph="1">
        <v>9760</v>
      </c>
      <c r="M3271" s="14" t="str" ph="1">
        <f>IFERROR(INDEX([1]!_born[生没年],
MATCH(I3271,[1]!_born[作],0)),"")</f>
        <v/>
      </c>
      <c r="N3271" s="14" t="str" ph="1">
        <f>IFERROR(INDEX([1]!_born[生没年],
MATCH(K3271,[1]!_born[作],0)),"")</f>
        <v/>
      </c>
      <c r="O3271" s="15" t="s" ph="1">
        <v>9761</v>
      </c>
      <c r="T3271" s="13" t="s" ph="1">
        <v>4119</v>
      </c>
      <c r="V3271" s="17" ph="1">
        <v>1030</v>
      </c>
    </row>
    <row r="3272" spans="1:24" ht="22.5" customHeight="1" ph="1" x14ac:dyDescent="0.35">
      <c r="C3272" s="13" t="s" ph="1">
        <v>9750</v>
      </c>
      <c r="G3272" s="13" t="s" ph="1">
        <v>9751</v>
      </c>
      <c r="I3272" s="15" t="s" ph="1">
        <v>526</v>
      </c>
      <c r="M3272" s="14" t="str" ph="1">
        <f>IFERROR(INDEX([1]!_born[生没年],
MATCH(I3272,[1]!_born[作],0)),"")</f>
        <v/>
      </c>
      <c r="N3272" s="14" t="str" ph="1">
        <f>IFERROR(INDEX([1]!_born[生没年],
MATCH(K3272,[1]!_born[作],0)),"")</f>
        <v/>
      </c>
      <c r="O3272" s="30" t="s" ph="1">
        <v>1775</v>
      </c>
    </row>
    <row r="3273" spans="1:24" ht="22.5" customHeight="1" ph="1" x14ac:dyDescent="0.35">
      <c r="C3273" s="13" t="s" ph="1">
        <v>9750</v>
      </c>
      <c r="G3273" s="13" t="s" ph="1">
        <v>9751</v>
      </c>
      <c r="I3273" s="15" t="s" ph="1">
        <v>526</v>
      </c>
      <c r="M3273" s="14" t="str" ph="1">
        <f>IFERROR(INDEX([1]!_born[生没年],
MATCH(I3273,[1]!_born[作],0)),"")</f>
        <v/>
      </c>
      <c r="N3273" s="14" t="str" ph="1">
        <f>IFERROR(INDEX([1]!_born[生没年],
MATCH(K3273,[1]!_born[作],0)),"")</f>
        <v/>
      </c>
      <c r="O3273" s="35" t="s" ph="1">
        <v>387</v>
      </c>
    </row>
    <row r="3274" spans="1:24" ht="22.5" customHeight="1" ph="1" x14ac:dyDescent="0.35">
      <c r="C3274" s="13" t="s" ph="1">
        <v>9750</v>
      </c>
      <c r="G3274" s="13" t="s" ph="1">
        <v>9751</v>
      </c>
      <c r="I3274" s="15" t="s" ph="1">
        <v>526</v>
      </c>
      <c r="M3274" s="14" t="str" ph="1">
        <f>IFERROR(INDEX([1]!_born[生没年],
MATCH(I3274,[1]!_born[作],0)),"")</f>
        <v/>
      </c>
      <c r="N3274" s="14" t="str" ph="1">
        <f>IFERROR(INDEX([1]!_born[生没年],
MATCH(K3274,[1]!_born[作],0)),"")</f>
        <v/>
      </c>
      <c r="O3274" s="13" t="s" ph="1">
        <v>1776</v>
      </c>
    </row>
    <row r="3275" spans="1:24" ht="22.5" customHeight="1" ph="1" x14ac:dyDescent="0.35">
      <c r="C3275" s="13" t="s" ph="1">
        <v>9750</v>
      </c>
      <c r="G3275" s="13" t="s" ph="1">
        <v>9751</v>
      </c>
      <c r="I3275" s="15" t="s" ph="1">
        <v>526</v>
      </c>
      <c r="M3275" s="14" t="str" ph="1">
        <f>IFERROR(INDEX([1]!_born[生没年],
MATCH(I3275,[1]!_born[作],0)),"")</f>
        <v/>
      </c>
      <c r="N3275" s="14" t="str" ph="1">
        <f>IFERROR(INDEX([1]!_born[生没年],
MATCH(K3275,[1]!_born[作],0)),"")</f>
        <v/>
      </c>
      <c r="O3275" s="15" t="s" ph="1">
        <v>386</v>
      </c>
    </row>
    <row r="3276" spans="1:24" ht="22.5" customHeight="1" ph="1" x14ac:dyDescent="0.35">
      <c r="C3276" s="13" t="s" ph="1">
        <v>9750</v>
      </c>
      <c r="G3276" s="13" t="s" ph="1">
        <v>9751</v>
      </c>
      <c r="I3276" s="15" t="s" ph="1">
        <v>526</v>
      </c>
      <c r="M3276" s="14" t="str" ph="1">
        <f>IFERROR(INDEX([1]!_born[生没年],
MATCH(I3276,[1]!_born[作],0)),"")</f>
        <v/>
      </c>
      <c r="N3276" s="14" t="str" ph="1">
        <f>IFERROR(INDEX([1]!_born[生没年],
MATCH(K3276,[1]!_born[作],0)),"")</f>
        <v/>
      </c>
      <c r="O3276" s="15" t="s" ph="1">
        <v>1777</v>
      </c>
    </row>
    <row r="3277" spans="1:24" ht="22.5" customHeight="1" ph="1" x14ac:dyDescent="0.35">
      <c r="C3277" s="13" t="s" ph="1">
        <v>9750</v>
      </c>
      <c r="G3277" s="13" t="s" ph="1">
        <v>9751</v>
      </c>
      <c r="I3277" s="15" t="s" ph="1">
        <v>526</v>
      </c>
      <c r="M3277" s="14" t="str" ph="1">
        <f>IFERROR(INDEX([1]!_born[生没年],
MATCH(I3277,[1]!_born[作],0)),"")</f>
        <v/>
      </c>
      <c r="N3277" s="14" t="str" ph="1">
        <f>IFERROR(INDEX([1]!_born[生没年],
MATCH(K3277,[1]!_born[作],0)),"")</f>
        <v/>
      </c>
      <c r="O3277" s="15" t="s" ph="1">
        <v>9752</v>
      </c>
    </row>
    <row r="3278" spans="1:24" ht="22.5" customHeight="1" ph="1" x14ac:dyDescent="0.35">
      <c r="C3278" s="13" t="s" ph="1">
        <v>9750</v>
      </c>
      <c r="G3278" s="13" t="s" ph="1">
        <v>9751</v>
      </c>
      <c r="I3278" s="15" t="s" ph="1">
        <v>526</v>
      </c>
      <c r="M3278" s="14" t="str" ph="1">
        <f>IFERROR(INDEX([1]!_born[生没年],
MATCH(I3278,[1]!_born[作],0)),"")</f>
        <v/>
      </c>
      <c r="N3278" s="14" t="str" ph="1">
        <f>IFERROR(INDEX([1]!_born[生没年],
MATCH(K3278,[1]!_born[作],0)),"")</f>
        <v/>
      </c>
      <c r="O3278" s="15" t="s" ph="1">
        <v>1778</v>
      </c>
    </row>
    <row r="3279" spans="1:24" ht="22.5" customHeight="1" ph="1" x14ac:dyDescent="0.35">
      <c r="C3279" s="13" t="s" ph="1">
        <v>9750</v>
      </c>
      <c r="G3279" s="13" t="s" ph="1">
        <v>9751</v>
      </c>
      <c r="I3279" s="15" t="s" ph="1">
        <v>526</v>
      </c>
      <c r="M3279" s="14" t="str" ph="1">
        <f>IFERROR(INDEX([1]!_born[生没年],
MATCH(I3279,[1]!_born[作],0)),"")</f>
        <v/>
      </c>
      <c r="N3279" s="14" t="str" ph="1">
        <f>IFERROR(INDEX([1]!_born[生没年],
MATCH(K3279,[1]!_born[作],0)),"")</f>
        <v/>
      </c>
      <c r="O3279" s="15" t="s" ph="1">
        <v>1779</v>
      </c>
    </row>
    <row r="3280" spans="1:24" ht="22.5" customHeight="1" ph="1" x14ac:dyDescent="0.35">
      <c r="C3280" s="13" t="s" ph="1">
        <v>9749</v>
      </c>
      <c r="G3280" s="13" t="s" ph="1">
        <v>1788</v>
      </c>
      <c r="H3280" s="13" t="s" ph="1">
        <v>1792</v>
      </c>
      <c r="I3280" s="13" t="s" ph="1">
        <v>10236</v>
      </c>
      <c r="M3280" s="14" t="str" ph="1">
        <f>IFERROR(INDEX([1]!_born[生没年],
MATCH(I3280,[1]!_born[作],0)),"")</f>
        <v/>
      </c>
      <c r="N3280" s="14" t="str" ph="1">
        <f>IFERROR(INDEX([1]!_born[生没年],
MATCH(K3280,[1]!_born[作],0)),"")</f>
        <v/>
      </c>
      <c r="O3280" s="13" t="s" ph="1">
        <v>9785</v>
      </c>
      <c r="S3280" s="13" t="s" ph="1">
        <v>9786</v>
      </c>
      <c r="T3280" s="13" t="s" ph="1">
        <v>9756</v>
      </c>
    </row>
    <row r="3281" spans="1:24" ht="22.5" customHeight="1" ph="1" x14ac:dyDescent="0.35">
      <c r="C3281" s="13" t="s" ph="1">
        <v>9749</v>
      </c>
      <c r="G3281" s="13" t="s" ph="1">
        <v>1788</v>
      </c>
      <c r="H3281" s="13" t="s" ph="1">
        <v>1792</v>
      </c>
      <c r="I3281" s="13" t="s" ph="1">
        <v>10236</v>
      </c>
      <c r="M3281" s="14" t="str" ph="1">
        <f>IFERROR(INDEX([1]!_born[生没年],
MATCH(I3281,[1]!_born[作],0)),"")</f>
        <v/>
      </c>
      <c r="N3281" s="14" t="str" ph="1">
        <f>IFERROR(INDEX([1]!_born[生没年],
MATCH(K3281,[1]!_born[作],0)),"")</f>
        <v/>
      </c>
      <c r="O3281" s="13" t="s" ph="1">
        <v>9787</v>
      </c>
      <c r="S3281" s="13" t="s" ph="1">
        <v>9786</v>
      </c>
      <c r="T3281" s="13" t="s" ph="1">
        <v>9756</v>
      </c>
    </row>
    <row r="3282" spans="1:24" ht="22.5" customHeight="1" ph="1" x14ac:dyDescent="0.35">
      <c r="C3282" s="13" t="s" ph="1">
        <v>9749</v>
      </c>
      <c r="G3282" s="13" t="s" ph="1">
        <v>1788</v>
      </c>
      <c r="H3282" s="13" t="s" ph="1">
        <v>1792</v>
      </c>
      <c r="I3282" s="13" t="s" ph="1">
        <v>10236</v>
      </c>
      <c r="M3282" s="14" t="str" ph="1">
        <f>IFERROR(INDEX([1]!_born[生没年],
MATCH(I3282,[1]!_born[作],0)),"")</f>
        <v/>
      </c>
      <c r="N3282" s="14" t="str" ph="1">
        <f>IFERROR(INDEX([1]!_born[生没年],
MATCH(K3282,[1]!_born[作],0)),"")</f>
        <v/>
      </c>
      <c r="O3282" s="13" t="s" ph="1">
        <v>9788</v>
      </c>
      <c r="S3282" s="13" t="s" ph="1">
        <v>9789</v>
      </c>
      <c r="T3282" s="13" t="s" ph="1">
        <v>9756</v>
      </c>
    </row>
    <row r="3283" spans="1:24" ht="22.5" customHeight="1" ph="1" x14ac:dyDescent="0.35">
      <c r="C3283" s="13" t="s" ph="1">
        <v>9749</v>
      </c>
      <c r="G3283" s="13" t="s" ph="1">
        <v>1788</v>
      </c>
      <c r="H3283" s="13" t="s" ph="1">
        <v>1792</v>
      </c>
      <c r="I3283" s="13" t="s" ph="1">
        <v>10237</v>
      </c>
      <c r="M3283" s="14" t="str" ph="1">
        <f>IFERROR(INDEX([1]!_born[生没年],
MATCH(I3283,[1]!_born[作],0)),"")</f>
        <v/>
      </c>
      <c r="N3283" s="14" t="str" ph="1">
        <f>IFERROR(INDEX([1]!_born[生没年],
MATCH(K3283,[1]!_born[作],0)),"")</f>
        <v/>
      </c>
      <c r="O3283" s="13" t="s" ph="1">
        <v>9790</v>
      </c>
      <c r="S3283" s="13" t="s" ph="1">
        <v>9786</v>
      </c>
      <c r="T3283" s="13" t="s" ph="1">
        <v>9756</v>
      </c>
    </row>
    <row r="3284" spans="1:24" ht="22.5" customHeight="1" ph="1" x14ac:dyDescent="0.35">
      <c r="A3284" s="106" t="s" ph="1">
        <v>1782</v>
      </c>
      <c r="C3284" s="13" t="s" ph="1">
        <v>9749</v>
      </c>
      <c r="G3284" s="13" t="s" ph="1">
        <v>9751</v>
      </c>
      <c r="H3284" s="13" t="s" ph="1">
        <v>1780</v>
      </c>
      <c r="I3284" s="13" t="s" ph="1">
        <v>74</v>
      </c>
      <c r="K3284" s="13" t="s" ph="1">
        <v>75</v>
      </c>
      <c r="M3284" s="14" t="str" ph="1">
        <f>IFERROR(INDEX([1]!_born[生没年],
MATCH(I3284,[1]!_born[作],0)),"")</f>
        <v/>
      </c>
      <c r="N3284" s="14" t="str" ph="1">
        <f>IFERROR(INDEX([1]!_born[生没年],
MATCH(K3284,[1]!_born[作],0)),"")</f>
        <v/>
      </c>
      <c r="O3284" s="15" t="s" ph="1">
        <v>1783</v>
      </c>
      <c r="S3284" s="13" t="s" ph="1">
        <v>1784</v>
      </c>
      <c r="T3284" s="13" t="s" ph="1">
        <v>1785</v>
      </c>
      <c r="U3284" s="16" ph="1">
        <v>39191</v>
      </c>
      <c r="W3284" s="17" ph="1">
        <f>3300*1.05</f>
        <v>3465</v>
      </c>
      <c r="X3284" s="13" t="s" ph="1">
        <v>9363</v>
      </c>
    </row>
    <row r="3285" spans="1:24" ht="22.5" customHeight="1" ph="1" x14ac:dyDescent="0.35">
      <c r="C3285" s="13" t="s" ph="1">
        <v>9749</v>
      </c>
      <c r="G3285" s="13" t="s" ph="1">
        <v>1788</v>
      </c>
      <c r="H3285" s="13" t="s" ph="1">
        <v>1792</v>
      </c>
      <c r="I3285" s="13" t="s" ph="1">
        <v>193</v>
      </c>
      <c r="M3285" s="14" t="str" ph="1">
        <f>IFERROR(INDEX([1]!_born[生没年],
MATCH(I3285,[1]!_born[作],0)),"")</f>
        <v/>
      </c>
      <c r="N3285" s="14" t="str" ph="1">
        <f>IFERROR(INDEX([1]!_born[生没年],
MATCH(K3285,[1]!_born[作],0)),"")</f>
        <v/>
      </c>
      <c r="O3285" s="15" t="s" ph="1">
        <v>9776</v>
      </c>
      <c r="T3285" s="13" t="s" ph="1">
        <v>9777</v>
      </c>
      <c r="V3285" s="17" ph="1">
        <v>1500</v>
      </c>
    </row>
    <row r="3286" spans="1:24" ht="22.5" customHeight="1" ph="1" x14ac:dyDescent="0.35">
      <c r="C3286" s="13" t="s" ph="1">
        <v>9749</v>
      </c>
      <c r="G3286" s="13" t="s" ph="1">
        <v>1788</v>
      </c>
      <c r="H3286" s="13" t="s" ph="1">
        <v>1792</v>
      </c>
      <c r="I3286" s="15" t="s" ph="1">
        <v>9778</v>
      </c>
      <c r="M3286" s="14" t="str" ph="1">
        <f>IFERROR(INDEX([1]!_born[生没年],
MATCH(I3286,[1]!_born[作],0)),"")</f>
        <v/>
      </c>
      <c r="N3286" s="14" t="str" ph="1">
        <f>IFERROR(INDEX([1]!_born[生没年],
MATCH(K3286,[1]!_born[作],0)),"")</f>
        <v/>
      </c>
      <c r="O3286" s="15" t="s" ph="1">
        <v>9779</v>
      </c>
      <c r="T3286" s="13" t="s" ph="1">
        <v>9777</v>
      </c>
      <c r="V3286" s="17" ph="1">
        <v>1200</v>
      </c>
    </row>
    <row r="3287" spans="1:24" ht="22.5" customHeight="1" ph="1" x14ac:dyDescent="0.35">
      <c r="C3287" s="13" t="s" ph="1">
        <v>9749</v>
      </c>
      <c r="G3287" s="13" t="s" ph="1">
        <v>1788</v>
      </c>
      <c r="H3287" s="13" t="s" ph="1">
        <v>1792</v>
      </c>
      <c r="I3287" s="13" t="s" ph="1">
        <v>543</v>
      </c>
      <c r="M3287" s="14" t="str" ph="1">
        <f>IFERROR(INDEX([1]!_born[生没年],
MATCH(I3287,[1]!_born[作],0)),"")</f>
        <v/>
      </c>
      <c r="N3287" s="14" t="str" ph="1">
        <f>IFERROR(INDEX([1]!_born[生没年],
MATCH(K3287,[1]!_born[作],0)),"")</f>
        <v/>
      </c>
      <c r="O3287" s="13" t="s" ph="1">
        <v>9791</v>
      </c>
      <c r="S3287" s="13" t="s" ph="1">
        <v>9792</v>
      </c>
      <c r="T3287" s="13" t="s" ph="1">
        <v>9756</v>
      </c>
    </row>
    <row r="3288" spans="1:24" ht="22.5" customHeight="1" ph="1" x14ac:dyDescent="0.35">
      <c r="A3288" s="106" t="s" ph="1">
        <v>1799</v>
      </c>
      <c r="B3288" s="5" t="s" ph="1">
        <v>1725</v>
      </c>
      <c r="C3288" s="13" t="s" ph="1">
        <v>9749</v>
      </c>
      <c r="D3288" s="123" ph="1">
        <v>1</v>
      </c>
      <c r="E3288" s="123" ph="1">
        <v>2</v>
      </c>
      <c r="G3288" s="13" t="s" ph="1">
        <v>1788</v>
      </c>
      <c r="H3288" s="13" t="s" ph="1">
        <v>1792</v>
      </c>
      <c r="I3288" s="13" t="s" ph="1">
        <v>678</v>
      </c>
      <c r="M3288" s="14" t="str" ph="1">
        <f>IFERROR(INDEX([1]!_born[生没年],
MATCH(I3288,[1]!_born[作],0)),"")</f>
        <v/>
      </c>
      <c r="N3288" s="14" t="str" ph="1">
        <f>IFERROR(INDEX([1]!_born[生没年],
MATCH(K3288,[1]!_born[作],0)),"")</f>
        <v/>
      </c>
      <c r="O3288" s="13" t="s" ph="1">
        <v>9780</v>
      </c>
      <c r="R3288" s="16" t="s" ph="1">
        <v>1800</v>
      </c>
      <c r="T3288" s="13" t="s" ph="1">
        <v>9759</v>
      </c>
      <c r="U3288" s="16" ph="1">
        <v>39573</v>
      </c>
      <c r="V3288" s="17" ph="1">
        <f>1900*1.05</f>
        <v>1995</v>
      </c>
      <c r="W3288" s="17" ph="1">
        <f>1900*1.05</f>
        <v>1995</v>
      </c>
      <c r="X3288" s="13" t="s" ph="1">
        <v>3802</v>
      </c>
    </row>
    <row r="3289" spans="1:24" ht="22.5" customHeight="1" ph="1" x14ac:dyDescent="0.35">
      <c r="A3289" s="106" t="s" ph="1">
        <v>1801</v>
      </c>
      <c r="B3289" s="5" t="s" ph="1">
        <v>1725</v>
      </c>
      <c r="C3289" s="13" t="s" ph="1">
        <v>9749</v>
      </c>
      <c r="D3289" s="123" ph="1">
        <v>2</v>
      </c>
      <c r="E3289" s="123" ph="1">
        <v>2</v>
      </c>
      <c r="G3289" s="13" t="s" ph="1">
        <v>1788</v>
      </c>
      <c r="H3289" s="13" t="s" ph="1">
        <v>1792</v>
      </c>
      <c r="I3289" s="13" t="s" ph="1">
        <v>678</v>
      </c>
      <c r="M3289" s="14" t="str" ph="1">
        <f>IFERROR(INDEX([1]!_born[生没年],
MATCH(I3289,[1]!_born[作],0)),"")</f>
        <v/>
      </c>
      <c r="N3289" s="14" t="str" ph="1">
        <f>IFERROR(INDEX([1]!_born[生没年],
MATCH(K3289,[1]!_born[作],0)),"")</f>
        <v/>
      </c>
      <c r="O3289" s="13" t="s" ph="1">
        <v>9781</v>
      </c>
      <c r="R3289" s="16" t="s" ph="1">
        <v>1800</v>
      </c>
      <c r="T3289" s="13" t="s" ph="1">
        <v>9759</v>
      </c>
      <c r="U3289" s="16" ph="1">
        <v>39573</v>
      </c>
      <c r="V3289" s="17" ph="1">
        <f>2200*1.05</f>
        <v>2310</v>
      </c>
      <c r="W3289" s="17" ph="1">
        <f>2200*1.05</f>
        <v>2310</v>
      </c>
      <c r="X3289" s="13" t="s" ph="1">
        <v>3802</v>
      </c>
    </row>
    <row r="3290" spans="1:24" ht="22.5" customHeight="1" ph="1" x14ac:dyDescent="0.35">
      <c r="A3290" s="106" t="s" ph="1">
        <v>1818</v>
      </c>
      <c r="B3290" s="5" t="s" ph="1">
        <v>1794</v>
      </c>
      <c r="C3290" s="13" t="s" ph="1">
        <v>9749</v>
      </c>
      <c r="G3290" s="13" t="s" ph="1">
        <v>1786</v>
      </c>
      <c r="H3290" s="13" t="s" ph="1">
        <v>1792</v>
      </c>
      <c r="I3290" s="13" t="s" ph="1">
        <v>395</v>
      </c>
      <c r="K3290" s="13" t="s" ph="1">
        <v>9820</v>
      </c>
      <c r="L3290" s="13" t="s" ph="1">
        <v>1819</v>
      </c>
      <c r="M3290" s="14" t="str" ph="1">
        <f>IFERROR(INDEX([1]!_born[生没年],
MATCH(I3290,[1]!_born[作],0)),"")</f>
        <v/>
      </c>
      <c r="N3290" s="14" t="str" ph="1">
        <f>IFERROR(INDEX([1]!_born[生没年],
MATCH(K3290,[1]!_born[作],0)),"")</f>
        <v/>
      </c>
      <c r="O3290" s="13" t="s" ph="1">
        <v>9821</v>
      </c>
      <c r="S3290" s="13" t="s" ph="1">
        <v>1810</v>
      </c>
      <c r="T3290" s="13" t="s" ph="1">
        <v>9756</v>
      </c>
      <c r="U3290" s="16" ph="1">
        <v>38851</v>
      </c>
      <c r="V3290" s="17" ph="1">
        <f>1900*1.05</f>
        <v>1995</v>
      </c>
      <c r="W3290" s="17" ph="1">
        <f>1900*1.05</f>
        <v>1995</v>
      </c>
      <c r="X3290" s="13" t="s" ph="1">
        <v>3802</v>
      </c>
    </row>
    <row r="3291" spans="1:24" ht="22.5" customHeight="1" ph="1" x14ac:dyDescent="0.35">
      <c r="C3291" s="13" t="s" ph="1">
        <v>9749</v>
      </c>
      <c r="G3291" s="13" t="s" ph="1">
        <v>1788</v>
      </c>
      <c r="H3291" s="13" t="s" ph="1">
        <v>1792</v>
      </c>
      <c r="I3291" s="13" t="s" ph="1">
        <v>512</v>
      </c>
      <c r="M3291" s="14" t="str" ph="1">
        <f>IFERROR(INDEX([1]!_born[生没年],
MATCH(I3291,[1]!_born[作],0)),"")</f>
        <v/>
      </c>
      <c r="N3291" s="14" t="str" ph="1">
        <f>IFERROR(INDEX([1]!_born[生没年],
MATCH(K3291,[1]!_born[作],0)),"")</f>
        <v/>
      </c>
      <c r="O3291" s="13" t="s" ph="1">
        <v>582</v>
      </c>
      <c r="T3291" s="13" t="s" ph="1">
        <v>9756</v>
      </c>
    </row>
    <row r="3292" spans="1:24" ht="22.5" customHeight="1" ph="1" x14ac:dyDescent="0.35">
      <c r="A3292" s="106" t="s" ph="1">
        <v>2615</v>
      </c>
      <c r="B3292" s="5" t="s" ph="1">
        <v>1725</v>
      </c>
      <c r="C3292" s="13" t="s" ph="1">
        <v>9749</v>
      </c>
      <c r="G3292" s="13" t="s" ph="1">
        <v>1788</v>
      </c>
      <c r="H3292" s="13" t="s" ph="1">
        <v>2608</v>
      </c>
      <c r="I3292" s="13" t="s" ph="1">
        <v>2614</v>
      </c>
      <c r="K3292" s="13" t="s" ph="1">
        <v>9782</v>
      </c>
      <c r="L3292" s="13" t="s" ph="1">
        <v>9783</v>
      </c>
      <c r="M3292" s="14" t="str" ph="1">
        <f>IFERROR(INDEX([1]!_born[生没年],
MATCH(I3292,[1]!_born[作],0)),"")</f>
        <v/>
      </c>
      <c r="N3292" s="14" t="str" ph="1">
        <f>IFERROR(INDEX([1]!_born[生没年],
MATCH(K3292,[1]!_born[作],0)),"")</f>
        <v/>
      </c>
      <c r="O3292" s="13" t="s" ph="1">
        <v>9784</v>
      </c>
      <c r="S3292" s="13" t="s" ph="1">
        <v>2616</v>
      </c>
      <c r="T3292" s="13" t="s" ph="1">
        <v>2613</v>
      </c>
      <c r="U3292" s="16" ph="1">
        <v>41019</v>
      </c>
      <c r="V3292" s="17" ph="1">
        <f>500*1.05</f>
        <v>525</v>
      </c>
      <c r="W3292" s="17" ph="1">
        <v>250</v>
      </c>
      <c r="X3292" s="13" t="s" ph="1">
        <v>3792</v>
      </c>
    </row>
    <row r="3293" spans="1:24" ht="22.5" customHeight="1" ph="1" x14ac:dyDescent="0.35">
      <c r="A3293" s="106" t="s" ph="1">
        <v>10228</v>
      </c>
      <c r="B3293" s="5" t="s" ph="1">
        <v>1725</v>
      </c>
      <c r="C3293" s="13" t="s" ph="1">
        <v>9749</v>
      </c>
      <c r="G3293" s="13" t="s" ph="1">
        <v>1788</v>
      </c>
      <c r="H3293" s="13" t="s" ph="1">
        <v>1792</v>
      </c>
      <c r="I3293" s="15" t="s" ph="1">
        <v>10229</v>
      </c>
      <c r="K3293" s="13" t="s" ph="1">
        <v>10230</v>
      </c>
      <c r="L3293" s="13" t="s" ph="1">
        <v>3752</v>
      </c>
      <c r="M3293" s="14" t="str" ph="1">
        <f>IFERROR(INDEX([1]!_born[生没年],
MATCH(I3293,[1]!_born[作],0)),"")</f>
        <v/>
      </c>
      <c r="N3293" s="14" t="str" ph="1">
        <f>IFERROR(INDEX([1]!_born[生没年],
MATCH(K3293,[1]!_born[作],0)),"")</f>
        <v/>
      </c>
      <c r="O3293" s="13" t="s" ph="1">
        <v>10231</v>
      </c>
      <c r="R3293" s="16" ph="1">
        <v>43189</v>
      </c>
      <c r="T3293" s="13" t="s" ph="1">
        <v>9759</v>
      </c>
      <c r="U3293" s="16" ph="1">
        <v>45824</v>
      </c>
      <c r="V3293" s="17" ph="1">
        <f>1800*1.1</f>
        <v>1980.0000000000002</v>
      </c>
      <c r="W3293" s="17" ph="1">
        <f>1800*1.1</f>
        <v>1980.0000000000002</v>
      </c>
      <c r="X3293" s="13" t="s" ph="1">
        <v>10232</v>
      </c>
    </row>
    <row r="3294" spans="1:24" ht="22.5" customHeight="1" ph="1" x14ac:dyDescent="0.35">
      <c r="C3294" s="13" t="s" ph="1">
        <v>9749</v>
      </c>
      <c r="G3294" s="13" t="s" ph="1">
        <v>10225</v>
      </c>
      <c r="H3294" s="13" t="s" ph="1">
        <v>1789</v>
      </c>
      <c r="I3294" s="15" t="s" ph="1">
        <v>10238</v>
      </c>
      <c r="M3294" s="14" t="str" ph="1">
        <f>IFERROR(INDEX([1]!_born[生没年],
MATCH(I3294,[1]!_born[作],0)),"")</f>
        <v/>
      </c>
      <c r="N3294" s="14" t="str" ph="1">
        <f>IFERROR(INDEX([1]!_born[生没年],
MATCH(K3294,[1]!_born[作],0)),"")</f>
        <v/>
      </c>
      <c r="O3294" s="15" t="s" ph="1">
        <v>372</v>
      </c>
      <c r="T3294" s="13" t="s" ph="1">
        <v>9764</v>
      </c>
    </row>
    <row r="3295" spans="1:24" ht="22.5" customHeight="1" ph="1" x14ac:dyDescent="0.35">
      <c r="C3295" s="13" t="s" ph="1">
        <v>9749</v>
      </c>
      <c r="G3295" s="13" t="s" ph="1">
        <v>1788</v>
      </c>
      <c r="H3295" s="13" t="s" ph="1">
        <v>1792</v>
      </c>
      <c r="I3295" s="13" t="s" ph="1">
        <v>10239</v>
      </c>
      <c r="M3295" s="14" t="str" ph="1">
        <f>IFERROR(INDEX([1]!_born[生没年],
MATCH(I3295,[1]!_born[作],0)),"")</f>
        <v/>
      </c>
      <c r="N3295" s="14" t="str" ph="1">
        <f>IFERROR(INDEX([1]!_born[生没年],
MATCH(K3295,[1]!_born[作],0)),"")</f>
        <v/>
      </c>
      <c r="O3295" s="13" t="s" ph="1">
        <v>9793</v>
      </c>
      <c r="S3295" s="13" t="s" ph="1">
        <v>9794</v>
      </c>
      <c r="T3295" s="13" t="s" ph="1">
        <v>9756</v>
      </c>
    </row>
    <row r="3296" spans="1:24" ht="22.5" customHeight="1" ph="1" x14ac:dyDescent="0.35">
      <c r="C3296" s="13" t="s" ph="1">
        <v>9749</v>
      </c>
      <c r="G3296" s="13" t="s" ph="1">
        <v>1788</v>
      </c>
      <c r="H3296" s="13" t="s" ph="1">
        <v>1792</v>
      </c>
      <c r="I3296" s="13" t="s" ph="1">
        <v>98</v>
      </c>
      <c r="M3296" s="14" t="str" ph="1">
        <f>IFERROR(INDEX([1]!_born[生没年],
MATCH(I3296,[1]!_born[作],0)),"")</f>
        <v/>
      </c>
      <c r="N3296" s="14" t="str" ph="1">
        <f>IFERROR(INDEX([1]!_born[生没年],
MATCH(K3296,[1]!_born[作],0)),"")</f>
        <v/>
      </c>
      <c r="O3296" s="13" t="s" ph="1">
        <v>9795</v>
      </c>
      <c r="S3296" s="13" t="s" ph="1">
        <v>9794</v>
      </c>
      <c r="T3296" s="13" t="s" ph="1">
        <v>9756</v>
      </c>
    </row>
    <row r="3297" spans="1:24" ht="22.5" customHeight="1" ph="1" x14ac:dyDescent="0.35">
      <c r="C3297" s="13" t="s" ph="1">
        <v>9749</v>
      </c>
      <c r="G3297" s="13" t="s" ph="1">
        <v>1788</v>
      </c>
      <c r="H3297" s="13" t="s" ph="1">
        <v>1792</v>
      </c>
      <c r="I3297" s="13" t="s" ph="1">
        <v>98</v>
      </c>
      <c r="M3297" s="14" t="str" ph="1">
        <f>IFERROR(INDEX([1]!_born[生没年],
MATCH(I3297,[1]!_born[作],0)),"")</f>
        <v/>
      </c>
      <c r="N3297" s="14" t="str" ph="1">
        <f>IFERROR(INDEX([1]!_born[生没年],
MATCH(K3297,[1]!_born[作],0)),"")</f>
        <v/>
      </c>
      <c r="O3297" s="13" t="s" ph="1">
        <v>9796</v>
      </c>
      <c r="T3297" s="13" t="s" ph="1">
        <v>9756</v>
      </c>
    </row>
    <row r="3298" spans="1:24" ht="22.5" customHeight="1" ph="1" x14ac:dyDescent="0.35">
      <c r="C3298" s="13" t="s" ph="1">
        <v>9749</v>
      </c>
      <c r="G3298" s="13" t="s" ph="1">
        <v>1788</v>
      </c>
      <c r="H3298" s="13" t="s" ph="1">
        <v>1792</v>
      </c>
      <c r="I3298" s="13" t="s" ph="1">
        <v>98</v>
      </c>
      <c r="M3298" s="14" t="str" ph="1">
        <f>IFERROR(INDEX([1]!_born[生没年],
MATCH(I3298,[1]!_born[作],0)),"")</f>
        <v/>
      </c>
      <c r="N3298" s="14" t="str" ph="1">
        <f>IFERROR(INDEX([1]!_born[生没年],
MATCH(K3298,[1]!_born[作],0)),"")</f>
        <v/>
      </c>
      <c r="O3298" s="13" t="s" ph="1">
        <v>9797</v>
      </c>
      <c r="T3298" s="13" t="s" ph="1">
        <v>9756</v>
      </c>
    </row>
    <row r="3299" spans="1:24" ht="22.5" customHeight="1" ph="1" x14ac:dyDescent="0.35">
      <c r="C3299" s="13" t="s" ph="1">
        <v>9749</v>
      </c>
      <c r="G3299" s="13" t="s" ph="1">
        <v>1788</v>
      </c>
      <c r="H3299" s="13" t="s" ph="1">
        <v>1792</v>
      </c>
      <c r="I3299" s="13" t="s" ph="1">
        <v>98</v>
      </c>
      <c r="M3299" s="14" t="str" ph="1">
        <f>IFERROR(INDEX([1]!_born[生没年],
MATCH(I3299,[1]!_born[作],0)),"")</f>
        <v/>
      </c>
      <c r="N3299" s="14" t="str" ph="1">
        <f>IFERROR(INDEX([1]!_born[生没年],
MATCH(K3299,[1]!_born[作],0)),"")</f>
        <v/>
      </c>
      <c r="O3299" s="15" t="s" ph="1">
        <v>9798</v>
      </c>
      <c r="T3299" s="13" t="s" ph="1">
        <v>9756</v>
      </c>
    </row>
    <row r="3300" spans="1:24" ht="22.5" customHeight="1" ph="1" x14ac:dyDescent="0.35">
      <c r="C3300" s="13" t="s" ph="1">
        <v>9749</v>
      </c>
      <c r="G3300" s="13" t="s" ph="1">
        <v>1788</v>
      </c>
      <c r="H3300" s="13" t="s" ph="1">
        <v>1792</v>
      </c>
      <c r="I3300" s="13" t="s" ph="1">
        <v>98</v>
      </c>
      <c r="M3300" s="14" t="str" ph="1">
        <f>IFERROR(INDEX([1]!_born[生没年],
MATCH(I3300,[1]!_born[作],0)),"")</f>
        <v/>
      </c>
      <c r="N3300" s="14" t="str" ph="1">
        <f>IFERROR(INDEX([1]!_born[生没年],
MATCH(K3300,[1]!_born[作],0)),"")</f>
        <v/>
      </c>
      <c r="O3300" s="13" t="s" ph="1">
        <v>9799</v>
      </c>
      <c r="T3300" s="13" t="s" ph="1">
        <v>9756</v>
      </c>
    </row>
    <row r="3301" spans="1:24" ht="22.5" customHeight="1" ph="1" x14ac:dyDescent="0.35">
      <c r="C3301" s="13" t="s" ph="1">
        <v>9749</v>
      </c>
      <c r="G3301" s="13" t="s" ph="1">
        <v>1788</v>
      </c>
      <c r="H3301" s="13" t="s" ph="1">
        <v>1792</v>
      </c>
      <c r="I3301" s="13" t="s" ph="1">
        <v>572</v>
      </c>
      <c r="M3301" s="14" t="str" ph="1">
        <f>IFERROR(INDEX([1]!_born[生没年],
MATCH(I3301,[1]!_born[作],0)),"")</f>
        <v/>
      </c>
      <c r="N3301" s="14" t="str" ph="1">
        <f>IFERROR(INDEX([1]!_born[生没年],
MATCH(K3301,[1]!_born[作],0)),"")</f>
        <v/>
      </c>
      <c r="O3301" s="13" t="s" ph="1">
        <v>9800</v>
      </c>
      <c r="S3301" s="13" t="s" ph="1">
        <v>9794</v>
      </c>
      <c r="T3301" s="13" t="s" ph="1">
        <v>9756</v>
      </c>
    </row>
    <row r="3302" spans="1:24" ht="22.5" customHeight="1" ph="1" x14ac:dyDescent="0.35">
      <c r="C3302" s="13" t="s" ph="1">
        <v>9749</v>
      </c>
      <c r="G3302" s="13" t="s" ph="1">
        <v>10225</v>
      </c>
      <c r="H3302" s="13" t="s" ph="1">
        <v>1789</v>
      </c>
      <c r="I3302" s="13" t="s" ph="1">
        <v>686</v>
      </c>
      <c r="M3302" s="14" t="str" ph="1">
        <f>IFERROR(INDEX([1]!_born[生没年],
MATCH(I3302,[1]!_born[作],0)),"")</f>
        <v/>
      </c>
      <c r="N3302" s="14" t="str" ph="1">
        <f>IFERROR(INDEX([1]!_born[生没年],
MATCH(K3302,[1]!_born[作],0)),"")</f>
        <v/>
      </c>
      <c r="O3302" s="15" t="s" ph="1">
        <v>9765</v>
      </c>
      <c r="S3302" s="13" t="s" ph="1">
        <v>9766</v>
      </c>
      <c r="T3302" s="13" t="s" ph="1">
        <v>4119</v>
      </c>
    </row>
    <row r="3303" spans="1:24" ht="22.5" customHeight="1" ph="1" x14ac:dyDescent="0.35">
      <c r="A3303" s="106" t="s" ph="1">
        <v>10227</v>
      </c>
      <c r="B3303" s="5" t="s" ph="1">
        <v>1794</v>
      </c>
      <c r="C3303" s="13" t="s" ph="1">
        <v>9749</v>
      </c>
      <c r="G3303" s="13" t="s" ph="1">
        <v>10225</v>
      </c>
      <c r="H3303" s="13" t="s" ph="1">
        <v>1792</v>
      </c>
      <c r="I3303" s="14" t="s" ph="1">
        <v>10226</v>
      </c>
      <c r="K3303" s="13" t="s" ph="1">
        <v>10233</v>
      </c>
      <c r="L3303" s="13" t="s" ph="1">
        <v>9783</v>
      </c>
      <c r="M3303" s="14" t="str" ph="1">
        <f>IFERROR(INDEX([1]!_born[生没年],
MATCH(I3303,[1]!_born[作],0)),"")</f>
        <v/>
      </c>
      <c r="N3303" s="14" t="str" ph="1">
        <f>IFERROR(INDEX([1]!_born[生没年],
MATCH(K3303,[1]!_born[作],0)),"")</f>
        <v/>
      </c>
      <c r="O3303" s="13" t="s" ph="1">
        <v>10234</v>
      </c>
      <c r="R3303" s="16" ph="1">
        <v>39948</v>
      </c>
      <c r="T3303" s="13" t="s" ph="1">
        <v>9756</v>
      </c>
      <c r="U3303" s="16" ph="1">
        <v>45824</v>
      </c>
      <c r="V3303" s="17" ph="1">
        <f>1300*1.1</f>
        <v>1430.0000000000002</v>
      </c>
      <c r="W3303" s="17" ph="1">
        <f>1300*1.1</f>
        <v>1430.0000000000002</v>
      </c>
      <c r="X3303" s="13" t="s" ph="1">
        <v>10232</v>
      </c>
    </row>
    <row r="3304" spans="1:24" ht="22.5" customHeight="1" ph="1" x14ac:dyDescent="0.35">
      <c r="C3304" s="13" t="s" ph="1">
        <v>9749</v>
      </c>
      <c r="G3304" s="13" t="s" ph="1">
        <v>1788</v>
      </c>
      <c r="H3304" s="13" t="s" ph="1">
        <v>1792</v>
      </c>
      <c r="I3304" s="13" t="s" ph="1">
        <v>2607</v>
      </c>
      <c r="M3304" s="14" t="str" ph="1">
        <f>IFERROR(INDEX([1]!_born[生没年],
MATCH(I3304,[1]!_born[作],0)),"")</f>
        <v/>
      </c>
      <c r="N3304" s="14" t="str" ph="1">
        <f>IFERROR(INDEX([1]!_born[生没年],
MATCH(K3304,[1]!_born[作],0)),"")</f>
        <v/>
      </c>
      <c r="O3304" s="13" t="s" ph="1">
        <v>9801</v>
      </c>
      <c r="T3304" s="13" t="s" ph="1">
        <v>9756</v>
      </c>
    </row>
    <row r="3305" spans="1:24" ht="22.5" customHeight="1" ph="1" x14ac:dyDescent="0.35">
      <c r="C3305" s="13" t="s" ph="1">
        <v>9824</v>
      </c>
      <c r="G3305" s="13" t="s" ph="1">
        <v>1788</v>
      </c>
      <c r="H3305" s="13" t="s" ph="1">
        <v>1792</v>
      </c>
      <c r="I3305" s="13" t="s" ph="1">
        <v>10241</v>
      </c>
      <c r="M3305" s="14" t="str" ph="1">
        <f>IFERROR(INDEX([1]!_born[生没年],
MATCH(I3305,[1]!_born[作],0)),"")</f>
        <v/>
      </c>
      <c r="N3305" s="14" t="str" ph="1">
        <f>IFERROR(INDEX([1]!_born[生没年],
MATCH(K3305,[1]!_born[作],0)),"")</f>
        <v/>
      </c>
      <c r="O3305" s="13" t="s" ph="1">
        <v>10323</v>
      </c>
      <c r="T3305" s="13" t="s" ph="1">
        <v>9756</v>
      </c>
    </row>
    <row r="3306" spans="1:24" ht="22.5" customHeight="1" ph="1" x14ac:dyDescent="0.35">
      <c r="A3306" s="106" t="s" ph="1">
        <v>2611</v>
      </c>
      <c r="B3306" s="5" t="s" ph="1">
        <v>1725</v>
      </c>
      <c r="C3306" s="13" t="s" ph="1">
        <v>9749</v>
      </c>
      <c r="G3306" s="13" t="s" ph="1">
        <v>1788</v>
      </c>
      <c r="H3306" s="13" t="s" ph="1">
        <v>2608</v>
      </c>
      <c r="I3306" s="13" t="s" ph="1">
        <v>2610</v>
      </c>
      <c r="K3306" s="13" t="s" ph="1">
        <v>9782</v>
      </c>
      <c r="L3306" s="13" t="s" ph="1">
        <v>9783</v>
      </c>
      <c r="M3306" s="14" t="str" ph="1">
        <f>IFERROR(INDEX([1]!_born[生没年],
MATCH(I3306,[1]!_born[作],0)),"")</f>
        <v/>
      </c>
      <c r="N3306" s="14" t="str" ph="1">
        <f>IFERROR(INDEX([1]!_born[生没年],
MATCH(K3306,[1]!_born[作],0)),"")</f>
        <v/>
      </c>
      <c r="O3306" s="13" t="s" ph="1">
        <v>2609</v>
      </c>
      <c r="S3306" s="13" t="s" ph="1">
        <v>2612</v>
      </c>
      <c r="T3306" s="13" t="s" ph="1">
        <v>2613</v>
      </c>
      <c r="U3306" s="16" ph="1">
        <v>41019</v>
      </c>
      <c r="V3306" s="17" ph="1">
        <f>500*1.05</f>
        <v>525</v>
      </c>
      <c r="W3306" s="17" ph="1">
        <v>250</v>
      </c>
      <c r="X3306" s="13" t="s" ph="1">
        <v>3792</v>
      </c>
    </row>
    <row r="3307" spans="1:24" ht="22.5" customHeight="1" ph="1" x14ac:dyDescent="0.35">
      <c r="C3307" s="13" t="s" ph="1">
        <v>9749</v>
      </c>
      <c r="G3307" s="13" t="s" ph="1">
        <v>1788</v>
      </c>
      <c r="H3307" s="13" t="s" ph="1">
        <v>1792</v>
      </c>
      <c r="I3307" s="13" t="s" ph="1">
        <v>434</v>
      </c>
      <c r="M3307" s="14" t="str" ph="1">
        <f>IFERROR(INDEX([1]!_born[生没年],
MATCH(I3307,[1]!_born[作],0)),"")</f>
        <v/>
      </c>
      <c r="N3307" s="14" t="str" ph="1">
        <f>IFERROR(INDEX([1]!_born[生没年],
MATCH(K3307,[1]!_born[作],0)),"")</f>
        <v/>
      </c>
      <c r="O3307" s="13" t="s" ph="1">
        <v>9802</v>
      </c>
      <c r="T3307" s="13" t="s" ph="1">
        <v>9756</v>
      </c>
    </row>
    <row r="3308" spans="1:24" ht="22.5" customHeight="1" ph="1" x14ac:dyDescent="0.35">
      <c r="C3308" s="13" t="s" ph="1">
        <v>9749</v>
      </c>
      <c r="G3308" s="13" t="s" ph="1">
        <v>1788</v>
      </c>
      <c r="H3308" s="13" t="s" ph="1">
        <v>1792</v>
      </c>
      <c r="I3308" s="13" t="s" ph="1">
        <v>71</v>
      </c>
      <c r="M3308" s="14" t="str" ph="1">
        <f>IFERROR(INDEX([1]!_born[生没年],
MATCH(I3308,[1]!_born[作],0)),"")</f>
        <v/>
      </c>
      <c r="N3308" s="14" t="str" ph="1">
        <f>IFERROR(INDEX([1]!_born[生没年],
MATCH(K3308,[1]!_born[作],0)),"")</f>
        <v/>
      </c>
      <c r="O3308" s="13" t="s" ph="1">
        <v>9803</v>
      </c>
      <c r="T3308" s="13" t="s" ph="1">
        <v>9756</v>
      </c>
    </row>
    <row r="3309" spans="1:24" ht="22.5" customHeight="1" ph="1" x14ac:dyDescent="0.35">
      <c r="C3309" s="13" t="s" ph="1">
        <v>9749</v>
      </c>
      <c r="G3309" s="13" t="s" ph="1">
        <v>1788</v>
      </c>
      <c r="H3309" s="13" t="s" ph="1">
        <v>1792</v>
      </c>
      <c r="I3309" s="13" t="s" ph="1">
        <v>71</v>
      </c>
      <c r="M3309" s="14" t="str" ph="1">
        <f>IFERROR(INDEX([1]!_born[生没年],
MATCH(I3309,[1]!_born[作],0)),"")</f>
        <v/>
      </c>
      <c r="N3309" s="14" t="str" ph="1">
        <f>IFERROR(INDEX([1]!_born[生没年],
MATCH(K3309,[1]!_born[作],0)),"")</f>
        <v/>
      </c>
      <c r="O3309" s="13" t="s" ph="1">
        <v>367</v>
      </c>
      <c r="T3309" s="13" t="s" ph="1">
        <v>9756</v>
      </c>
    </row>
    <row r="3310" spans="1:24" ht="22.5" customHeight="1" ph="1" x14ac:dyDescent="0.35">
      <c r="C3310" s="13" t="s" ph="1">
        <v>9749</v>
      </c>
      <c r="G3310" s="13" t="s" ph="1">
        <v>1788</v>
      </c>
      <c r="H3310" s="13" t="s" ph="1">
        <v>1792</v>
      </c>
      <c r="I3310" s="13" t="s" ph="1">
        <v>71</v>
      </c>
      <c r="M3310" s="14" t="str" ph="1">
        <f>IFERROR(INDEX([1]!_born[生没年],
MATCH(I3310,[1]!_born[作],0)),"")</f>
        <v/>
      </c>
      <c r="N3310" s="14" t="str" ph="1">
        <f>IFERROR(INDEX([1]!_born[生没年],
MATCH(K3310,[1]!_born[作],0)),"")</f>
        <v/>
      </c>
      <c r="O3310" s="13" t="s" ph="1">
        <v>368</v>
      </c>
      <c r="T3310" s="13" t="s" ph="1">
        <v>9756</v>
      </c>
    </row>
    <row r="3311" spans="1:24" ht="22.5" customHeight="1" ph="1" x14ac:dyDescent="0.35">
      <c r="C3311" s="13" t="s" ph="1">
        <v>9749</v>
      </c>
      <c r="G3311" s="13" t="s" ph="1">
        <v>1788</v>
      </c>
      <c r="H3311" s="13" t="s" ph="1">
        <v>1792</v>
      </c>
      <c r="I3311" s="13" t="s" ph="1">
        <v>71</v>
      </c>
      <c r="M3311" s="14" t="str" ph="1">
        <f>IFERROR(INDEX([1]!_born[生没年],
MATCH(I3311,[1]!_born[作],0)),"")</f>
        <v/>
      </c>
      <c r="N3311" s="14" t="str" ph="1">
        <f>IFERROR(INDEX([1]!_born[生没年],
MATCH(K3311,[1]!_born[作],0)),"")</f>
        <v/>
      </c>
      <c r="O3311" s="13" t="s" ph="1">
        <v>573</v>
      </c>
      <c r="T3311" s="13" t="s" ph="1">
        <v>4119</v>
      </c>
    </row>
    <row r="3312" spans="1:24" ht="22.5" customHeight="1" ph="1" x14ac:dyDescent="0.35">
      <c r="C3312" s="13" t="s" ph="1">
        <v>9824</v>
      </c>
      <c r="D3312" s="123" ph="1">
        <v>1</v>
      </c>
      <c r="E3312" s="123" ph="1">
        <v>2</v>
      </c>
      <c r="G3312" s="13" t="s" ph="1">
        <v>1788</v>
      </c>
      <c r="H3312" s="13" t="s" ph="1">
        <v>1792</v>
      </c>
      <c r="I3312" s="13" t="s" ph="1">
        <v>10242</v>
      </c>
      <c r="M3312" s="14" t="str" ph="1">
        <f>IFERROR(INDEX([1]!_born[生没年],
MATCH(I3312,[1]!_born[作],0)),"")</f>
        <v/>
      </c>
      <c r="N3312" s="14" t="str" ph="1">
        <f>IFERROR(INDEX([1]!_born[生没年],
MATCH(K3312,[1]!_born[作],0)),"")</f>
        <v/>
      </c>
      <c r="O3312" s="13" t="s" ph="1">
        <v>10324</v>
      </c>
      <c r="T3312" s="13" t="s" ph="1">
        <v>9825</v>
      </c>
    </row>
    <row r="3313" spans="1:24" ht="22.5" customHeight="1" ph="1" x14ac:dyDescent="0.35">
      <c r="C3313" s="13" t="s" ph="1">
        <v>9824</v>
      </c>
      <c r="D3313" s="123" ph="1">
        <v>2</v>
      </c>
      <c r="E3313" s="123" ph="1">
        <v>2</v>
      </c>
      <c r="G3313" s="13" t="s" ph="1">
        <v>1788</v>
      </c>
      <c r="H3313" s="13" t="s" ph="1">
        <v>1792</v>
      </c>
      <c r="I3313" s="13" t="s" ph="1">
        <v>10242</v>
      </c>
      <c r="M3313" s="14" t="str" ph="1">
        <f>IFERROR(INDEX([1]!_born[生没年],
MATCH(I3313,[1]!_born[作],0)),"")</f>
        <v/>
      </c>
      <c r="N3313" s="14" t="str" ph="1">
        <f>IFERROR(INDEX([1]!_born[生没年],
MATCH(K3313,[1]!_born[作],0)),"")</f>
        <v/>
      </c>
      <c r="O3313" s="13" t="s" ph="1">
        <v>10324</v>
      </c>
      <c r="T3313" s="13" t="s" ph="1">
        <v>9825</v>
      </c>
    </row>
    <row r="3314" spans="1:24" ht="22.5" customHeight="1" ph="1" x14ac:dyDescent="0.35">
      <c r="C3314" s="13" t="s" ph="1">
        <v>9749</v>
      </c>
      <c r="G3314" s="13" t="s" ph="1">
        <v>1788</v>
      </c>
      <c r="H3314" s="13" t="s" ph="1">
        <v>1792</v>
      </c>
      <c r="I3314" s="13" t="s" ph="1">
        <v>513</v>
      </c>
      <c r="M3314" s="14" t="str" ph="1">
        <f>IFERROR(INDEX([1]!_born[生没年],
MATCH(I3314,[1]!_born[作],0)),"")</f>
        <v/>
      </c>
      <c r="N3314" s="14" t="str" ph="1">
        <f>IFERROR(INDEX([1]!_born[生没年],
MATCH(K3314,[1]!_born[作],0)),"")</f>
        <v/>
      </c>
      <c r="O3314" s="13" t="s" ph="1">
        <v>9804</v>
      </c>
      <c r="T3314" s="13" t="s" ph="1">
        <v>9756</v>
      </c>
    </row>
    <row r="3315" spans="1:24" ht="22.5" customHeight="1" ph="1" x14ac:dyDescent="0.35">
      <c r="C3315" s="13" t="s" ph="1">
        <v>9749</v>
      </c>
      <c r="G3315" s="13" t="s" ph="1">
        <v>1788</v>
      </c>
      <c r="H3315" s="13" t="s" ph="1">
        <v>1792</v>
      </c>
      <c r="I3315" s="13" t="s" ph="1">
        <v>513</v>
      </c>
      <c r="M3315" s="14" t="str" ph="1">
        <f>IFERROR(INDEX([1]!_born[生没年],
MATCH(I3315,[1]!_born[作],0)),"")</f>
        <v/>
      </c>
      <c r="N3315" s="14" t="str" ph="1">
        <f>IFERROR(INDEX([1]!_born[生没年],
MATCH(K3315,[1]!_born[作],0)),"")</f>
        <v/>
      </c>
      <c r="O3315" s="13" t="s" ph="1">
        <v>9805</v>
      </c>
      <c r="T3315" s="13" t="s" ph="1">
        <v>9756</v>
      </c>
    </row>
    <row r="3316" spans="1:24" ht="22.5" customHeight="1" ph="1" x14ac:dyDescent="0.35">
      <c r="C3316" s="13" t="s" ph="1">
        <v>9749</v>
      </c>
      <c r="G3316" s="13" t="s" ph="1">
        <v>1788</v>
      </c>
      <c r="H3316" s="13" t="s" ph="1">
        <v>1789</v>
      </c>
      <c r="I3316" s="13" t="s" ph="1">
        <v>513</v>
      </c>
      <c r="M3316" s="14" t="str" ph="1">
        <f>IFERROR(INDEX([1]!_born[生没年],
MATCH(I3316,[1]!_born[作],0)),"")</f>
        <v/>
      </c>
      <c r="N3316" s="14" t="str" ph="1">
        <f>IFERROR(INDEX([1]!_born[生没年],
MATCH(K3316,[1]!_born[作],0)),"")</f>
        <v/>
      </c>
      <c r="O3316" s="13" t="s" ph="1">
        <v>9767</v>
      </c>
      <c r="T3316" s="13" t="s" ph="1">
        <v>9756</v>
      </c>
    </row>
    <row r="3317" spans="1:24" ht="22.5" customHeight="1" ph="1" x14ac:dyDescent="0.35">
      <c r="C3317" s="13" t="s" ph="1">
        <v>9749</v>
      </c>
      <c r="G3317" s="13" t="s" ph="1">
        <v>1788</v>
      </c>
      <c r="H3317" s="13" t="s" ph="1">
        <v>1789</v>
      </c>
      <c r="I3317" s="13" t="s" ph="1">
        <v>513</v>
      </c>
      <c r="M3317" s="14" t="str" ph="1">
        <f>IFERROR(INDEX([1]!_born[生没年],
MATCH(I3317,[1]!_born[作],0)),"")</f>
        <v/>
      </c>
      <c r="N3317" s="14" t="str" ph="1">
        <f>IFERROR(INDEX([1]!_born[生没年],
MATCH(K3317,[1]!_born[作],0)),"")</f>
        <v/>
      </c>
      <c r="O3317" s="13" t="s" ph="1">
        <v>9768</v>
      </c>
      <c r="T3317" s="13" t="s" ph="1">
        <v>9756</v>
      </c>
    </row>
    <row r="3318" spans="1:24" ht="22.5" customHeight="1" ph="1" x14ac:dyDescent="0.35">
      <c r="C3318" s="13" t="s" ph="1">
        <v>9749</v>
      </c>
      <c r="G3318" s="13" t="s" ph="1">
        <v>1788</v>
      </c>
      <c r="H3318" s="13" t="s" ph="1">
        <v>1790</v>
      </c>
      <c r="I3318" s="13" t="s" ph="1">
        <v>10240</v>
      </c>
      <c r="M3318" s="14" t="str" ph="1">
        <f>IFERROR(INDEX([1]!_born[生没年],
MATCH(I3318,[1]!_born[作],0)),"")</f>
        <v/>
      </c>
      <c r="N3318" s="14" t="str" ph="1">
        <f>IFERROR(INDEX([1]!_born[生没年],
MATCH(K3318,[1]!_born[作],0)),"")</f>
        <v/>
      </c>
      <c r="O3318" s="13" t="s" ph="1">
        <v>1791</v>
      </c>
      <c r="T3318" s="13" t="s" ph="1">
        <v>9756</v>
      </c>
    </row>
    <row r="3319" spans="1:24" ht="22.5" customHeight="1" ph="1" x14ac:dyDescent="0.35">
      <c r="C3319" s="13" t="s" ph="1">
        <v>9749</v>
      </c>
      <c r="D3319" s="123" ph="1">
        <v>1</v>
      </c>
      <c r="E3319" s="123" ph="1">
        <v>2</v>
      </c>
      <c r="G3319" s="13" t="s" ph="1">
        <v>1788</v>
      </c>
      <c r="H3319" s="13" t="s" ph="1">
        <v>1792</v>
      </c>
      <c r="I3319" s="13" t="s" ph="1">
        <v>656</v>
      </c>
      <c r="M3319" s="14" t="str" ph="1">
        <f>IFERROR(INDEX([1]!_born[生没年],
MATCH(I3319,[1]!_born[作],0)),"")</f>
        <v/>
      </c>
      <c r="N3319" s="14" t="str" ph="1">
        <f>IFERROR(INDEX([1]!_born[生没年],
MATCH(K3319,[1]!_born[作],0)),"")</f>
        <v/>
      </c>
      <c r="O3319" s="13" t="s" ph="1">
        <v>53</v>
      </c>
      <c r="S3319" s="13" t="s" ph="1">
        <v>9806</v>
      </c>
      <c r="T3319" s="13" t="s" ph="1">
        <v>9756</v>
      </c>
    </row>
    <row r="3320" spans="1:24" ht="22.5" customHeight="1" ph="1" x14ac:dyDescent="0.35">
      <c r="C3320" s="13" t="s" ph="1">
        <v>9749</v>
      </c>
      <c r="D3320" s="123" ph="1">
        <v>2</v>
      </c>
      <c r="E3320" s="123" ph="1">
        <v>2</v>
      </c>
      <c r="G3320" s="13" t="s" ph="1">
        <v>1788</v>
      </c>
      <c r="H3320" s="13" t="s" ph="1">
        <v>1792</v>
      </c>
      <c r="I3320" s="13" t="s" ph="1">
        <v>656</v>
      </c>
      <c r="M3320" s="14" t="str" ph="1">
        <f>IFERROR(INDEX([1]!_born[生没年],
MATCH(I3320,[1]!_born[作],0)),"")</f>
        <v/>
      </c>
      <c r="N3320" s="14" t="str" ph="1">
        <f>IFERROR(INDEX([1]!_born[生没年],
MATCH(K3320,[1]!_born[作],0)),"")</f>
        <v/>
      </c>
      <c r="O3320" s="13" t="s" ph="1">
        <v>53</v>
      </c>
      <c r="S3320" s="13" t="s" ph="1">
        <v>9806</v>
      </c>
      <c r="T3320" s="13" t="s" ph="1">
        <v>9756</v>
      </c>
    </row>
    <row r="3321" spans="1:24" ht="22.5" customHeight="1" ph="1" x14ac:dyDescent="0.35">
      <c r="C3321" s="13" t="s" ph="1">
        <v>9749</v>
      </c>
      <c r="G3321" s="13" t="s" ph="1">
        <v>1788</v>
      </c>
      <c r="H3321" s="13" t="s" ph="1">
        <v>1789</v>
      </c>
      <c r="I3321" s="13" t="s" ph="1">
        <v>536</v>
      </c>
      <c r="M3321" s="14" t="str" ph="1">
        <f>IFERROR(INDEX([1]!_born[生没年],
MATCH(I3321,[1]!_born[作],0)),"")</f>
        <v/>
      </c>
      <c r="N3321" s="14" t="str" ph="1">
        <f>IFERROR(INDEX([1]!_born[生没年],
MATCH(K3321,[1]!_born[作],0)),"")</f>
        <v/>
      </c>
      <c r="O3321" s="15" t="s" ph="1">
        <v>9769</v>
      </c>
      <c r="T3321" s="13" t="s" ph="1">
        <v>9756</v>
      </c>
    </row>
    <row r="3322" spans="1:24" ht="22.5" customHeight="1" ph="1" x14ac:dyDescent="0.35">
      <c r="C3322" s="13" t="s" ph="1">
        <v>9749</v>
      </c>
      <c r="G3322" s="13" t="s" ph="1">
        <v>1786</v>
      </c>
      <c r="H3322" s="13" t="s" ph="1">
        <v>1792</v>
      </c>
      <c r="I3322" s="13" t="s" ph="1">
        <v>136</v>
      </c>
      <c r="M3322" s="14" t="str" ph="1">
        <f>IFERROR(INDEX([1]!_born[生没年],
MATCH(I3322,[1]!_born[作],0)),"")</f>
        <v/>
      </c>
      <c r="N3322" s="14" t="str" ph="1">
        <f>IFERROR(INDEX([1]!_born[生没年],
MATCH(K3322,[1]!_born[作],0)),"")</f>
        <v/>
      </c>
      <c r="O3322" s="13" t="s" ph="1">
        <v>9807</v>
      </c>
      <c r="T3322" s="13" t="s" ph="1">
        <v>9756</v>
      </c>
    </row>
    <row r="3323" spans="1:24" ht="22.5" customHeight="1" ph="1" x14ac:dyDescent="0.35">
      <c r="C3323" s="13" t="s" ph="1">
        <v>9749</v>
      </c>
      <c r="G3323" s="13" t="s" ph="1">
        <v>1786</v>
      </c>
      <c r="H3323" s="13" t="s" ph="1">
        <v>1792</v>
      </c>
      <c r="I3323" s="13" t="s" ph="1">
        <v>136</v>
      </c>
      <c r="K3323" s="13" t="s" ph="1">
        <v>1802</v>
      </c>
      <c r="L3323" s="13" t="s" ph="1">
        <v>1803</v>
      </c>
      <c r="M3323" s="14" t="str" ph="1">
        <f>IFERROR(INDEX([1]!_born[生没年],
MATCH(I3323,[1]!_born[作],0)),"")</f>
        <v/>
      </c>
      <c r="N3323" s="14" t="str" ph="1">
        <f>IFERROR(INDEX([1]!_born[生没年],
MATCH(K3323,[1]!_born[作],0)),"")</f>
        <v/>
      </c>
      <c r="O3323" s="13" t="s" ph="1">
        <v>1804</v>
      </c>
      <c r="S3323" s="13" t="s" ph="1">
        <v>1805</v>
      </c>
      <c r="T3323" s="13" t="s" ph="1">
        <v>1806</v>
      </c>
      <c r="U3323" s="16" ph="1">
        <v>38858</v>
      </c>
      <c r="V3323" s="17" ph="1">
        <f>800*1.05</f>
        <v>840</v>
      </c>
      <c r="W3323" s="17" ph="1">
        <f>800*1.05</f>
        <v>840</v>
      </c>
      <c r="X3323" s="13" t="s" ph="1">
        <v>9808</v>
      </c>
    </row>
    <row r="3324" spans="1:24" ht="22.5" customHeight="1" ph="1" x14ac:dyDescent="0.35">
      <c r="A3324" s="106" t="s" ph="1">
        <v>1807</v>
      </c>
      <c r="B3324" s="5" t="s" ph="1">
        <v>1725</v>
      </c>
      <c r="C3324" s="13" t="s" ph="1">
        <v>9749</v>
      </c>
      <c r="G3324" s="13" t="s" ph="1">
        <v>1786</v>
      </c>
      <c r="H3324" s="13" t="s" ph="1">
        <v>1792</v>
      </c>
      <c r="I3324" s="13" t="s" ph="1">
        <v>136</v>
      </c>
      <c r="K3324" s="13" t="s" ph="1">
        <v>466</v>
      </c>
      <c r="L3324" s="13" t="s" ph="1">
        <v>1808</v>
      </c>
      <c r="M3324" s="14" t="str" ph="1">
        <f>IFERROR(INDEX([1]!_born[生没年],
MATCH(I3324,[1]!_born[作],0)),"")</f>
        <v/>
      </c>
      <c r="N3324" s="14" t="str" ph="1">
        <f>IFERROR(INDEX([1]!_born[生没年],
MATCH(K3324,[1]!_born[作],0)),"")</f>
        <v/>
      </c>
      <c r="O3324" s="13" t="s" ph="1">
        <v>9809</v>
      </c>
      <c r="T3324" s="13" t="s" ph="1">
        <v>9759</v>
      </c>
      <c r="U3324" s="16" ph="1">
        <v>38858</v>
      </c>
      <c r="V3324" s="17" ph="1">
        <f>1000*1.05</f>
        <v>1050</v>
      </c>
      <c r="W3324" s="17" ph="1">
        <f>1000*1.05</f>
        <v>1050</v>
      </c>
      <c r="X3324" s="13" t="s" ph="1">
        <v>9808</v>
      </c>
    </row>
    <row r="3325" spans="1:24" ht="22.5" customHeight="1" ph="1" x14ac:dyDescent="0.35">
      <c r="A3325" s="106" t="s" ph="1">
        <v>1809</v>
      </c>
      <c r="B3325" s="5" t="s" ph="1">
        <v>1794</v>
      </c>
      <c r="C3325" s="13" t="s" ph="1">
        <v>9749</v>
      </c>
      <c r="G3325" s="13" t="s" ph="1">
        <v>1786</v>
      </c>
      <c r="H3325" s="13" t="s" ph="1">
        <v>1792</v>
      </c>
      <c r="I3325" s="13" t="s" ph="1">
        <v>136</v>
      </c>
      <c r="K3325" s="13" t="s" ph="1">
        <v>466</v>
      </c>
      <c r="L3325" s="13" t="s" ph="1">
        <v>1808</v>
      </c>
      <c r="M3325" s="14" t="str" ph="1">
        <f>IFERROR(INDEX([1]!_born[生没年],
MATCH(I3325,[1]!_born[作],0)),"")</f>
        <v/>
      </c>
      <c r="N3325" s="14" t="str" ph="1">
        <f>IFERROR(INDEX([1]!_born[生没年],
MATCH(K3325,[1]!_born[作],0)),"")</f>
        <v/>
      </c>
      <c r="O3325" s="13" t="s" ph="1">
        <v>9810</v>
      </c>
      <c r="S3325" s="13" t="s" ph="1">
        <v>1810</v>
      </c>
      <c r="T3325" s="13" t="s" ph="1">
        <v>9756</v>
      </c>
      <c r="U3325" s="16" ph="1">
        <v>38858</v>
      </c>
      <c r="V3325" s="17" ph="1">
        <f>1800*1.05</f>
        <v>1890</v>
      </c>
      <c r="W3325" s="17" ph="1">
        <f>1800*1.05</f>
        <v>1890</v>
      </c>
      <c r="X3325" s="13" t="s" ph="1">
        <v>9808</v>
      </c>
    </row>
    <row r="3326" spans="1:24" ht="22.5" customHeight="1" ph="1" x14ac:dyDescent="0.35">
      <c r="A3326" s="106" t="s" ph="1">
        <v>1811</v>
      </c>
      <c r="C3326" s="13" t="s" ph="1">
        <v>9749</v>
      </c>
      <c r="G3326" s="13" t="s" ph="1">
        <v>1786</v>
      </c>
      <c r="H3326" s="13" t="s" ph="1">
        <v>1792</v>
      </c>
      <c r="I3326" s="13" t="s" ph="1">
        <v>136</v>
      </c>
      <c r="K3326" s="13" t="s" ph="1">
        <v>465</v>
      </c>
      <c r="L3326" s="13" t="s" ph="1">
        <v>9811</v>
      </c>
      <c r="M3326" s="14" t="str" ph="1">
        <f>IFERROR(INDEX([1]!_born[生没年],
MATCH(I3326,[1]!_born[作],0)),"")</f>
        <v/>
      </c>
      <c r="N3326" s="14" t="str" ph="1">
        <f>IFERROR(INDEX([1]!_born[生没年],
MATCH(K3326,[1]!_born[作],0)),"")</f>
        <v/>
      </c>
      <c r="O3326" s="13" t="s" ph="1">
        <v>2860</v>
      </c>
      <c r="T3326" s="13" t="s" ph="1">
        <v>1812</v>
      </c>
      <c r="U3326" s="16" ph="1">
        <v>38858</v>
      </c>
      <c r="V3326" s="17" t="s" ph="1">
        <v>1813</v>
      </c>
      <c r="W3326" s="17" ph="1">
        <f>2600*1.05</f>
        <v>2730</v>
      </c>
      <c r="X3326" s="13" t="s" ph="1">
        <v>9808</v>
      </c>
    </row>
    <row r="3327" spans="1:24" ht="22.5" customHeight="1" ph="1" x14ac:dyDescent="0.35">
      <c r="A3327" s="106" t="s" ph="1">
        <v>1814</v>
      </c>
      <c r="B3327" s="5" t="s" ph="1">
        <v>1725</v>
      </c>
      <c r="C3327" s="13" t="s" ph="1">
        <v>9749</v>
      </c>
      <c r="G3327" s="13" t="s" ph="1">
        <v>1786</v>
      </c>
      <c r="H3327" s="13" t="s" ph="1">
        <v>1792</v>
      </c>
      <c r="I3327" s="13" t="s" ph="1">
        <v>136</v>
      </c>
      <c r="K3327" s="13" t="s" ph="1">
        <v>9812</v>
      </c>
      <c r="L3327" s="13" t="s" ph="1">
        <v>9813</v>
      </c>
      <c r="M3327" s="14" t="str" ph="1">
        <f>IFERROR(INDEX([1]!_born[生没年],
MATCH(I3327,[1]!_born[作],0)),"")</f>
        <v/>
      </c>
      <c r="N3327" s="14" t="str" ph="1">
        <f>IFERROR(INDEX([1]!_born[生没年],
MATCH(K3327,[1]!_born[作],0)),"")</f>
        <v/>
      </c>
      <c r="O3327" s="13" t="s" ph="1">
        <v>9814</v>
      </c>
      <c r="S3327" s="13" t="s" ph="1">
        <v>9815</v>
      </c>
      <c r="T3327" s="13" t="s" ph="1">
        <v>1815</v>
      </c>
      <c r="U3327" s="16" ph="1">
        <v>38851</v>
      </c>
      <c r="V3327" s="17" ph="1">
        <f>1500*1.05</f>
        <v>1575</v>
      </c>
      <c r="W3327" s="17" ph="1">
        <f>1500*1.05</f>
        <v>1575</v>
      </c>
      <c r="X3327" s="13" t="s" ph="1">
        <v>3802</v>
      </c>
    </row>
    <row r="3328" spans="1:24" s="19" customFormat="1" ht="22.5" customHeight="1" ph="1" x14ac:dyDescent="0.35">
      <c r="A3328" s="107" ph="1"/>
      <c r="B3328" s="18" ph="1"/>
      <c r="C3328" s="19" t="s" ph="1">
        <v>9816</v>
      </c>
      <c r="D3328" s="124" ph="1"/>
      <c r="E3328" s="124" ph="1"/>
      <c r="G3328" s="19" t="s" ph="1">
        <v>1786</v>
      </c>
      <c r="H3328" s="19" t="s" ph="1">
        <v>1792</v>
      </c>
      <c r="I3328" s="19" t="s" ph="1">
        <v>136</v>
      </c>
      <c r="M3328" s="14" t="str" ph="1">
        <f>IFERROR(INDEX([1]!_born[生没年],
MATCH(I3328,[1]!_born[作],0)),"")</f>
        <v/>
      </c>
      <c r="N3328" s="14" t="str" ph="1">
        <f>IFERROR(INDEX([1]!_born[生没年],
MATCH(K3328,[1]!_born[作],0)),"")</f>
        <v/>
      </c>
      <c r="O3328" s="19" t="s" ph="1">
        <v>369</v>
      </c>
      <c r="R3328" s="20" ph="1"/>
      <c r="T3328" s="19" t="s" ph="1">
        <v>9817</v>
      </c>
      <c r="U3328" s="20" ph="1"/>
      <c r="V3328" s="21" ph="1"/>
      <c r="W3328" s="21" ph="1"/>
    </row>
    <row r="3329" spans="1:25" ht="22.5" customHeight="1" ph="1" x14ac:dyDescent="0.35">
      <c r="A3329" s="106" t="s" ph="1">
        <v>1816</v>
      </c>
      <c r="B3329" s="5" t="s" ph="1">
        <v>1794</v>
      </c>
      <c r="C3329" s="13" t="s" ph="1">
        <v>9749</v>
      </c>
      <c r="G3329" s="13" t="s" ph="1">
        <v>1786</v>
      </c>
      <c r="H3329" s="13" t="s" ph="1">
        <v>1792</v>
      </c>
      <c r="I3329" s="13" t="s" ph="1">
        <v>540</v>
      </c>
      <c r="K3329" s="13" t="s" ph="1">
        <v>9818</v>
      </c>
      <c r="L3329" s="13" t="s" ph="1">
        <v>3616</v>
      </c>
      <c r="M3329" s="14" t="str" ph="1">
        <f>IFERROR(INDEX([1]!_born[生没年],
MATCH(I3329,[1]!_born[作],0)),"")</f>
        <v/>
      </c>
      <c r="N3329" s="14" t="str" ph="1">
        <f>IFERROR(INDEX([1]!_born[生没年],
MATCH(K3329,[1]!_born[作],0)),"")</f>
        <v/>
      </c>
      <c r="O3329" s="13" t="s" ph="1">
        <v>9819</v>
      </c>
      <c r="S3329" s="13" t="s" ph="1">
        <v>1817</v>
      </c>
      <c r="T3329" s="13" t="s" ph="1">
        <v>9756</v>
      </c>
      <c r="U3329" s="16" ph="1">
        <v>38851</v>
      </c>
      <c r="V3329" s="17" ph="1">
        <f>1400*1.05</f>
        <v>1470</v>
      </c>
      <c r="W3329" s="17" ph="1">
        <f>1400*1.05</f>
        <v>1470</v>
      </c>
      <c r="X3329" s="13" t="s" ph="1">
        <v>3802</v>
      </c>
    </row>
    <row r="3330" spans="1:25" ht="22.5" customHeight="1" ph="1" x14ac:dyDescent="0.35">
      <c r="C3330" s="13" t="s" ph="1">
        <v>9749</v>
      </c>
      <c r="G3330" s="13" t="s" ph="1">
        <v>1786</v>
      </c>
      <c r="H3330" s="13" t="s" ph="1">
        <v>1787</v>
      </c>
      <c r="I3330" s="13" t="s" ph="1">
        <v>136</v>
      </c>
      <c r="M3330" s="14" t="str" ph="1">
        <f>IFERROR(INDEX([1]!_born[生没年],
MATCH(I3330,[1]!_born[作],0)),"")</f>
        <v/>
      </c>
      <c r="N3330" s="14" t="str" ph="1">
        <f>IFERROR(INDEX([1]!_born[生没年],
MATCH(K3330,[1]!_born[作],0)),"")</f>
        <v/>
      </c>
      <c r="O3330" s="13" t="s" ph="1">
        <v>9757</v>
      </c>
      <c r="T3330" s="13" t="s" ph="1">
        <v>539</v>
      </c>
      <c r="V3330" s="17" ph="1">
        <v>800</v>
      </c>
    </row>
    <row r="3331" spans="1:25" ht="22.5" customHeight="1" ph="1" x14ac:dyDescent="0.35">
      <c r="C3331" s="13" t="s" ph="1">
        <v>9749</v>
      </c>
      <c r="G3331" s="13" t="s" ph="1">
        <v>1788</v>
      </c>
      <c r="H3331" s="13" t="s" ph="1">
        <v>1787</v>
      </c>
      <c r="I3331" s="13" t="s" ph="1">
        <v>10325</v>
      </c>
      <c r="J3331" s="13" t="s" ph="1">
        <v>3616</v>
      </c>
      <c r="M3331" s="14" t="str" ph="1">
        <f>IFERROR(INDEX([1]!_born[生没年],
MATCH(I3331,[1]!_born[作],0)),"")</f>
        <v/>
      </c>
      <c r="N3331" s="14" t="str" ph="1">
        <f>IFERROR(INDEX([1]!_born[生没年],
MATCH(K3331,[1]!_born[作],0)),"")</f>
        <v/>
      </c>
      <c r="O3331" s="13" t="s" ph="1">
        <v>9758</v>
      </c>
      <c r="T3331" s="13" t="s" ph="1">
        <v>9759</v>
      </c>
      <c r="V3331" s="17" ph="1">
        <v>1800</v>
      </c>
    </row>
    <row r="3332" spans="1:25" ht="22.5" customHeight="1" ph="1" x14ac:dyDescent="0.35">
      <c r="C3332" s="13" t="s" ph="1">
        <v>9749</v>
      </c>
      <c r="D3332" s="123" ph="1">
        <v>1</v>
      </c>
      <c r="E3332" s="123" ph="1">
        <v>2</v>
      </c>
      <c r="G3332" s="13" t="s" ph="1">
        <v>1788</v>
      </c>
      <c r="H3332" s="13" t="s" ph="1">
        <v>1792</v>
      </c>
      <c r="I3332" s="13" t="s" ph="1">
        <v>1743</v>
      </c>
      <c r="M3332" s="14" t="str" ph="1">
        <f>IFERROR(INDEX([1]!_born[生没年],
MATCH(I3332,[1]!_born[作],0)),"")</f>
        <v/>
      </c>
      <c r="N3332" s="14" t="str" ph="1">
        <f>IFERROR(INDEX([1]!_born[生没年],
MATCH(K3332,[1]!_born[作],0)),"")</f>
        <v/>
      </c>
      <c r="O3332" s="13" t="s" ph="1">
        <v>9822</v>
      </c>
      <c r="S3332" s="13" t="s" ph="1">
        <v>9823</v>
      </c>
      <c r="T3332" s="13" t="s" ph="1">
        <v>9756</v>
      </c>
    </row>
    <row r="3333" spans="1:25" ht="22.5" customHeight="1" ph="1" x14ac:dyDescent="0.35">
      <c r="C3333" s="13" t="s" ph="1">
        <v>9749</v>
      </c>
      <c r="D3333" s="123" ph="1">
        <v>3</v>
      </c>
      <c r="E3333" s="123" ph="1">
        <v>4</v>
      </c>
      <c r="G3333" s="13" t="s" ph="1">
        <v>1788</v>
      </c>
      <c r="H3333" s="13" t="s" ph="1">
        <v>1792</v>
      </c>
      <c r="I3333" s="13" t="s" ph="1">
        <v>9826</v>
      </c>
      <c r="M3333" s="14" t="str" ph="1">
        <f>IFERROR(INDEX([1]!_born[生没年],
MATCH(I3333,[1]!_born[作],0)),"")</f>
        <v/>
      </c>
      <c r="N3333" s="14" t="str" ph="1">
        <f>IFERROR(INDEX([1]!_born[生没年],
MATCH(K3333,[1]!_born[作],0)),"")</f>
        <v/>
      </c>
      <c r="O3333" s="15" t="s" ph="1">
        <v>9827</v>
      </c>
      <c r="S3333" s="13" t="s" ph="1">
        <v>1820</v>
      </c>
      <c r="T3333" s="13" t="s" ph="1">
        <v>9826</v>
      </c>
    </row>
    <row r="3334" spans="1:25" ht="22.5" customHeight="1" ph="1" x14ac:dyDescent="0.35">
      <c r="C3334" s="13" t="s" ph="1">
        <v>9749</v>
      </c>
      <c r="D3334" s="123" ph="1">
        <v>4</v>
      </c>
      <c r="E3334" s="123" ph="1">
        <v>4</v>
      </c>
      <c r="G3334" s="13" t="s" ph="1">
        <v>1788</v>
      </c>
      <c r="H3334" s="13" t="s" ph="1">
        <v>1792</v>
      </c>
      <c r="I3334" s="13" t="s" ph="1">
        <v>9826</v>
      </c>
      <c r="M3334" s="14" t="str" ph="1">
        <f>IFERROR(INDEX([1]!_born[生没年],
MATCH(I3334,[1]!_born[作],0)),"")</f>
        <v/>
      </c>
      <c r="N3334" s="14" t="str" ph="1">
        <f>IFERROR(INDEX([1]!_born[生没年],
MATCH(K3334,[1]!_born[作],0)),"")</f>
        <v/>
      </c>
      <c r="O3334" s="15" t="s" ph="1">
        <v>9828</v>
      </c>
      <c r="S3334" s="13" t="s" ph="1">
        <v>1820</v>
      </c>
      <c r="T3334" s="13" t="s" ph="1">
        <v>9826</v>
      </c>
    </row>
    <row r="3335" spans="1:25" ht="22.5" customHeight="1" ph="1" x14ac:dyDescent="0.35">
      <c r="C3335" s="13" t="s" ph="1">
        <v>9749</v>
      </c>
      <c r="D3335" s="123" ph="1">
        <v>1</v>
      </c>
      <c r="E3335" s="123" t="s" ph="1">
        <v>1225</v>
      </c>
      <c r="G3335" s="13" t="s" ph="1">
        <v>1788</v>
      </c>
      <c r="H3335" s="13" t="s" ph="1">
        <v>1792</v>
      </c>
      <c r="I3335" s="13" t="s" ph="1">
        <v>1743</v>
      </c>
      <c r="M3335" s="14" t="str" ph="1">
        <f>IFERROR(INDEX([1]!_born[生没年],
MATCH(I3335,[1]!_born[作],0)),"")</f>
        <v/>
      </c>
      <c r="N3335" s="14" t="str" ph="1">
        <f>IFERROR(INDEX([1]!_born[生没年],
MATCH(K3335,[1]!_born[作],0)),"")</f>
        <v/>
      </c>
      <c r="O3335" s="13" t="s" ph="1">
        <v>9829</v>
      </c>
      <c r="S3335" s="13" t="s" ph="1">
        <v>1289</v>
      </c>
      <c r="T3335" s="13" t="s" ph="1">
        <v>9756</v>
      </c>
    </row>
    <row r="3336" spans="1:25" ht="22.5" customHeight="1" ph="1" x14ac:dyDescent="0.35">
      <c r="C3336" s="13" t="s" ph="1">
        <v>9749</v>
      </c>
      <c r="D3336" s="123" ph="1">
        <v>2</v>
      </c>
      <c r="E3336" s="123" ph="1">
        <v>2</v>
      </c>
      <c r="G3336" s="13" t="s" ph="1">
        <v>1788</v>
      </c>
      <c r="H3336" s="13" t="s" ph="1">
        <v>1792</v>
      </c>
      <c r="I3336" s="13" t="s" ph="1">
        <v>1743</v>
      </c>
      <c r="M3336" s="14" t="str" ph="1">
        <f>IFERROR(INDEX([1]!_born[生没年],
MATCH(I3336,[1]!_born[作],0)),"")</f>
        <v/>
      </c>
      <c r="N3336" s="14" t="str" ph="1">
        <f>IFERROR(INDEX([1]!_born[生没年],
MATCH(K3336,[1]!_born[作],0)),"")</f>
        <v/>
      </c>
      <c r="O3336" s="13" t="s" ph="1">
        <v>9830</v>
      </c>
      <c r="S3336" s="13" t="s" ph="1">
        <v>1821</v>
      </c>
      <c r="T3336" s="13" t="s" ph="1">
        <v>9826</v>
      </c>
    </row>
    <row r="3337" spans="1:25" ht="22.5" customHeight="1" ph="1" x14ac:dyDescent="0.35">
      <c r="C3337" s="13" t="s" ph="1">
        <v>9749</v>
      </c>
      <c r="D3337" s="123" ph="1">
        <v>1</v>
      </c>
      <c r="E3337" s="123" ph="1">
        <v>9</v>
      </c>
      <c r="G3337" s="13" t="s" ph="1">
        <v>1219</v>
      </c>
      <c r="H3337" s="13" t="s" ph="1">
        <v>1822</v>
      </c>
      <c r="I3337" s="15" t="s" ph="1">
        <v>9831</v>
      </c>
      <c r="M3337" s="14" t="str" ph="1">
        <f>IFERROR(INDEX([1]!_born[生没年],
MATCH(I3337,[1]!_born[作],0)),"")</f>
        <v/>
      </c>
      <c r="N3337" s="14" t="str" ph="1">
        <f>IFERROR(INDEX([1]!_born[生没年],
MATCH(K3337,[1]!_born[作],0)),"")</f>
        <v/>
      </c>
      <c r="O3337" s="13" t="s" ph="1">
        <v>9832</v>
      </c>
      <c r="S3337" s="13" t="s" ph="1">
        <v>9833</v>
      </c>
      <c r="T3337" s="13" t="s" ph="1">
        <v>9756</v>
      </c>
      <c r="U3337" s="16" ph="1">
        <v>36696</v>
      </c>
      <c r="V3337" s="17" ph="1">
        <f>5700*1.05</f>
        <v>5985</v>
      </c>
      <c r="W3337" s="17" ph="1">
        <f>5700*1.05</f>
        <v>5985</v>
      </c>
    </row>
    <row r="3338" spans="1:25" ht="22.5" customHeight="1" ph="1" x14ac:dyDescent="0.35">
      <c r="C3338" s="13" t="s" ph="1">
        <v>9749</v>
      </c>
      <c r="D3338" s="123" ph="1">
        <v>2</v>
      </c>
      <c r="E3338" s="123" ph="1">
        <v>9</v>
      </c>
      <c r="G3338" s="13" t="s" ph="1">
        <v>1219</v>
      </c>
      <c r="H3338" s="13" t="s" ph="1">
        <v>1822</v>
      </c>
      <c r="I3338" s="15" t="s" ph="1">
        <v>9834</v>
      </c>
      <c r="M3338" s="14" t="str" ph="1">
        <f>IFERROR(INDEX([1]!_born[生没年],
MATCH(I3338,[1]!_born[作],0)),"")</f>
        <v/>
      </c>
      <c r="N3338" s="14" t="str" ph="1">
        <f>IFERROR(INDEX([1]!_born[生没年],
MATCH(K3338,[1]!_born[作],0)),"")</f>
        <v/>
      </c>
      <c r="O3338" s="13" t="s" ph="1">
        <v>9835</v>
      </c>
      <c r="S3338" s="13" t="s" ph="1">
        <v>9833</v>
      </c>
      <c r="T3338" s="13" t="s" ph="1">
        <v>9756</v>
      </c>
      <c r="U3338" s="16" ph="1">
        <v>36696</v>
      </c>
      <c r="V3338" s="17" ph="1">
        <f t="shared" ref="V3338:W3340" si="34">5500*1.05</f>
        <v>5775</v>
      </c>
      <c r="W3338" s="17" ph="1">
        <f t="shared" si="34"/>
        <v>5775</v>
      </c>
    </row>
    <row r="3339" spans="1:25" ht="22.5" customHeight="1" ph="1" x14ac:dyDescent="0.35">
      <c r="C3339" s="13" t="s" ph="1">
        <v>9749</v>
      </c>
      <c r="D3339" s="123" ph="1">
        <v>3</v>
      </c>
      <c r="E3339" s="123" ph="1">
        <v>9</v>
      </c>
      <c r="G3339" s="13" t="s" ph="1">
        <v>1219</v>
      </c>
      <c r="H3339" s="13" t="s" ph="1">
        <v>1822</v>
      </c>
      <c r="I3339" s="15" t="s" ph="1">
        <v>9836</v>
      </c>
      <c r="M3339" s="14" t="str" ph="1">
        <f>IFERROR(INDEX([1]!_born[生没年],
MATCH(I3339,[1]!_born[作],0)),"")</f>
        <v/>
      </c>
      <c r="N3339" s="14" t="str" ph="1">
        <f>IFERROR(INDEX([1]!_born[生没年],
MATCH(K3339,[1]!_born[作],0)),"")</f>
        <v/>
      </c>
      <c r="O3339" s="13" t="s" ph="1">
        <v>9837</v>
      </c>
      <c r="S3339" s="13" t="s" ph="1">
        <v>9833</v>
      </c>
      <c r="T3339" s="13" t="s" ph="1">
        <v>9756</v>
      </c>
      <c r="U3339" s="16" ph="1">
        <v>36696</v>
      </c>
      <c r="V3339" s="17" ph="1">
        <f t="shared" si="34"/>
        <v>5775</v>
      </c>
      <c r="W3339" s="17" ph="1">
        <f t="shared" si="34"/>
        <v>5775</v>
      </c>
    </row>
    <row r="3340" spans="1:25" ht="22.5" customHeight="1" ph="1" x14ac:dyDescent="0.35">
      <c r="C3340" s="13" t="s" ph="1">
        <v>9749</v>
      </c>
      <c r="D3340" s="123" ph="1">
        <v>4</v>
      </c>
      <c r="E3340" s="123" ph="1">
        <v>9</v>
      </c>
      <c r="G3340" s="13" t="s" ph="1">
        <v>1219</v>
      </c>
      <c r="H3340" s="13" t="s" ph="1">
        <v>1822</v>
      </c>
      <c r="I3340" s="15" t="s" ph="1">
        <v>9838</v>
      </c>
      <c r="M3340" s="14" t="str" ph="1">
        <f>IFERROR(INDEX([1]!_born[生没年],
MATCH(I3340,[1]!_born[作],0)),"")</f>
        <v/>
      </c>
      <c r="N3340" s="14" t="str" ph="1">
        <f>IFERROR(INDEX([1]!_born[生没年],
MATCH(K3340,[1]!_born[作],0)),"")</f>
        <v/>
      </c>
      <c r="O3340" s="13" t="s" ph="1">
        <v>9839</v>
      </c>
      <c r="S3340" s="13" t="s" ph="1">
        <v>9833</v>
      </c>
      <c r="T3340" s="13" t="s" ph="1">
        <v>9756</v>
      </c>
      <c r="U3340" s="16" ph="1">
        <v>36696</v>
      </c>
      <c r="V3340" s="17" ph="1">
        <f t="shared" si="34"/>
        <v>5775</v>
      </c>
      <c r="W3340" s="17" ph="1">
        <f t="shared" si="34"/>
        <v>5775</v>
      </c>
    </row>
    <row r="3341" spans="1:25" ht="22.5" customHeight="1" ph="1" x14ac:dyDescent="0.35">
      <c r="A3341" s="106" t="s" ph="1">
        <v>1823</v>
      </c>
      <c r="B3341" s="5" t="s" ph="1">
        <v>1725</v>
      </c>
      <c r="C3341" s="13" t="s" ph="1">
        <v>9749</v>
      </c>
      <c r="D3341" s="123" ph="1">
        <v>5</v>
      </c>
      <c r="E3341" s="123" ph="1">
        <v>9</v>
      </c>
      <c r="G3341" s="13" t="s" ph="1">
        <v>1219</v>
      </c>
      <c r="H3341" s="13" t="s" ph="1">
        <v>1822</v>
      </c>
      <c r="I3341" s="15" t="s" ph="1">
        <v>9840</v>
      </c>
      <c r="M3341" s="14" t="str" ph="1">
        <f>IFERROR(INDEX([1]!_born[生没年],
MATCH(I3341,[1]!_born[作],0)),"")</f>
        <v/>
      </c>
      <c r="N3341" s="14" t="str" ph="1">
        <f>IFERROR(INDEX([1]!_born[生没年],
MATCH(K3341,[1]!_born[作],0)),"")</f>
        <v/>
      </c>
      <c r="O3341" s="13" t="s" ph="1">
        <v>9841</v>
      </c>
      <c r="S3341" s="13" t="s" ph="1">
        <v>9833</v>
      </c>
      <c r="T3341" s="13" t="s" ph="1">
        <v>9756</v>
      </c>
      <c r="U3341" s="16" ph="1">
        <v>39192</v>
      </c>
      <c r="V3341" s="17" ph="1">
        <f>5700*1.05</f>
        <v>5985</v>
      </c>
      <c r="W3341" s="17" ph="1">
        <f>5700*1.05</f>
        <v>5985</v>
      </c>
      <c r="X3341" s="13" t="s" ph="1">
        <v>3802</v>
      </c>
    </row>
    <row r="3342" spans="1:25" ht="22.5" customHeight="1" ph="1" x14ac:dyDescent="0.35">
      <c r="A3342" s="106" t="s" ph="1">
        <v>1824</v>
      </c>
      <c r="B3342" s="5" t="s" ph="1">
        <v>1825</v>
      </c>
      <c r="C3342" s="13" t="s" ph="1">
        <v>9749</v>
      </c>
      <c r="D3342" s="123" ph="1">
        <v>1</v>
      </c>
      <c r="E3342" s="123" ph="1">
        <v>2</v>
      </c>
      <c r="G3342" s="13" t="s" ph="1">
        <v>1219</v>
      </c>
      <c r="H3342" s="13" t="s" ph="1">
        <v>1822</v>
      </c>
      <c r="I3342" s="13" t="s" ph="1">
        <v>1743</v>
      </c>
      <c r="M3342" s="14" t="str" ph="1">
        <f>IFERROR(INDEX([1]!_born[生没年],
MATCH(I3342,[1]!_born[作],0)),"")</f>
        <v/>
      </c>
      <c r="N3342" s="14" t="str" ph="1">
        <f>IFERROR(INDEX([1]!_born[生没年],
MATCH(K3342,[1]!_born[作],0)),"")</f>
        <v/>
      </c>
      <c r="O3342" s="13" t="s" ph="1">
        <v>9842</v>
      </c>
      <c r="R3342" s="16" ph="1">
        <v>38722</v>
      </c>
      <c r="S3342" s="13" t="s" ph="1">
        <v>9843</v>
      </c>
      <c r="T3342" s="13" t="s" ph="1">
        <v>3965</v>
      </c>
      <c r="U3342" s="16" ph="1">
        <v>38823</v>
      </c>
      <c r="V3342" s="17" ph="1">
        <f>1500*1.05</f>
        <v>1575</v>
      </c>
      <c r="W3342" s="17" ph="1">
        <f>1500*1.05</f>
        <v>1575</v>
      </c>
    </row>
    <row r="3343" spans="1:25" ht="22.5" customHeight="1" ph="1" x14ac:dyDescent="0.35">
      <c r="A3343" s="106" t="s" ph="1">
        <v>1826</v>
      </c>
      <c r="B3343" s="5" t="s" ph="1">
        <v>1825</v>
      </c>
      <c r="C3343" s="13" t="s" ph="1">
        <v>9749</v>
      </c>
      <c r="D3343" s="123" ph="1">
        <v>2</v>
      </c>
      <c r="E3343" s="123" ph="1">
        <v>2</v>
      </c>
      <c r="G3343" s="13" t="s" ph="1">
        <v>1219</v>
      </c>
      <c r="H3343" s="13" t="s" ph="1">
        <v>1822</v>
      </c>
      <c r="I3343" s="13" t="s" ph="1">
        <v>1743</v>
      </c>
      <c r="M3343" s="14" t="str" ph="1">
        <f>IFERROR(INDEX([1]!_born[生没年],
MATCH(I3343,[1]!_born[作],0)),"")</f>
        <v/>
      </c>
      <c r="N3343" s="14" t="str" ph="1">
        <f>IFERROR(INDEX([1]!_born[生没年],
MATCH(K3343,[1]!_born[作],0)),"")</f>
        <v/>
      </c>
      <c r="O3343" s="13" t="s" ph="1">
        <v>9844</v>
      </c>
      <c r="R3343" s="16" ph="1">
        <v>38357</v>
      </c>
      <c r="S3343" s="13" t="s" ph="1">
        <v>9845</v>
      </c>
      <c r="T3343" s="13" t="s" ph="1">
        <v>3965</v>
      </c>
      <c r="U3343" s="16" ph="1">
        <v>38823</v>
      </c>
      <c r="V3343" s="17" ph="1">
        <f>1500*1.05</f>
        <v>1575</v>
      </c>
      <c r="W3343" s="17" ph="1">
        <f>1500*1.05</f>
        <v>1575</v>
      </c>
    </row>
    <row r="3344" spans="1:25" ht="22.5" customHeight="1" ph="1" x14ac:dyDescent="0.35">
      <c r="A3344" s="106" t="s" ph="1">
        <v>9846</v>
      </c>
      <c r="B3344" s="5" t="s" ph="1">
        <v>1825</v>
      </c>
      <c r="C3344" s="13" t="s" ph="1">
        <v>9847</v>
      </c>
      <c r="G3344" s="13" t="s" ph="1">
        <v>2491</v>
      </c>
      <c r="H3344" s="13" t="s" ph="1">
        <v>1792</v>
      </c>
      <c r="I3344" s="13" t="s" ph="1">
        <v>1743</v>
      </c>
      <c r="M3344" s="14" t="str" ph="1">
        <f>IFERROR(INDEX([1]!_born[生没年],
MATCH(I3344,[1]!_born[作],0)),"")</f>
        <v/>
      </c>
      <c r="N3344" s="14" t="str" ph="1">
        <f>IFERROR(INDEX([1]!_born[生没年],
MATCH(K3344,[1]!_born[作],0)),"")</f>
        <v/>
      </c>
      <c r="O3344" s="13" t="s" ph="1">
        <v>2492</v>
      </c>
      <c r="R3344" s="16" ph="1">
        <v>39008</v>
      </c>
      <c r="T3344" s="13" t="s" ph="1">
        <v>2493</v>
      </c>
      <c r="V3344" s="17" ph="1">
        <v>1000</v>
      </c>
      <c r="W3344" s="17" ph="1">
        <f>3652+340</f>
        <v>3992</v>
      </c>
      <c r="X3344" s="13" t="s" ph="1">
        <v>2629</v>
      </c>
      <c r="Y3344" s="13" t="s" ph="1">
        <v>3635</v>
      </c>
    </row>
    <row r="3345" spans="1:23" ht="22.5" customHeight="1" ph="1" x14ac:dyDescent="0.35">
      <c r="C3345" s="13" t="s" ph="1">
        <v>9749</v>
      </c>
      <c r="G3345" s="13" t="s" ph="1">
        <v>1219</v>
      </c>
      <c r="H3345" s="13" t="s" ph="1">
        <v>1827</v>
      </c>
      <c r="I3345" s="13" t="s" ph="1">
        <v>9848</v>
      </c>
      <c r="M3345" s="14" t="str" ph="1">
        <f>IFERROR(INDEX([1]!_born[生没年],
MATCH(I3345,[1]!_born[作],0)),"")</f>
        <v/>
      </c>
      <c r="N3345" s="14" t="str" ph="1">
        <f>IFERROR(INDEX([1]!_born[生没年],
MATCH(K3345,[1]!_born[作],0)),"")</f>
        <v/>
      </c>
      <c r="O3345" s="13" t="s" ph="1">
        <v>9849</v>
      </c>
      <c r="S3345" s="13" t="s" ph="1">
        <v>220</v>
      </c>
      <c r="T3345" s="13" t="s" ph="1">
        <v>2493</v>
      </c>
      <c r="U3345" s="16" ph="1">
        <v>36697</v>
      </c>
      <c r="V3345" s="17" ph="1">
        <f>2000*1.05</f>
        <v>2100</v>
      </c>
      <c r="W3345" s="17" ph="1">
        <f>2000*1.05</f>
        <v>2100</v>
      </c>
    </row>
    <row r="3346" spans="1:23" ht="22.5" customHeight="1" ph="1" x14ac:dyDescent="0.35">
      <c r="C3346" s="13" t="s" ph="1">
        <v>9749</v>
      </c>
      <c r="G3346" s="13" t="s" ph="1">
        <v>1219</v>
      </c>
      <c r="H3346" s="13" t="s" ph="1">
        <v>1827</v>
      </c>
      <c r="I3346" s="13" t="s" ph="1">
        <v>9848</v>
      </c>
      <c r="M3346" s="14" t="str" ph="1">
        <f>IFERROR(INDEX([1]!_born[生没年],
MATCH(I3346,[1]!_born[作],0)),"")</f>
        <v/>
      </c>
      <c r="N3346" s="14" t="str" ph="1">
        <f>IFERROR(INDEX([1]!_born[生没年],
MATCH(K3346,[1]!_born[作],0)),"")</f>
        <v/>
      </c>
      <c r="O3346" s="13" t="s" ph="1">
        <v>9850</v>
      </c>
      <c r="S3346" s="13" t="s" ph="1">
        <v>220</v>
      </c>
      <c r="T3346" s="13" t="s" ph="1">
        <v>2493</v>
      </c>
      <c r="U3346" s="16" ph="1">
        <v>36697</v>
      </c>
      <c r="V3346" s="17" ph="1">
        <f>2200*1.05</f>
        <v>2310</v>
      </c>
      <c r="W3346" s="17" ph="1">
        <f>2200*1.05</f>
        <v>2310</v>
      </c>
    </row>
    <row r="3347" spans="1:23" ht="22.5" customHeight="1" ph="1" x14ac:dyDescent="0.35">
      <c r="A3347" s="106" t="s" ph="1">
        <v>1828</v>
      </c>
      <c r="B3347" s="5" t="s" ph="1">
        <v>1794</v>
      </c>
      <c r="C3347" s="13" t="s" ph="1">
        <v>9749</v>
      </c>
      <c r="G3347" s="13" t="s" ph="1">
        <v>1219</v>
      </c>
      <c r="H3347" s="13" t="s" ph="1">
        <v>1827</v>
      </c>
      <c r="I3347" s="13" t="s" ph="1">
        <v>9848</v>
      </c>
      <c r="M3347" s="14" t="str" ph="1">
        <f>IFERROR(INDEX([1]!_born[生没年],
MATCH(I3347,[1]!_born[作],0)),"")</f>
        <v/>
      </c>
      <c r="N3347" s="14" t="str" ph="1">
        <f>IFERROR(INDEX([1]!_born[生没年],
MATCH(K3347,[1]!_born[作],0)),"")</f>
        <v/>
      </c>
      <c r="O3347" s="13" t="s" ph="1">
        <v>9851</v>
      </c>
      <c r="S3347" s="13" t="s" ph="1">
        <v>220</v>
      </c>
      <c r="T3347" s="13" t="s" ph="1">
        <v>2493</v>
      </c>
      <c r="U3347" s="16" ph="1">
        <v>38823</v>
      </c>
      <c r="V3347" s="17" ph="1">
        <f>2900*1.05</f>
        <v>3045</v>
      </c>
      <c r="W3347" s="17" ph="1">
        <f>2900*1.05</f>
        <v>3045</v>
      </c>
    </row>
    <row r="3348" spans="1:23" ht="22.5" customHeight="1" ph="1" x14ac:dyDescent="0.35">
      <c r="A3348" s="106" t="s" ph="1">
        <v>1829</v>
      </c>
      <c r="B3348" s="5" t="s" ph="1">
        <v>1794</v>
      </c>
      <c r="C3348" s="13" t="s" ph="1">
        <v>9749</v>
      </c>
      <c r="G3348" s="13" t="s" ph="1">
        <v>1219</v>
      </c>
      <c r="H3348" s="13" t="s" ph="1">
        <v>1827</v>
      </c>
      <c r="I3348" s="13" t="s" ph="1">
        <v>9852</v>
      </c>
      <c r="M3348" s="14" t="str" ph="1">
        <f>IFERROR(INDEX([1]!_born[生没年],
MATCH(I3348,[1]!_born[作],0)),"")</f>
        <v/>
      </c>
      <c r="N3348" s="14" t="str" ph="1">
        <f>IFERROR(INDEX([1]!_born[生没年],
MATCH(K3348,[1]!_born[作],0)),"")</f>
        <v/>
      </c>
      <c r="O3348" s="13" t="s" ph="1">
        <v>687</v>
      </c>
      <c r="S3348" s="13" t="s" ph="1">
        <v>220</v>
      </c>
      <c r="T3348" s="13" t="s" ph="1">
        <v>2493</v>
      </c>
      <c r="U3348" s="16" ph="1">
        <v>38823</v>
      </c>
      <c r="V3348" s="17" ph="1">
        <f>2800*1.05</f>
        <v>2940</v>
      </c>
      <c r="W3348" s="17" ph="1">
        <f>2800*1.05</f>
        <v>2940</v>
      </c>
    </row>
    <row r="3349" spans="1:23" ht="22.5" customHeight="1" ph="1" x14ac:dyDescent="0.35">
      <c r="C3349" s="13" t="s" ph="1">
        <v>9749</v>
      </c>
      <c r="D3349" s="123" ph="1">
        <v>2</v>
      </c>
      <c r="E3349" s="123" ph="1">
        <v>1</v>
      </c>
      <c r="G3349" s="13" t="s" ph="1">
        <v>1219</v>
      </c>
      <c r="H3349" s="13" t="s" ph="1">
        <v>1789</v>
      </c>
      <c r="I3349" s="13" t="s" ph="1">
        <v>9853</v>
      </c>
      <c r="M3349" s="14" t="str" ph="1">
        <f>IFERROR(INDEX([1]!_born[生没年],
MATCH(I3349,[1]!_born[作],0)),"")</f>
        <v/>
      </c>
      <c r="N3349" s="14" t="str" ph="1">
        <f>IFERROR(INDEX([1]!_born[生没年],
MATCH(K3349,[1]!_born[作],0)),"")</f>
        <v/>
      </c>
      <c r="O3349" s="13" t="s" ph="1">
        <v>9854</v>
      </c>
      <c r="T3349" s="13" t="s" ph="1">
        <v>1830</v>
      </c>
    </row>
    <row r="3350" spans="1:23" ht="22.5" customHeight="1" ph="1" x14ac:dyDescent="0.35">
      <c r="C3350" s="13" t="s" ph="1">
        <v>9749</v>
      </c>
      <c r="D3350" s="123" ph="1">
        <v>2</v>
      </c>
      <c r="E3350" s="123" ph="1">
        <v>2</v>
      </c>
      <c r="G3350" s="13" t="s" ph="1">
        <v>1219</v>
      </c>
      <c r="H3350" s="13" t="s" ph="1">
        <v>1789</v>
      </c>
      <c r="I3350" s="13" t="s" ph="1">
        <v>9853</v>
      </c>
      <c r="M3350" s="14" t="str" ph="1">
        <f>IFERROR(INDEX([1]!_born[生没年],
MATCH(I3350,[1]!_born[作],0)),"")</f>
        <v/>
      </c>
      <c r="N3350" s="14" t="str" ph="1">
        <f>IFERROR(INDEX([1]!_born[生没年],
MATCH(K3350,[1]!_born[作],0)),"")</f>
        <v/>
      </c>
      <c r="O3350" s="13" t="s" ph="1">
        <v>9855</v>
      </c>
      <c r="T3350" s="13" t="s" ph="1">
        <v>1830</v>
      </c>
    </row>
    <row r="3351" spans="1:23" ht="22.5" customHeight="1" ph="1" x14ac:dyDescent="0.35">
      <c r="C3351" s="13" t="s" ph="1">
        <v>9749</v>
      </c>
      <c r="G3351" s="13" t="s" ph="1">
        <v>1219</v>
      </c>
      <c r="H3351" s="13" t="s" ph="1">
        <v>1822</v>
      </c>
      <c r="I3351" s="13" t="s" ph="1">
        <v>7665</v>
      </c>
      <c r="M3351" s="14" t="str" ph="1">
        <f>IFERROR(INDEX([1]!_born[生没年],
MATCH(I3351,[1]!_born[作],0)),"")</f>
        <v/>
      </c>
      <c r="N3351" s="14" t="str" ph="1">
        <f>IFERROR(INDEX([1]!_born[生没年],
MATCH(K3351,[1]!_born[作],0)),"")</f>
        <v/>
      </c>
      <c r="O3351" s="13" t="s" ph="1">
        <v>9856</v>
      </c>
      <c r="T3351" s="13" t="s" ph="1">
        <v>1830</v>
      </c>
    </row>
    <row r="3352" spans="1:23" ht="22.5" customHeight="1" ph="1" x14ac:dyDescent="0.35">
      <c r="C3352" s="13" t="s" ph="1">
        <v>9749</v>
      </c>
      <c r="G3352" s="13" t="s" ph="1">
        <v>1219</v>
      </c>
      <c r="H3352" s="13" t="s" ph="1">
        <v>1789</v>
      </c>
      <c r="I3352" s="13" t="s" ph="1">
        <v>7681</v>
      </c>
      <c r="M3352" s="14" t="str" ph="1">
        <f>IFERROR(INDEX([1]!_born[生没年],
MATCH(I3352,[1]!_born[作],0)),"")</f>
        <v/>
      </c>
      <c r="N3352" s="14" t="str" ph="1">
        <f>IFERROR(INDEX([1]!_born[生没年],
MATCH(K3352,[1]!_born[作],0)),"")</f>
        <v/>
      </c>
      <c r="O3352" s="13" t="s" ph="1">
        <v>9856</v>
      </c>
      <c r="T3352" s="13" t="s" ph="1">
        <v>9857</v>
      </c>
    </row>
    <row r="3353" spans="1:23" ht="22.5" customHeight="1" ph="1" x14ac:dyDescent="0.35">
      <c r="C3353" s="13" t="s" ph="1">
        <v>9749</v>
      </c>
      <c r="G3353" s="13" t="s" ph="1">
        <v>1219</v>
      </c>
      <c r="H3353" s="13" t="s" ph="1">
        <v>1789</v>
      </c>
      <c r="I3353" s="13" t="s" ph="1">
        <v>9858</v>
      </c>
      <c r="M3353" s="14" t="str" ph="1">
        <f>IFERROR(INDEX([1]!_born[生没年],
MATCH(I3353,[1]!_born[作],0)),"")</f>
        <v/>
      </c>
      <c r="N3353" s="14" t="str" ph="1">
        <f>IFERROR(INDEX([1]!_born[生没年],
MATCH(K3353,[1]!_born[作],0)),"")</f>
        <v/>
      </c>
      <c r="O3353" s="13" t="s" ph="1">
        <v>37</v>
      </c>
      <c r="T3353" s="13" t="s" ph="1">
        <v>9859</v>
      </c>
    </row>
    <row r="3354" spans="1:23" ht="22.5" customHeight="1" ph="1" x14ac:dyDescent="0.35">
      <c r="C3354" s="13" t="s" ph="1">
        <v>9749</v>
      </c>
      <c r="G3354" s="13" t="s" ph="1">
        <v>1219</v>
      </c>
      <c r="H3354" s="13" t="s" ph="1">
        <v>1789</v>
      </c>
      <c r="I3354" s="13" t="s" ph="1">
        <v>9860</v>
      </c>
      <c r="M3354" s="14" t="str" ph="1">
        <f>IFERROR(INDEX([1]!_born[生没年],
MATCH(I3354,[1]!_born[作],0)),"")</f>
        <v/>
      </c>
      <c r="N3354" s="14" t="str" ph="1">
        <f>IFERROR(INDEX([1]!_born[生没年],
MATCH(K3354,[1]!_born[作],0)),"")</f>
        <v/>
      </c>
      <c r="O3354" s="13" t="s" ph="1">
        <v>365</v>
      </c>
      <c r="T3354" s="13" t="s" ph="1">
        <v>9857</v>
      </c>
    </row>
    <row r="3355" spans="1:23" ht="22.5" customHeight="1" ph="1" x14ac:dyDescent="0.35">
      <c r="C3355" s="13" t="s" ph="1">
        <v>9749</v>
      </c>
      <c r="G3355" s="13" t="s" ph="1">
        <v>1219</v>
      </c>
      <c r="H3355" s="13" t="s" ph="1">
        <v>1789</v>
      </c>
      <c r="I3355" s="13" t="s" ph="1">
        <v>73</v>
      </c>
      <c r="M3355" s="14" t="str" ph="1">
        <f>IFERROR(INDEX([1]!_born[生没年],
MATCH(I3355,[1]!_born[作],0)),"")</f>
        <v/>
      </c>
      <c r="N3355" s="14" t="str" ph="1">
        <f>IFERROR(INDEX([1]!_born[生没年],
MATCH(K3355,[1]!_born[作],0)),"")</f>
        <v/>
      </c>
      <c r="O3355" s="13" t="s" ph="1">
        <v>73</v>
      </c>
      <c r="T3355" s="13" t="s" ph="1">
        <v>9861</v>
      </c>
    </row>
    <row r="3356" spans="1:23" ht="22.5" customHeight="1" ph="1" x14ac:dyDescent="0.35">
      <c r="C3356" s="13" t="s" ph="1">
        <v>9749</v>
      </c>
      <c r="G3356" s="13" t="s" ph="1">
        <v>1219</v>
      </c>
      <c r="H3356" s="13" t="s" ph="1">
        <v>1827</v>
      </c>
      <c r="I3356" s="13" t="s" ph="1">
        <v>9862</v>
      </c>
      <c r="M3356" s="14" t="str" ph="1">
        <f>IFERROR(INDEX([1]!_born[生没年],
MATCH(I3356,[1]!_born[作],0)),"")</f>
        <v/>
      </c>
      <c r="N3356" s="14" t="str" ph="1">
        <f>IFERROR(INDEX([1]!_born[生没年],
MATCH(K3356,[1]!_born[作],0)),"")</f>
        <v/>
      </c>
      <c r="O3356" s="13" t="s" ph="1">
        <v>541</v>
      </c>
      <c r="S3356" s="13" t="s" ph="1">
        <v>1831</v>
      </c>
      <c r="T3356" s="13" t="s" ph="1">
        <v>9863</v>
      </c>
    </row>
    <row r="3357" spans="1:23" ht="22.5" customHeight="1" ph="1" x14ac:dyDescent="0.35">
      <c r="C3357" s="13" t="s" ph="1">
        <v>9749</v>
      </c>
      <c r="G3357" s="13" t="s" ph="1">
        <v>1219</v>
      </c>
      <c r="H3357" s="13" t="s" ph="1">
        <v>1789</v>
      </c>
      <c r="I3357" s="13" t="s" ph="1">
        <v>9862</v>
      </c>
      <c r="M3357" s="14" t="str" ph="1">
        <f>IFERROR(INDEX([1]!_born[生没年],
MATCH(I3357,[1]!_born[作],0)),"")</f>
        <v/>
      </c>
      <c r="N3357" s="14" t="str" ph="1">
        <f>IFERROR(INDEX([1]!_born[生没年],
MATCH(K3357,[1]!_born[作],0)),"")</f>
        <v/>
      </c>
      <c r="O3357" s="13" t="s" ph="1">
        <v>9864</v>
      </c>
      <c r="T3357" s="13" t="s" ph="1">
        <v>9865</v>
      </c>
    </row>
    <row r="3358" spans="1:23" ht="22.5" customHeight="1" ph="1" x14ac:dyDescent="0.35">
      <c r="C3358" s="13" t="s" ph="1">
        <v>9749</v>
      </c>
      <c r="G3358" s="13" t="s" ph="1">
        <v>1219</v>
      </c>
      <c r="H3358" s="13" t="s" ph="1">
        <v>1789</v>
      </c>
      <c r="I3358" s="13" t="s" ph="1">
        <v>9866</v>
      </c>
      <c r="M3358" s="14" t="str" ph="1">
        <f>IFERROR(INDEX([1]!_born[生没年],
MATCH(I3358,[1]!_born[作],0)),"")</f>
        <v/>
      </c>
      <c r="N3358" s="14" t="str" ph="1">
        <f>IFERROR(INDEX([1]!_born[生没年],
MATCH(K3358,[1]!_born[作],0)),"")</f>
        <v/>
      </c>
      <c r="O3358" s="13" t="s" ph="1">
        <v>688</v>
      </c>
      <c r="T3358" s="13" t="s" ph="1">
        <v>9859</v>
      </c>
    </row>
    <row r="3359" spans="1:23" ht="22.5" customHeight="1" ph="1" x14ac:dyDescent="0.35">
      <c r="C3359" s="13" t="s" ph="1">
        <v>9749</v>
      </c>
      <c r="G3359" s="13" t="s" ph="1">
        <v>1219</v>
      </c>
      <c r="H3359" s="13" t="s" ph="1">
        <v>1789</v>
      </c>
      <c r="I3359" s="13" t="s" ph="1">
        <v>9866</v>
      </c>
      <c r="M3359" s="14" t="str" ph="1">
        <f>IFERROR(INDEX([1]!_born[生没年],
MATCH(I3359,[1]!_born[作],0)),"")</f>
        <v/>
      </c>
      <c r="N3359" s="14" t="str" ph="1">
        <f>IFERROR(INDEX([1]!_born[生没年],
MATCH(K3359,[1]!_born[作],0)),"")</f>
        <v/>
      </c>
      <c r="O3359" s="13" t="s" ph="1">
        <v>688</v>
      </c>
      <c r="T3359" s="13" t="s" ph="1">
        <v>9865</v>
      </c>
    </row>
    <row r="3360" spans="1:23" ht="22.5" customHeight="1" ph="1" x14ac:dyDescent="0.35">
      <c r="C3360" s="13" t="s" ph="1">
        <v>9749</v>
      </c>
      <c r="G3360" s="13" t="s" ph="1">
        <v>1219</v>
      </c>
      <c r="H3360" s="13" t="s" ph="1">
        <v>1789</v>
      </c>
      <c r="I3360" s="13" t="s" ph="1">
        <v>9866</v>
      </c>
      <c r="M3360" s="14" t="str" ph="1">
        <f>IFERROR(INDEX([1]!_born[生没年],
MATCH(I3360,[1]!_born[作],0)),"")</f>
        <v/>
      </c>
      <c r="N3360" s="14" t="str" ph="1">
        <f>IFERROR(INDEX([1]!_born[生没年],
MATCH(K3360,[1]!_born[作],0)),"")</f>
        <v/>
      </c>
      <c r="O3360" s="13" t="s" ph="1">
        <v>448</v>
      </c>
      <c r="T3360" s="13" t="s" ph="1">
        <v>9867</v>
      </c>
    </row>
    <row r="3361" spans="1:24" ht="22.5" customHeight="1" ph="1" x14ac:dyDescent="0.35">
      <c r="C3361" s="13" t="s" ph="1">
        <v>9749</v>
      </c>
      <c r="G3361" s="13" t="s" ph="1">
        <v>1219</v>
      </c>
      <c r="H3361" s="13" t="s" ph="1">
        <v>1789</v>
      </c>
      <c r="I3361" s="13" t="s" ph="1">
        <v>9868</v>
      </c>
      <c r="M3361" s="14" t="str" ph="1">
        <f>IFERROR(INDEX([1]!_born[生没年],
MATCH(I3361,[1]!_born[作],0)),"")</f>
        <v/>
      </c>
      <c r="N3361" s="14" t="str" ph="1">
        <f>IFERROR(INDEX([1]!_born[生没年],
MATCH(K3361,[1]!_born[作],0)),"")</f>
        <v/>
      </c>
      <c r="O3361" s="13" t="s" ph="1">
        <v>366</v>
      </c>
      <c r="T3361" s="13" t="s" ph="1">
        <v>9867</v>
      </c>
    </row>
    <row r="3362" spans="1:24" ht="22.5" customHeight="1" ph="1" x14ac:dyDescent="0.35">
      <c r="C3362" s="13" t="s" ph="1">
        <v>9749</v>
      </c>
      <c r="G3362" s="13" t="s" ph="1">
        <v>1219</v>
      </c>
      <c r="H3362" s="13" t="s" ph="1">
        <v>1789</v>
      </c>
      <c r="I3362" s="13" t="s" ph="1">
        <v>9869</v>
      </c>
      <c r="M3362" s="14" t="str" ph="1">
        <f>IFERROR(INDEX([1]!_born[生没年],
MATCH(I3362,[1]!_born[作],0)),"")</f>
        <v/>
      </c>
      <c r="N3362" s="14" t="str" ph="1">
        <f>IFERROR(INDEX([1]!_born[生没年],
MATCH(K3362,[1]!_born[作],0)),"")</f>
        <v/>
      </c>
      <c r="O3362" s="13" t="s" ph="1">
        <v>9870</v>
      </c>
      <c r="S3362" s="13" t="s" ph="1">
        <v>1831</v>
      </c>
      <c r="T3362" s="13" t="s" ph="1">
        <v>9863</v>
      </c>
    </row>
    <row r="3363" spans="1:24" ht="22.5" customHeight="1" ph="1" x14ac:dyDescent="0.35">
      <c r="A3363" s="106" t="s" ph="1">
        <v>1832</v>
      </c>
      <c r="B3363" s="5" t="s" ph="1">
        <v>1725</v>
      </c>
      <c r="C3363" s="13" t="s" ph="1">
        <v>9749</v>
      </c>
      <c r="G3363" s="13" t="s" ph="1">
        <v>1219</v>
      </c>
      <c r="H3363" s="13" t="s" ph="1">
        <v>1827</v>
      </c>
      <c r="I3363" s="13" t="s" ph="1">
        <v>9871</v>
      </c>
      <c r="M3363" s="14" t="str" ph="1">
        <f>IFERROR(INDEX([1]!_born[生没年],
MATCH(I3363,[1]!_born[作],0)),"")</f>
        <v/>
      </c>
      <c r="N3363" s="14" t="str" ph="1">
        <f>IFERROR(INDEX([1]!_born[生没年],
MATCH(K3363,[1]!_born[作],0)),"")</f>
        <v/>
      </c>
      <c r="O3363" s="13" t="s" ph="1">
        <v>9872</v>
      </c>
      <c r="S3363" s="13" t="s" ph="1">
        <v>1833</v>
      </c>
      <c r="T3363" s="13" t="s" ph="1">
        <v>1830</v>
      </c>
      <c r="U3363" s="16" ph="1">
        <v>39098</v>
      </c>
      <c r="V3363" s="17" ph="1">
        <f>4500*1.05</f>
        <v>4725</v>
      </c>
      <c r="W3363" s="17" ph="1">
        <f>4500*1.05</f>
        <v>4725</v>
      </c>
      <c r="X3363" s="13" t="s" ph="1">
        <v>1834</v>
      </c>
    </row>
    <row r="3364" spans="1:24" ht="22.5" customHeight="1" ph="1" x14ac:dyDescent="0.35">
      <c r="C3364" s="13" t="s" ph="1">
        <v>9749</v>
      </c>
      <c r="G3364" s="13" t="s" ph="1">
        <v>1219</v>
      </c>
      <c r="H3364" s="13" t="s" ph="1">
        <v>1789</v>
      </c>
      <c r="I3364" s="13" t="s" ph="1">
        <v>9871</v>
      </c>
      <c r="M3364" s="14" t="str" ph="1">
        <f>IFERROR(INDEX([1]!_born[生没年],
MATCH(I3364,[1]!_born[作],0)),"")</f>
        <v/>
      </c>
      <c r="N3364" s="14" t="str" ph="1">
        <f>IFERROR(INDEX([1]!_born[生没年],
MATCH(K3364,[1]!_born[作],0)),"")</f>
        <v/>
      </c>
      <c r="O3364" s="13" t="s" ph="1">
        <v>9873</v>
      </c>
      <c r="T3364" s="13" t="s" ph="1">
        <v>9759</v>
      </c>
      <c r="W3364" s="17" ph="1">
        <v>0</v>
      </c>
    </row>
    <row r="3365" spans="1:24" ht="22.5" customHeight="1" ph="1" x14ac:dyDescent="0.35">
      <c r="C3365" s="13" t="s" ph="1">
        <v>9749</v>
      </c>
      <c r="D3365" s="123" ph="1">
        <v>3</v>
      </c>
      <c r="E3365" s="123" t="s" ph="1">
        <v>1225</v>
      </c>
      <c r="G3365" s="13" t="s" ph="1">
        <v>1219</v>
      </c>
      <c r="H3365" s="13" t="s" ph="1">
        <v>1827</v>
      </c>
      <c r="I3365" s="13" t="s" ph="1">
        <v>9874</v>
      </c>
      <c r="M3365" s="14" t="str" ph="1">
        <f>IFERROR(INDEX([1]!_born[生没年],
MATCH(I3365,[1]!_born[作],0)),"")</f>
        <v/>
      </c>
      <c r="N3365" s="14" t="str" ph="1">
        <f>IFERROR(INDEX([1]!_born[生没年],
MATCH(K3365,[1]!_born[作],0)),"")</f>
        <v/>
      </c>
      <c r="O3365" s="13" t="s" ph="1">
        <v>9875</v>
      </c>
      <c r="S3365" s="13" t="s" ph="1">
        <v>9876</v>
      </c>
      <c r="T3365" s="13" t="s" ph="1">
        <v>9877</v>
      </c>
      <c r="W3365" s="17" ph="1">
        <v>0</v>
      </c>
    </row>
    <row r="3366" spans="1:24" ht="22.5" customHeight="1" ph="1" x14ac:dyDescent="0.35">
      <c r="C3366" s="13" t="s" ph="1">
        <v>9749</v>
      </c>
      <c r="G3366" s="13" t="s" ph="1">
        <v>1219</v>
      </c>
      <c r="H3366" s="13" t="s" ph="1">
        <v>1792</v>
      </c>
      <c r="I3366" s="13" t="s" ph="1">
        <v>9878</v>
      </c>
      <c r="M3366" s="14" t="str" ph="1">
        <f>IFERROR(INDEX([1]!_born[生没年],
MATCH(I3366,[1]!_born[作],0)),"")</f>
        <v/>
      </c>
      <c r="N3366" s="14" t="str" ph="1">
        <f>IFERROR(INDEX([1]!_born[生没年],
MATCH(K3366,[1]!_born[作],0)),"")</f>
        <v/>
      </c>
      <c r="O3366" s="13" t="s" ph="1">
        <v>9879</v>
      </c>
      <c r="T3366" s="13" t="s" ph="1">
        <v>9865</v>
      </c>
    </row>
    <row r="3367" spans="1:24" ht="22.5" customHeight="1" ph="1" x14ac:dyDescent="0.35">
      <c r="C3367" s="13" t="s" ph="1">
        <v>9749</v>
      </c>
      <c r="G3367" s="13" t="s" ph="1">
        <v>1219</v>
      </c>
      <c r="H3367" s="13" t="s" ph="1">
        <v>1835</v>
      </c>
      <c r="I3367" s="13" t="s" ph="1">
        <v>1743</v>
      </c>
      <c r="M3367" s="14" t="str" ph="1">
        <f>IFERROR(INDEX([1]!_born[生没年],
MATCH(I3367,[1]!_born[作],0)),"")</f>
        <v/>
      </c>
      <c r="N3367" s="14" t="str" ph="1">
        <f>IFERROR(INDEX([1]!_born[生没年],
MATCH(K3367,[1]!_born[作],0)),"")</f>
        <v/>
      </c>
      <c r="O3367" s="13" t="s" ph="1">
        <v>59</v>
      </c>
      <c r="T3367" s="13" t="s" ph="1">
        <v>9877</v>
      </c>
    </row>
    <row r="3368" spans="1:24" ht="22.5" customHeight="1" ph="1" x14ac:dyDescent="0.35">
      <c r="C3368" s="13" t="s" ph="1">
        <v>9750</v>
      </c>
      <c r="G3368" s="13" t="s" ph="1">
        <v>1219</v>
      </c>
      <c r="H3368" s="13" t="s" ph="1">
        <v>1789</v>
      </c>
      <c r="I3368" s="13" t="s" ph="1">
        <v>9880</v>
      </c>
      <c r="M3368" s="14" t="str" ph="1">
        <f>IFERROR(INDEX([1]!_born[生没年],
MATCH(I3368,[1]!_born[作],0)),"")</f>
        <v/>
      </c>
      <c r="N3368" s="14" t="str" ph="1">
        <f>IFERROR(INDEX([1]!_born[生没年],
MATCH(K3368,[1]!_born[作],0)),"")</f>
        <v/>
      </c>
      <c r="O3368" s="13" t="s" ph="1">
        <v>9881</v>
      </c>
      <c r="T3368" s="13" t="s" ph="1">
        <v>9882</v>
      </c>
      <c r="W3368" s="17" ph="1">
        <v>0</v>
      </c>
    </row>
    <row r="3369" spans="1:24" ht="22.5" customHeight="1" ph="1" x14ac:dyDescent="0.35">
      <c r="C3369" s="13" t="s" ph="1">
        <v>9750</v>
      </c>
      <c r="G3369" s="13" t="s" ph="1">
        <v>1219</v>
      </c>
      <c r="H3369" s="13" t="s" ph="1">
        <v>1789</v>
      </c>
      <c r="I3369" s="15" t="s" ph="1">
        <v>406</v>
      </c>
      <c r="M3369" s="14" t="str" ph="1">
        <f>IFERROR(INDEX([1]!_born[生没年],
MATCH(I3369,[1]!_born[作],0)),"")</f>
        <v/>
      </c>
      <c r="N3369" s="14" t="str" ph="1">
        <f>IFERROR(INDEX([1]!_born[生没年],
MATCH(K3369,[1]!_born[作],0)),"")</f>
        <v/>
      </c>
      <c r="O3369" s="15" t="s" ph="1">
        <v>9883</v>
      </c>
      <c r="W3369" s="17" ph="1">
        <v>0</v>
      </c>
    </row>
    <row r="3370" spans="1:24" ht="22.5" customHeight="1" ph="1" x14ac:dyDescent="0.35">
      <c r="C3370" s="13" t="s" ph="1">
        <v>9749</v>
      </c>
      <c r="G3370" s="13" t="s" ph="1">
        <v>1219</v>
      </c>
      <c r="H3370" s="13" t="s" ph="1">
        <v>1789</v>
      </c>
      <c r="I3370" s="15" t="s" ph="1">
        <v>120</v>
      </c>
      <c r="M3370" s="14" t="str" ph="1">
        <f>IFERROR(INDEX([1]!_born[生没年],
MATCH(I3370,[1]!_born[作],0)),"")</f>
        <v/>
      </c>
      <c r="N3370" s="14" t="str" ph="1">
        <f>IFERROR(INDEX([1]!_born[生没年],
MATCH(K3370,[1]!_born[作],0)),"")</f>
        <v/>
      </c>
      <c r="O3370" s="15" t="s" ph="1">
        <v>36</v>
      </c>
      <c r="T3370" s="13" t="s" ph="1">
        <v>9884</v>
      </c>
      <c r="V3370" s="17" ph="1">
        <v>8.9499999999999993</v>
      </c>
    </row>
    <row r="3371" spans="1:24" ht="22.5" customHeight="1" ph="1" x14ac:dyDescent="0.35">
      <c r="C3371" s="13" t="s" ph="1">
        <v>9749</v>
      </c>
      <c r="G3371" s="13" t="s" ph="1">
        <v>1219</v>
      </c>
      <c r="H3371" s="13" t="s" ph="1">
        <v>1789</v>
      </c>
      <c r="I3371" s="15" t="s" ph="1">
        <v>120</v>
      </c>
      <c r="M3371" s="14" t="str" ph="1">
        <f>IFERROR(INDEX([1]!_born[生没年],
MATCH(I3371,[1]!_born[作],0)),"")</f>
        <v/>
      </c>
      <c r="N3371" s="14" t="str" ph="1">
        <f>IFERROR(INDEX([1]!_born[生没年],
MATCH(K3371,[1]!_born[作],0)),"")</f>
        <v/>
      </c>
      <c r="O3371" s="15" t="s" ph="1">
        <v>671</v>
      </c>
      <c r="R3371" s="16" t="s" ph="1">
        <v>1261</v>
      </c>
      <c r="T3371" s="13" t="s" ph="1">
        <v>111</v>
      </c>
      <c r="V3371" s="17" ph="1">
        <v>14.95</v>
      </c>
    </row>
    <row r="3372" spans="1:24" ht="22.5" customHeight="1" ph="1" x14ac:dyDescent="0.35">
      <c r="C3372" s="13" t="s" ph="1">
        <v>9749</v>
      </c>
      <c r="G3372" s="13" t="s" ph="1">
        <v>1219</v>
      </c>
      <c r="H3372" s="13" t="s" ph="1">
        <v>1789</v>
      </c>
      <c r="I3372" s="15" t="s" ph="1">
        <v>77</v>
      </c>
      <c r="M3372" s="14" t="str" ph="1">
        <f>IFERROR(INDEX([1]!_born[生没年],
MATCH(I3372,[1]!_born[作],0)),"")</f>
        <v/>
      </c>
      <c r="N3372" s="14" t="str" ph="1">
        <f>IFERROR(INDEX([1]!_born[生没年],
MATCH(K3372,[1]!_born[作],0)),"")</f>
        <v/>
      </c>
      <c r="O3372" s="15" t="s" ph="1">
        <v>312</v>
      </c>
      <c r="T3372" s="13" t="s" ph="1">
        <v>1836</v>
      </c>
      <c r="V3372" s="17" ph="1">
        <v>2300</v>
      </c>
    </row>
    <row r="3373" spans="1:24" ht="22.5" customHeight="1" ph="1" x14ac:dyDescent="0.35">
      <c r="C3373" s="13" t="s" ph="1">
        <v>9749</v>
      </c>
      <c r="D3373" s="123" ph="1">
        <v>1</v>
      </c>
      <c r="E3373" s="123" ph="1">
        <v>2</v>
      </c>
      <c r="G3373" s="13" t="s" ph="1">
        <v>1219</v>
      </c>
      <c r="H3373" s="13" t="s" ph="1">
        <v>1789</v>
      </c>
      <c r="I3373" s="15" t="s" ph="1">
        <v>78</v>
      </c>
      <c r="M3373" s="14" t="str" ph="1">
        <f>IFERROR(INDEX([1]!_born[生没年],
MATCH(I3373,[1]!_born[作],0)),"")</f>
        <v/>
      </c>
      <c r="N3373" s="14" t="str" ph="1">
        <f>IFERROR(INDEX([1]!_born[生没年],
MATCH(K3373,[1]!_born[作],0)),"")</f>
        <v/>
      </c>
      <c r="O3373" s="15" t="s" ph="1">
        <v>9885</v>
      </c>
      <c r="T3373" s="13" t="s" ph="1">
        <v>9756</v>
      </c>
    </row>
    <row r="3374" spans="1:24" ht="22.5" customHeight="1" ph="1" x14ac:dyDescent="0.35">
      <c r="C3374" s="13" t="s" ph="1">
        <v>9749</v>
      </c>
      <c r="D3374" s="123" ph="1">
        <v>2</v>
      </c>
      <c r="E3374" s="123" ph="1">
        <v>2</v>
      </c>
      <c r="G3374" s="13" t="s" ph="1">
        <v>1219</v>
      </c>
      <c r="H3374" s="13" t="s" ph="1">
        <v>1789</v>
      </c>
      <c r="I3374" s="15" t="s" ph="1">
        <v>78</v>
      </c>
      <c r="M3374" s="14" t="str" ph="1">
        <f>IFERROR(INDEX([1]!_born[生没年],
MATCH(I3374,[1]!_born[作],0)),"")</f>
        <v/>
      </c>
      <c r="N3374" s="14" t="str" ph="1">
        <f>IFERROR(INDEX([1]!_born[生没年],
MATCH(K3374,[1]!_born[作],0)),"")</f>
        <v/>
      </c>
      <c r="O3374" s="15" t="s" ph="1">
        <v>9885</v>
      </c>
      <c r="T3374" s="13" t="s" ph="1">
        <v>9756</v>
      </c>
    </row>
    <row r="3375" spans="1:24" ht="22.5" customHeight="1" ph="1" x14ac:dyDescent="0.35">
      <c r="C3375" s="13" t="s" ph="1">
        <v>9749</v>
      </c>
      <c r="G3375" s="13" t="s" ph="1">
        <v>1219</v>
      </c>
      <c r="H3375" s="13" t="s" ph="1">
        <v>1827</v>
      </c>
      <c r="I3375" s="15" t="s" ph="1">
        <v>78</v>
      </c>
      <c r="M3375" s="14" t="str" ph="1">
        <f>IFERROR(INDEX([1]!_born[生没年],
MATCH(I3375,[1]!_born[作],0)),"")</f>
        <v/>
      </c>
      <c r="N3375" s="14" t="str" ph="1">
        <f>IFERROR(INDEX([1]!_born[生没年],
MATCH(K3375,[1]!_born[作],0)),"")</f>
        <v/>
      </c>
      <c r="O3375" s="15" t="s" ph="1">
        <v>9886</v>
      </c>
      <c r="T3375" s="13" t="s" ph="1">
        <v>9877</v>
      </c>
      <c r="V3375" s="17" ph="1">
        <v>15450</v>
      </c>
    </row>
    <row r="3376" spans="1:24" ht="22.5" customHeight="1" ph="1" x14ac:dyDescent="0.35">
      <c r="C3376" s="13" t="s" ph="1">
        <v>9749</v>
      </c>
      <c r="G3376" s="13" t="s" ph="1">
        <v>1219</v>
      </c>
      <c r="H3376" s="13" t="s" ph="1">
        <v>1789</v>
      </c>
      <c r="I3376" s="15" t="s" ph="1">
        <v>537</v>
      </c>
      <c r="M3376" s="14" t="str" ph="1">
        <f>IFERROR(INDEX([1]!_born[生没年],
MATCH(I3376,[1]!_born[作],0)),"")</f>
        <v/>
      </c>
      <c r="N3376" s="14" t="str" ph="1">
        <f>IFERROR(INDEX([1]!_born[生没年],
MATCH(K3376,[1]!_born[作],0)),"")</f>
        <v/>
      </c>
      <c r="O3376" s="13" t="s" ph="1">
        <v>9887</v>
      </c>
      <c r="T3376" s="13" t="s" ph="1">
        <v>9759</v>
      </c>
    </row>
    <row r="3377" spans="3:23" ht="22.5" customHeight="1" ph="1" x14ac:dyDescent="0.35">
      <c r="C3377" s="13" t="s" ph="1">
        <v>9749</v>
      </c>
      <c r="G3377" s="13" t="s" ph="1">
        <v>1219</v>
      </c>
      <c r="H3377" s="13" t="s" ph="1">
        <v>1789</v>
      </c>
      <c r="I3377" s="13" t="s" ph="1">
        <v>9888</v>
      </c>
      <c r="M3377" s="14" t="str" ph="1">
        <f>IFERROR(INDEX([1]!_born[生没年],
MATCH(I3377,[1]!_born[作],0)),"")</f>
        <v/>
      </c>
      <c r="N3377" s="14" t="str" ph="1">
        <f>IFERROR(INDEX([1]!_born[生没年],
MATCH(K3377,[1]!_born[作],0)),"")</f>
        <v/>
      </c>
      <c r="O3377" s="13" t="s" ph="1">
        <v>226</v>
      </c>
      <c r="T3377" s="13" t="s" ph="1">
        <v>176</v>
      </c>
    </row>
    <row r="3378" spans="3:23" ht="22.5" customHeight="1" ph="1" x14ac:dyDescent="0.35">
      <c r="C3378" s="13" t="s" ph="1">
        <v>9749</v>
      </c>
      <c r="D3378" s="123" ph="1">
        <v>1</v>
      </c>
      <c r="E3378" s="123" ph="1">
        <v>5</v>
      </c>
      <c r="G3378" s="24" t="s" ph="1">
        <v>1837</v>
      </c>
      <c r="H3378" s="13" t="s" ph="1">
        <v>1789</v>
      </c>
      <c r="I3378" s="13" t="s" ph="1">
        <v>9889</v>
      </c>
      <c r="J3378" s="13" t="s" ph="1">
        <v>3616</v>
      </c>
      <c r="M3378" s="14" t="str" ph="1">
        <f>IFERROR(INDEX([1]!_born[生没年],
MATCH(I3378,[1]!_born[作],0)),"")</f>
        <v/>
      </c>
      <c r="N3378" s="14" t="str" ph="1">
        <f>IFERROR(INDEX([1]!_born[生没年],
MATCH(K3378,[1]!_born[作],0)),"")</f>
        <v/>
      </c>
      <c r="O3378" s="15" t="s" ph="1">
        <v>158</v>
      </c>
      <c r="T3378" s="13" t="s" ph="1">
        <v>9890</v>
      </c>
      <c r="W3378" s="17" ph="1">
        <f>1545*3+1854</f>
        <v>6489</v>
      </c>
    </row>
    <row r="3379" spans="3:23" ht="22.5" customHeight="1" ph="1" x14ac:dyDescent="0.35">
      <c r="C3379" s="13" t="s" ph="1">
        <v>9749</v>
      </c>
      <c r="D3379" s="123" ph="1">
        <v>2</v>
      </c>
      <c r="E3379" s="123" ph="1">
        <v>5</v>
      </c>
      <c r="G3379" s="24" t="s" ph="1">
        <v>1837</v>
      </c>
      <c r="H3379" s="13" t="s" ph="1">
        <v>1789</v>
      </c>
      <c r="I3379" s="13" t="s" ph="1">
        <v>9889</v>
      </c>
      <c r="J3379" s="13" t="s" ph="1">
        <v>3616</v>
      </c>
      <c r="M3379" s="14" t="str" ph="1">
        <f>IFERROR(INDEX([1]!_born[生没年],
MATCH(I3379,[1]!_born[作],0)),"")</f>
        <v/>
      </c>
      <c r="N3379" s="14" t="str" ph="1">
        <f>IFERROR(INDEX([1]!_born[生没年],
MATCH(K3379,[1]!_born[作],0)),"")</f>
        <v/>
      </c>
      <c r="O3379" s="15" t="s" ph="1">
        <v>158</v>
      </c>
      <c r="T3379" s="13" t="s" ph="1">
        <v>9890</v>
      </c>
      <c r="W3379" s="17" ph="1">
        <f>1545*3+1854</f>
        <v>6489</v>
      </c>
    </row>
    <row r="3380" spans="3:23" ht="22.5" customHeight="1" ph="1" x14ac:dyDescent="0.35">
      <c r="C3380" s="13" t="s" ph="1">
        <v>9749</v>
      </c>
      <c r="D3380" s="123" ph="1">
        <v>3</v>
      </c>
      <c r="E3380" s="123" ph="1">
        <v>5</v>
      </c>
      <c r="G3380" s="24" t="s" ph="1">
        <v>1837</v>
      </c>
      <c r="H3380" s="13" t="s" ph="1">
        <v>1789</v>
      </c>
      <c r="I3380" s="13" t="s" ph="1">
        <v>9889</v>
      </c>
      <c r="J3380" s="13" t="s" ph="1">
        <v>3616</v>
      </c>
      <c r="M3380" s="14" t="str" ph="1">
        <f>IFERROR(INDEX([1]!_born[生没年],
MATCH(I3380,[1]!_born[作],0)),"")</f>
        <v/>
      </c>
      <c r="N3380" s="14" t="str" ph="1">
        <f>IFERROR(INDEX([1]!_born[生没年],
MATCH(K3380,[1]!_born[作],0)),"")</f>
        <v/>
      </c>
      <c r="O3380" s="15" t="s" ph="1">
        <v>158</v>
      </c>
      <c r="T3380" s="13" t="s" ph="1">
        <v>9890</v>
      </c>
      <c r="W3380" s="17" ph="1">
        <f>1545*3+1854</f>
        <v>6489</v>
      </c>
    </row>
    <row r="3381" spans="3:23" ht="22.5" customHeight="1" ph="1" x14ac:dyDescent="0.35">
      <c r="C3381" s="13" t="s" ph="1">
        <v>9749</v>
      </c>
      <c r="D3381" s="123" ph="1">
        <v>4</v>
      </c>
      <c r="E3381" s="123" ph="1">
        <v>5</v>
      </c>
      <c r="G3381" s="24" t="s" ph="1">
        <v>1837</v>
      </c>
      <c r="H3381" s="13" t="s" ph="1">
        <v>1789</v>
      </c>
      <c r="I3381" s="13" t="s" ph="1">
        <v>9889</v>
      </c>
      <c r="J3381" s="13" t="s" ph="1">
        <v>3616</v>
      </c>
      <c r="M3381" s="14" t="str" ph="1">
        <f>IFERROR(INDEX([1]!_born[生没年],
MATCH(I3381,[1]!_born[作],0)),"")</f>
        <v/>
      </c>
      <c r="N3381" s="14" t="str" ph="1">
        <f>IFERROR(INDEX([1]!_born[生没年],
MATCH(K3381,[1]!_born[作],0)),"")</f>
        <v/>
      </c>
      <c r="O3381" s="15" t="s" ph="1">
        <v>158</v>
      </c>
      <c r="T3381" s="13" t="s" ph="1">
        <v>9890</v>
      </c>
      <c r="W3381" s="17" ph="1">
        <f>1545*3+1854</f>
        <v>6489</v>
      </c>
    </row>
    <row r="3382" spans="3:23" ht="22.5" customHeight="1" ph="1" x14ac:dyDescent="0.35">
      <c r="C3382" s="13" t="s" ph="1">
        <v>9749</v>
      </c>
      <c r="D3382" s="123" ph="1">
        <v>5</v>
      </c>
      <c r="E3382" s="123" ph="1">
        <v>5</v>
      </c>
      <c r="G3382" s="24" t="s" ph="1">
        <v>1837</v>
      </c>
      <c r="H3382" s="13" t="s" ph="1">
        <v>1789</v>
      </c>
      <c r="I3382" s="13" t="s" ph="1">
        <v>9889</v>
      </c>
      <c r="J3382" s="13" t="s" ph="1">
        <v>3616</v>
      </c>
      <c r="M3382" s="14" t="str" ph="1">
        <f>IFERROR(INDEX([1]!_born[生没年],
MATCH(I3382,[1]!_born[作],0)),"")</f>
        <v/>
      </c>
      <c r="N3382" s="14" t="str" ph="1">
        <f>IFERROR(INDEX([1]!_born[生没年],
MATCH(K3382,[1]!_born[作],0)),"")</f>
        <v/>
      </c>
      <c r="O3382" s="15" t="s" ph="1">
        <v>158</v>
      </c>
      <c r="T3382" s="13" t="s" ph="1">
        <v>9890</v>
      </c>
      <c r="W3382" s="17" ph="1">
        <f>1545*3+1854</f>
        <v>6489</v>
      </c>
    </row>
    <row r="3383" spans="3:23" ht="22.5" customHeight="1" ph="1" x14ac:dyDescent="0.35">
      <c r="C3383" s="13" t="s" ph="1">
        <v>9749</v>
      </c>
      <c r="D3383" s="123" ph="1">
        <v>1</v>
      </c>
      <c r="E3383" s="123" ph="1">
        <v>2</v>
      </c>
      <c r="G3383" s="24" t="s" ph="1">
        <v>1837</v>
      </c>
      <c r="H3383" s="13" t="s" ph="1">
        <v>1822</v>
      </c>
      <c r="I3383" s="13" t="s" ph="1">
        <v>1743</v>
      </c>
      <c r="M3383" s="14" t="str" ph="1">
        <f>IFERROR(INDEX([1]!_born[生没年],
MATCH(I3383,[1]!_born[作],0)),"")</f>
        <v/>
      </c>
      <c r="N3383" s="14" t="str" ph="1">
        <f>IFERROR(INDEX([1]!_born[生没年],
MATCH(K3383,[1]!_born[作],0)),"")</f>
        <v/>
      </c>
      <c r="O3383" s="15" t="s" ph="1">
        <v>9891</v>
      </c>
      <c r="T3383" s="13" t="s" ph="1">
        <v>9756</v>
      </c>
      <c r="W3383" s="17" ph="1">
        <f>2781+2987</f>
        <v>5768</v>
      </c>
    </row>
    <row r="3384" spans="3:23" ht="22.5" customHeight="1" ph="1" x14ac:dyDescent="0.35">
      <c r="C3384" s="13" t="s" ph="1">
        <v>9749</v>
      </c>
      <c r="D3384" s="123" ph="1">
        <v>2</v>
      </c>
      <c r="E3384" s="123" ph="1">
        <v>2</v>
      </c>
      <c r="G3384" s="24" t="s" ph="1">
        <v>1837</v>
      </c>
      <c r="H3384" s="13" t="s" ph="1">
        <v>1822</v>
      </c>
      <c r="I3384" s="13" t="s" ph="1">
        <v>1743</v>
      </c>
      <c r="M3384" s="14" t="str" ph="1">
        <f>IFERROR(INDEX([1]!_born[生没年],
MATCH(I3384,[1]!_born[作],0)),"")</f>
        <v/>
      </c>
      <c r="N3384" s="14" t="str" ph="1">
        <f>IFERROR(INDEX([1]!_born[生没年],
MATCH(K3384,[1]!_born[作],0)),"")</f>
        <v/>
      </c>
      <c r="O3384" s="15" t="s" ph="1">
        <v>9891</v>
      </c>
      <c r="T3384" s="13" t="s" ph="1">
        <v>9756</v>
      </c>
      <c r="V3384" s="17" ph="1">
        <f>2500*1.03</f>
        <v>2575</v>
      </c>
      <c r="W3384" s="17" ph="1">
        <f>2781+2987</f>
        <v>5768</v>
      </c>
    </row>
    <row r="3385" spans="3:23" ht="22.5" customHeight="1" ph="1" x14ac:dyDescent="0.35">
      <c r="C3385" s="13" t="s" ph="1">
        <v>9750</v>
      </c>
      <c r="G3385" s="24" t="s" ph="1">
        <v>1837</v>
      </c>
      <c r="H3385" s="13" t="s" ph="1">
        <v>1822</v>
      </c>
      <c r="I3385" s="15" t="s" ph="1">
        <v>9892</v>
      </c>
      <c r="M3385" s="14" t="str" ph="1">
        <f>IFERROR(INDEX([1]!_born[生没年],
MATCH(I3385,[1]!_born[作],0)),"")</f>
        <v/>
      </c>
      <c r="N3385" s="14" t="str" ph="1">
        <f>IFERROR(INDEX([1]!_born[生没年],
MATCH(K3385,[1]!_born[作],0)),"")</f>
        <v/>
      </c>
      <c r="O3385" s="15" t="s" ph="1">
        <v>9893</v>
      </c>
      <c r="W3385" s="17" ph="1">
        <v>0</v>
      </c>
    </row>
    <row r="3386" spans="3:23" ht="22.5" customHeight="1" ph="1" x14ac:dyDescent="0.35">
      <c r="C3386" s="13" t="s" ph="1">
        <v>9750</v>
      </c>
      <c r="G3386" s="24" t="s" ph="1">
        <v>1837</v>
      </c>
      <c r="H3386" s="13" t="s" ph="1">
        <v>1822</v>
      </c>
      <c r="I3386" s="15" t="s" ph="1">
        <v>9892</v>
      </c>
      <c r="M3386" s="14" t="str" ph="1">
        <f>IFERROR(INDEX([1]!_born[生没年],
MATCH(I3386,[1]!_born[作],0)),"")</f>
        <v/>
      </c>
      <c r="N3386" s="14" t="str" ph="1">
        <f>IFERROR(INDEX([1]!_born[生没年],
MATCH(K3386,[1]!_born[作],0)),"")</f>
        <v/>
      </c>
      <c r="O3386" s="15" t="s" ph="1">
        <v>221</v>
      </c>
      <c r="W3386" s="17" ph="1">
        <v>0</v>
      </c>
    </row>
    <row r="3387" spans="3:23" ht="22.5" customHeight="1" ph="1" x14ac:dyDescent="0.35">
      <c r="C3387" s="13" t="s" ph="1">
        <v>9750</v>
      </c>
      <c r="G3387" s="24" t="s" ph="1">
        <v>1837</v>
      </c>
      <c r="H3387" s="13" t="s" ph="1">
        <v>1822</v>
      </c>
      <c r="I3387" s="15" t="s" ph="1">
        <v>9892</v>
      </c>
      <c r="M3387" s="14" t="str" ph="1">
        <f>IFERROR(INDEX([1]!_born[生没年],
MATCH(I3387,[1]!_born[作],0)),"")</f>
        <v/>
      </c>
      <c r="N3387" s="14" t="str" ph="1">
        <f>IFERROR(INDEX([1]!_born[生没年],
MATCH(K3387,[1]!_born[作],0)),"")</f>
        <v/>
      </c>
      <c r="O3387" s="15" t="s" ph="1">
        <v>555</v>
      </c>
      <c r="W3387" s="17" ph="1">
        <v>0</v>
      </c>
    </row>
    <row r="3388" spans="3:23" ht="22.5" customHeight="1" ph="1" x14ac:dyDescent="0.35">
      <c r="C3388" s="13" t="s" ph="1">
        <v>9750</v>
      </c>
      <c r="G3388" s="24" t="s" ph="1">
        <v>1837</v>
      </c>
      <c r="H3388" s="13" t="s" ph="1">
        <v>1822</v>
      </c>
      <c r="I3388" s="15" t="s" ph="1">
        <v>9892</v>
      </c>
      <c r="M3388" s="14" t="str" ph="1">
        <f>IFERROR(INDEX([1]!_born[生没年],
MATCH(I3388,[1]!_born[作],0)),"")</f>
        <v/>
      </c>
      <c r="N3388" s="14" t="str" ph="1">
        <f>IFERROR(INDEX([1]!_born[生没年],
MATCH(K3388,[1]!_born[作],0)),"")</f>
        <v/>
      </c>
      <c r="O3388" s="13" t="s" ph="1">
        <v>9894</v>
      </c>
      <c r="W3388" s="17" ph="1">
        <v>0</v>
      </c>
    </row>
    <row r="3389" spans="3:23" ht="22.5" customHeight="1" ph="1" x14ac:dyDescent="0.35">
      <c r="C3389" s="13" t="s" ph="1">
        <v>9750</v>
      </c>
      <c r="G3389" s="24" t="s" ph="1">
        <v>1837</v>
      </c>
      <c r="H3389" s="13" t="s" ph="1">
        <v>1822</v>
      </c>
      <c r="I3389" s="15" t="s" ph="1">
        <v>561</v>
      </c>
      <c r="M3389" s="14" t="str" ph="1">
        <f>IFERROR(INDEX([1]!_born[生没年],
MATCH(I3389,[1]!_born[作],0)),"")</f>
        <v/>
      </c>
      <c r="N3389" s="14" t="str" ph="1">
        <f>IFERROR(INDEX([1]!_born[生没年],
MATCH(K3389,[1]!_born[作],0)),"")</f>
        <v/>
      </c>
      <c r="O3389" s="15" t="s" ph="1">
        <v>9895</v>
      </c>
      <c r="W3389" s="17" ph="1">
        <v>0</v>
      </c>
    </row>
    <row r="3390" spans="3:23" ht="22.5" customHeight="1" ph="1" x14ac:dyDescent="0.35">
      <c r="C3390" s="13" t="s" ph="1">
        <v>9750</v>
      </c>
      <c r="G3390" s="24" t="s" ph="1">
        <v>1837</v>
      </c>
      <c r="H3390" s="13" t="s" ph="1">
        <v>1822</v>
      </c>
      <c r="M3390" s="14" t="str" ph="1">
        <f>IFERROR(INDEX([1]!_born[生没年],
MATCH(I3390,[1]!_born[作],0)),"")</f>
        <v/>
      </c>
      <c r="N3390" s="14" t="str" ph="1">
        <f>IFERROR(INDEX([1]!_born[生没年],
MATCH(K3390,[1]!_born[作],0)),"")</f>
        <v/>
      </c>
      <c r="O3390" s="15" t="s" ph="1">
        <v>9896</v>
      </c>
      <c r="W3390" s="17" ph="1">
        <v>0</v>
      </c>
    </row>
    <row r="3391" spans="3:23" ht="22.5" customHeight="1" ph="1" x14ac:dyDescent="0.35">
      <c r="C3391" s="13" t="s" ph="1">
        <v>9750</v>
      </c>
      <c r="G3391" s="24" t="s" ph="1">
        <v>1837</v>
      </c>
      <c r="H3391" s="13" t="s" ph="1">
        <v>1822</v>
      </c>
      <c r="M3391" s="14" t="str" ph="1">
        <f>IFERROR(INDEX([1]!_born[生没年],
MATCH(I3391,[1]!_born[作],0)),"")</f>
        <v/>
      </c>
      <c r="N3391" s="14" t="str" ph="1">
        <f>IFERROR(INDEX([1]!_born[生没年],
MATCH(K3391,[1]!_born[作],0)),"")</f>
        <v/>
      </c>
      <c r="O3391" s="15" t="s" ph="1">
        <v>9897</v>
      </c>
      <c r="W3391" s="17" ph="1">
        <v>0</v>
      </c>
    </row>
    <row r="3392" spans="3:23" ht="22.5" customHeight="1" ph="1" x14ac:dyDescent="0.35">
      <c r="C3392" s="13" t="s" ph="1">
        <v>9749</v>
      </c>
      <c r="G3392" s="24" t="s" ph="1">
        <v>1837</v>
      </c>
      <c r="H3392" s="13" t="s" ph="1">
        <v>1789</v>
      </c>
      <c r="I3392" s="13" t="s" ph="1">
        <v>322</v>
      </c>
      <c r="M3392" s="14" t="str" ph="1">
        <f>IFERROR(INDEX([1]!_born[生没年],
MATCH(I3392,[1]!_born[作],0)),"")</f>
        <v/>
      </c>
      <c r="N3392" s="14" t="str" ph="1">
        <f>IFERROR(INDEX([1]!_born[生没年],
MATCH(K3392,[1]!_born[作],0)),"")</f>
        <v/>
      </c>
      <c r="O3392" s="13" t="s" ph="1">
        <v>9898</v>
      </c>
      <c r="R3392" s="16" t="s" ph="1">
        <v>1335</v>
      </c>
      <c r="T3392" s="13" t="s" ph="1">
        <v>9756</v>
      </c>
      <c r="U3392" s="16" ph="1">
        <v>36495</v>
      </c>
      <c r="V3392" s="17" ph="1">
        <v>350</v>
      </c>
      <c r="W3392" s="17" ph="1">
        <v>200</v>
      </c>
    </row>
    <row r="3393" spans="1:25" ht="22.5" customHeight="1" ph="1" x14ac:dyDescent="0.35">
      <c r="C3393" s="13" t="s" ph="1">
        <v>9750</v>
      </c>
      <c r="G3393" s="24" t="s" ph="1">
        <v>1837</v>
      </c>
      <c r="H3393" s="13" t="s" ph="1">
        <v>1822</v>
      </c>
      <c r="M3393" s="14" t="str" ph="1">
        <f>IFERROR(INDEX([1]!_born[生没年],
MATCH(I3393,[1]!_born[作],0)),"")</f>
        <v/>
      </c>
      <c r="N3393" s="14" t="str" ph="1">
        <f>IFERROR(INDEX([1]!_born[生没年],
MATCH(K3393,[1]!_born[作],0)),"")</f>
        <v/>
      </c>
      <c r="O3393" s="13" t="s" ph="1">
        <v>9899</v>
      </c>
      <c r="W3393" s="17" ph="1">
        <v>0</v>
      </c>
    </row>
    <row r="3394" spans="1:25" ht="22.5" customHeight="1" ph="1" x14ac:dyDescent="0.35">
      <c r="C3394" s="13" t="s" ph="1">
        <v>9750</v>
      </c>
      <c r="G3394" s="24" t="s" ph="1">
        <v>1837</v>
      </c>
      <c r="H3394" s="13" t="s" ph="1">
        <v>1822</v>
      </c>
      <c r="M3394" s="14" t="str" ph="1">
        <f>IFERROR(INDEX([1]!_born[生没年],
MATCH(I3394,[1]!_born[作],0)),"")</f>
        <v/>
      </c>
      <c r="N3394" s="14" t="str" ph="1">
        <f>IFERROR(INDEX([1]!_born[生没年],
MATCH(K3394,[1]!_born[作],0)),"")</f>
        <v/>
      </c>
      <c r="O3394" s="13" t="s" ph="1">
        <v>9900</v>
      </c>
      <c r="W3394" s="17" ph="1">
        <v>0</v>
      </c>
    </row>
    <row r="3395" spans="1:25" ht="22.5" customHeight="1" ph="1" x14ac:dyDescent="0.35">
      <c r="C3395" s="13" t="s" ph="1">
        <v>9750</v>
      </c>
      <c r="G3395" s="24" t="s" ph="1">
        <v>1837</v>
      </c>
      <c r="H3395" s="13" t="s" ph="1">
        <v>1822</v>
      </c>
      <c r="M3395" s="14" t="str" ph="1">
        <f>IFERROR(INDEX([1]!_born[生没年],
MATCH(I3395,[1]!_born[作],0)),"")</f>
        <v/>
      </c>
      <c r="N3395" s="14" t="str" ph="1">
        <f>IFERROR(INDEX([1]!_born[生没年],
MATCH(K3395,[1]!_born[作],0)),"")</f>
        <v/>
      </c>
      <c r="O3395" s="13" t="s" ph="1">
        <v>9901</v>
      </c>
      <c r="W3395" s="17" ph="1">
        <v>0</v>
      </c>
    </row>
    <row r="3396" spans="1:25" ht="22.5" customHeight="1" ph="1" x14ac:dyDescent="0.35">
      <c r="C3396" s="13" t="s" ph="1">
        <v>9750</v>
      </c>
      <c r="G3396" s="24" t="s" ph="1">
        <v>1837</v>
      </c>
      <c r="H3396" s="13" t="s" ph="1">
        <v>1822</v>
      </c>
      <c r="M3396" s="14" t="str" ph="1">
        <f>IFERROR(INDEX([1]!_born[生没年],
MATCH(I3396,[1]!_born[作],0)),"")</f>
        <v/>
      </c>
      <c r="N3396" s="14" t="str" ph="1">
        <f>IFERROR(INDEX([1]!_born[生没年],
MATCH(K3396,[1]!_born[作],0)),"")</f>
        <v/>
      </c>
      <c r="O3396" s="13" t="s" ph="1">
        <v>9902</v>
      </c>
      <c r="W3396" s="17" ph="1">
        <v>0</v>
      </c>
    </row>
    <row r="3397" spans="1:25" ht="22.5" customHeight="1" ph="1" x14ac:dyDescent="0.35">
      <c r="A3397" s="106" t="s" ph="1">
        <v>1838</v>
      </c>
      <c r="B3397" s="5" t="s" ph="1">
        <v>1725</v>
      </c>
      <c r="C3397" s="13" t="s" ph="1">
        <v>9749</v>
      </c>
      <c r="G3397" s="13" t="s" ph="1">
        <v>1266</v>
      </c>
      <c r="H3397" s="13" t="s" ph="1">
        <v>1792</v>
      </c>
      <c r="I3397" s="13" t="s" ph="1">
        <v>9903</v>
      </c>
      <c r="J3397" s="13" t="s" ph="1">
        <v>3616</v>
      </c>
      <c r="M3397" s="14" t="str" ph="1">
        <f>IFERROR(INDEX([1]!_born[生没年],
MATCH(I3397,[1]!_born[作],0)),"")</f>
        <v/>
      </c>
      <c r="N3397" s="14" t="str" ph="1">
        <f>IFERROR(INDEX([1]!_born[生没年],
MATCH(K3397,[1]!_born[作],0)),"")</f>
        <v/>
      </c>
      <c r="O3397" s="13" t="s" ph="1">
        <v>9904</v>
      </c>
      <c r="S3397" s="13" t="s" ph="1">
        <v>9905</v>
      </c>
      <c r="T3397" s="13" t="s" ph="1">
        <v>1839</v>
      </c>
      <c r="U3397" s="16" t="s" ph="1">
        <v>1840</v>
      </c>
      <c r="V3397" s="17" ph="1">
        <f>1800*1.05</f>
        <v>1890</v>
      </c>
      <c r="W3397" s="17" ph="1">
        <f>1800*1.05</f>
        <v>1890</v>
      </c>
      <c r="X3397" s="13" t="s" ph="1">
        <v>9906</v>
      </c>
    </row>
    <row r="3398" spans="1:25" ht="22.5" customHeight="1" ph="1" x14ac:dyDescent="0.35">
      <c r="A3398" s="106" t="s" ph="1">
        <v>1841</v>
      </c>
      <c r="B3398" s="5" t="s" ph="1">
        <v>1725</v>
      </c>
      <c r="C3398" s="13" t="s" ph="1">
        <v>9749</v>
      </c>
      <c r="D3398" s="123" ph="1">
        <v>1</v>
      </c>
      <c r="E3398" s="123" ph="1">
        <v>2</v>
      </c>
      <c r="G3398" s="13" t="s" ph="1">
        <v>1266</v>
      </c>
      <c r="H3398" s="13" t="s" ph="1">
        <v>1792</v>
      </c>
      <c r="I3398" s="13" t="s" ph="1">
        <v>9907</v>
      </c>
      <c r="J3398" s="13" t="s" ph="1">
        <v>3616</v>
      </c>
      <c r="K3398" s="13" t="s" ph="1">
        <v>9908</v>
      </c>
      <c r="L3398" s="13" t="s" ph="1">
        <v>9909</v>
      </c>
      <c r="M3398" s="14" t="str" ph="1">
        <f>IFERROR(INDEX([1]!_born[生没年],
MATCH(I3398,[1]!_born[作],0)),"")</f>
        <v/>
      </c>
      <c r="N3398" s="14" t="str" ph="1">
        <f>IFERROR(INDEX([1]!_born[生没年],
MATCH(K3398,[1]!_born[作],0)),"")</f>
        <v/>
      </c>
      <c r="O3398" s="13" t="s" ph="1">
        <v>9910</v>
      </c>
      <c r="R3398" s="16" t="s" ph="1">
        <v>1842</v>
      </c>
      <c r="S3398" s="13" t="s" ph="1">
        <v>9905</v>
      </c>
      <c r="T3398" s="13" t="s" ph="1">
        <v>1839</v>
      </c>
      <c r="U3398" s="16" t="s" ph="1">
        <v>1474</v>
      </c>
      <c r="V3398" s="17" ph="1">
        <f>3000*1.05</f>
        <v>3150</v>
      </c>
      <c r="W3398" s="17" ph="1">
        <f>3000*1.05</f>
        <v>3150</v>
      </c>
      <c r="X3398" s="13" t="s" ph="1">
        <v>9911</v>
      </c>
    </row>
    <row r="3399" spans="1:25" ht="22.5" customHeight="1" ph="1" x14ac:dyDescent="0.35">
      <c r="A3399" s="106" t="s" ph="1">
        <v>1843</v>
      </c>
      <c r="B3399" s="5" t="s" ph="1">
        <v>1725</v>
      </c>
      <c r="C3399" s="13" t="s" ph="1">
        <v>9749</v>
      </c>
      <c r="D3399" s="123" ph="1">
        <v>2</v>
      </c>
      <c r="E3399" s="123" ph="1">
        <v>2</v>
      </c>
      <c r="G3399" s="13" t="s" ph="1">
        <v>1266</v>
      </c>
      <c r="H3399" s="13" t="s" ph="1">
        <v>1792</v>
      </c>
      <c r="I3399" s="13" t="s" ph="1">
        <v>9907</v>
      </c>
      <c r="J3399" s="13" t="s" ph="1">
        <v>3616</v>
      </c>
      <c r="K3399" s="13" t="s" ph="1">
        <v>9908</v>
      </c>
      <c r="L3399" s="13" t="s" ph="1">
        <v>9909</v>
      </c>
      <c r="M3399" s="14" t="str" ph="1">
        <f>IFERROR(INDEX([1]!_born[生没年],
MATCH(I3399,[1]!_born[作],0)),"")</f>
        <v/>
      </c>
      <c r="N3399" s="14" t="str" ph="1">
        <f>IFERROR(INDEX([1]!_born[生没年],
MATCH(K3399,[1]!_born[作],0)),"")</f>
        <v/>
      </c>
      <c r="O3399" s="13" t="s" ph="1">
        <v>9912</v>
      </c>
      <c r="R3399" s="16" t="s" ph="1">
        <v>1844</v>
      </c>
      <c r="S3399" s="13" t="s" ph="1">
        <v>9905</v>
      </c>
      <c r="T3399" s="13" t="s" ph="1">
        <v>1839</v>
      </c>
      <c r="U3399" s="16" t="s" ph="1">
        <v>1474</v>
      </c>
      <c r="V3399" s="17" ph="1">
        <f>3000*1.05</f>
        <v>3150</v>
      </c>
      <c r="W3399" s="17" ph="1">
        <f>3000*1.05</f>
        <v>3150</v>
      </c>
      <c r="X3399" s="13" t="s" ph="1">
        <v>9911</v>
      </c>
    </row>
    <row r="3400" spans="1:25" ht="22.5" customHeight="1" ph="1" x14ac:dyDescent="0.35">
      <c r="A3400" s="106" t="s" ph="1">
        <v>1845</v>
      </c>
      <c r="B3400" s="5" t="s" ph="1">
        <v>1725</v>
      </c>
      <c r="C3400" s="13" t="s" ph="1">
        <v>9749</v>
      </c>
      <c r="G3400" s="13" t="s" ph="1">
        <v>130</v>
      </c>
      <c r="H3400" s="13" t="s" ph="1">
        <v>1792</v>
      </c>
      <c r="I3400" s="13" t="s" ph="1">
        <v>9913</v>
      </c>
      <c r="J3400" s="13" t="s" ph="1">
        <v>3616</v>
      </c>
      <c r="K3400" s="13" t="s" ph="1">
        <v>9908</v>
      </c>
      <c r="L3400" s="13" t="s" ph="1">
        <v>9909</v>
      </c>
      <c r="M3400" s="14" t="str" ph="1">
        <f>IFERROR(INDEX([1]!_born[生没年],
MATCH(I3400,[1]!_born[作],0)),"")</f>
        <v/>
      </c>
      <c r="N3400" s="14" t="str" ph="1">
        <f>IFERROR(INDEX([1]!_born[生没年],
MATCH(K3400,[1]!_born[作],0)),"")</f>
        <v/>
      </c>
      <c r="O3400" s="13" t="s" ph="1">
        <v>670</v>
      </c>
      <c r="R3400" s="16" t="s" ph="1">
        <v>1846</v>
      </c>
      <c r="S3400" s="13" t="s" ph="1">
        <v>1847</v>
      </c>
      <c r="T3400" s="13" t="s" ph="1">
        <v>1839</v>
      </c>
      <c r="U3400" s="16" t="s" ph="1">
        <v>887</v>
      </c>
      <c r="V3400" s="17" ph="1">
        <f>2000*1.05</f>
        <v>2100</v>
      </c>
      <c r="W3400" s="17" ph="1">
        <f>2000*1.05</f>
        <v>2100</v>
      </c>
      <c r="X3400" s="13" t="s" ph="1">
        <v>9911</v>
      </c>
    </row>
    <row r="3401" spans="1:25" ht="22.5" customHeight="1" ph="1" x14ac:dyDescent="0.35">
      <c r="A3401" s="106" t="s" ph="1">
        <v>2924</v>
      </c>
      <c r="B3401" s="5" t="s" ph="1">
        <v>1725</v>
      </c>
      <c r="C3401" s="13" t="s" ph="1">
        <v>9749</v>
      </c>
      <c r="G3401" s="13" t="s" ph="1">
        <v>43</v>
      </c>
      <c r="H3401" s="13" t="s" ph="1">
        <v>1850</v>
      </c>
      <c r="I3401" s="13" t="s" ph="1">
        <v>828</v>
      </c>
      <c r="K3401" s="13" t="s" ph="1">
        <v>9914</v>
      </c>
      <c r="M3401" s="14" t="str" ph="1">
        <f>IFERROR(INDEX([1]!_born[生没年],
MATCH(I3401,[1]!_born[作],0)),"")</f>
        <v/>
      </c>
      <c r="N3401" s="14" t="str" ph="1">
        <f>IFERROR(INDEX([1]!_born[生没年],
MATCH(K3401,[1]!_born[作],0)),"")</f>
        <v/>
      </c>
      <c r="O3401" s="13" t="s" ph="1">
        <v>9915</v>
      </c>
      <c r="R3401" s="16" t="s" ph="1">
        <v>2928</v>
      </c>
      <c r="S3401" s="13" t="s" ph="1">
        <v>9833</v>
      </c>
      <c r="T3401" s="13" t="s" ph="1">
        <v>9756</v>
      </c>
      <c r="U3401" s="16" ph="1">
        <v>42553</v>
      </c>
      <c r="V3401" s="17" ph="1">
        <f>6300*1.03</f>
        <v>6489</v>
      </c>
      <c r="W3401" s="17" ph="1">
        <v>1500</v>
      </c>
      <c r="X3401" s="13" t="s" ph="1">
        <v>9916</v>
      </c>
    </row>
    <row r="3402" spans="1:25" ht="22.5" customHeight="1" ph="1" x14ac:dyDescent="0.35">
      <c r="A3402" s="106" t="s" ph="1">
        <v>3008</v>
      </c>
      <c r="B3402" s="5" t="s" ph="1">
        <v>1725</v>
      </c>
      <c r="C3402" s="13" t="s" ph="1">
        <v>9749</v>
      </c>
      <c r="G3402" s="13" t="s" ph="1">
        <v>2927</v>
      </c>
      <c r="H3402" s="13" t="s" ph="1">
        <v>2926</v>
      </c>
      <c r="I3402" s="13" t="s" ph="1">
        <v>2925</v>
      </c>
      <c r="K3402" s="13" t="s" ph="1">
        <v>9917</v>
      </c>
      <c r="L3402" s="13" t="s" ph="1">
        <v>9918</v>
      </c>
      <c r="M3402" s="14" t="str" ph="1">
        <f>IFERROR(INDEX([1]!_born[生没年],
MATCH(I3402,[1]!_born[作],0)),"")</f>
        <v/>
      </c>
      <c r="N3402" s="14" t="str" ph="1">
        <f>IFERROR(INDEX([1]!_born[生没年],
MATCH(K3402,[1]!_born[作],0)),"")</f>
        <v/>
      </c>
      <c r="O3402" s="13" t="s" ph="1">
        <v>9919</v>
      </c>
      <c r="R3402" s="16" t="s" ph="1">
        <v>2928</v>
      </c>
      <c r="S3402" s="13" t="s" ph="1">
        <v>3009</v>
      </c>
      <c r="T3402" s="13" t="s" ph="1">
        <v>9756</v>
      </c>
      <c r="U3402" s="16" ph="1">
        <v>43572</v>
      </c>
      <c r="V3402" s="17" ph="1">
        <f>4000*1.05</f>
        <v>4200</v>
      </c>
      <c r="W3402" s="17" ph="1">
        <f>1480*0.8</f>
        <v>1184</v>
      </c>
      <c r="X3402" s="13" t="s" ph="1">
        <v>9920</v>
      </c>
    </row>
    <row r="3403" spans="1:25" ht="22.5" customHeight="1" ph="1" x14ac:dyDescent="0.35">
      <c r="C3403" s="13" t="s" ph="1">
        <v>9749</v>
      </c>
      <c r="G3403" s="13" t="s" ph="1">
        <v>1848</v>
      </c>
      <c r="H3403" s="13" t="s" ph="1">
        <v>1792</v>
      </c>
      <c r="I3403" s="13" t="s" ph="1">
        <v>9921</v>
      </c>
      <c r="M3403" s="14" t="str" ph="1">
        <f>IFERROR(INDEX([1]!_born[生没年],
MATCH(I3403,[1]!_born[作],0)),"")</f>
        <v/>
      </c>
      <c r="N3403" s="14" t="str" ph="1">
        <f>IFERROR(INDEX([1]!_born[生没年],
MATCH(K3403,[1]!_born[作],0)),"")</f>
        <v/>
      </c>
      <c r="O3403" s="13" t="s" ph="1">
        <v>9922</v>
      </c>
    </row>
    <row r="3404" spans="1:25" ht="22.5" customHeight="1" ph="1" x14ac:dyDescent="0.35">
      <c r="C3404" s="13" t="s" ph="1">
        <v>9749</v>
      </c>
      <c r="G3404" s="13" t="s" ph="1">
        <v>1848</v>
      </c>
      <c r="H3404" s="13" t="s" ph="1">
        <v>1792</v>
      </c>
      <c r="I3404" s="13" t="s" ph="1">
        <v>9921</v>
      </c>
      <c r="M3404" s="14" t="str" ph="1">
        <f>IFERROR(INDEX([1]!_born[生没年],
MATCH(I3404,[1]!_born[作],0)),"")</f>
        <v/>
      </c>
      <c r="N3404" s="14" t="str" ph="1">
        <f>IFERROR(INDEX([1]!_born[生没年],
MATCH(K3404,[1]!_born[作],0)),"")</f>
        <v/>
      </c>
      <c r="O3404" s="13" t="s" ph="1">
        <v>9923</v>
      </c>
    </row>
    <row r="3405" spans="1:25" ht="22.5" customHeight="1" ph="1" x14ac:dyDescent="0.35">
      <c r="C3405" s="13" t="s" ph="1">
        <v>9749</v>
      </c>
      <c r="G3405" s="13" t="s" ph="1">
        <v>1848</v>
      </c>
      <c r="H3405" s="13" t="s" ph="1">
        <v>1792</v>
      </c>
      <c r="I3405" s="13" t="s" ph="1">
        <v>9924</v>
      </c>
      <c r="M3405" s="14" t="str" ph="1">
        <f>IFERROR(INDEX([1]!_born[生没年],
MATCH(I3405,[1]!_born[作],0)),"")</f>
        <v/>
      </c>
      <c r="N3405" s="14" t="str" ph="1">
        <f>IFERROR(INDEX([1]!_born[生没年],
MATCH(K3405,[1]!_born[作],0)),"")</f>
        <v/>
      </c>
      <c r="O3405" s="13" t="s" ph="1">
        <v>595</v>
      </c>
      <c r="T3405" s="13" t="s" ph="1">
        <v>9777</v>
      </c>
    </row>
    <row r="3406" spans="1:25" ht="22.5" customHeight="1" ph="1" x14ac:dyDescent="0.35">
      <c r="C3406" s="13" t="s" ph="1">
        <v>9749</v>
      </c>
      <c r="D3406" s="123" ph="1">
        <v>1</v>
      </c>
      <c r="E3406" s="123" t="s" ph="1">
        <v>1225</v>
      </c>
      <c r="G3406" s="13" t="s" ph="1">
        <v>1848</v>
      </c>
      <c r="H3406" s="13" t="s" ph="1">
        <v>1792</v>
      </c>
      <c r="I3406" s="13" t="s" ph="1">
        <v>9925</v>
      </c>
      <c r="J3406" s="13" t="s" ph="1">
        <v>3616</v>
      </c>
      <c r="M3406" s="14" t="str" ph="1">
        <f>IFERROR(INDEX([1]!_born[生没年],
MATCH(I3406,[1]!_born[作],0)),"")</f>
        <v/>
      </c>
      <c r="N3406" s="14" t="str" ph="1">
        <f>IFERROR(INDEX([1]!_born[生没年],
MATCH(K3406,[1]!_born[作],0)),"")</f>
        <v/>
      </c>
      <c r="O3406" s="13" t="s" ph="1">
        <v>9926</v>
      </c>
      <c r="T3406" s="13" t="s" ph="1">
        <v>204</v>
      </c>
    </row>
    <row r="3407" spans="1:25" ht="22.5" customHeight="1" ph="1" x14ac:dyDescent="0.35">
      <c r="C3407" s="13" t="s" ph="1">
        <v>9749</v>
      </c>
      <c r="G3407" s="13" t="s" ph="1">
        <v>1848</v>
      </c>
      <c r="H3407" s="13" t="s" ph="1">
        <v>1792</v>
      </c>
      <c r="I3407" s="13" t="s" ph="1">
        <v>421</v>
      </c>
      <c r="M3407" s="14" t="str" ph="1">
        <f>IFERROR(INDEX([1]!_born[生没年],
MATCH(I3407,[1]!_born[作],0)),"")</f>
        <v/>
      </c>
      <c r="N3407" s="14" t="str" ph="1">
        <f>IFERROR(INDEX([1]!_born[生没年],
MATCH(K3407,[1]!_born[作],0)),"")</f>
        <v/>
      </c>
      <c r="O3407" s="13" t="s" ph="1">
        <v>421</v>
      </c>
      <c r="S3407" s="13" t="s" ph="1">
        <v>334</v>
      </c>
      <c r="T3407" s="13" t="s" ph="1">
        <v>9877</v>
      </c>
    </row>
    <row r="3408" spans="1:25" s="19" customFormat="1" ht="22.5" customHeight="1" ph="1" x14ac:dyDescent="0.35">
      <c r="A3408" s="106" ph="1"/>
      <c r="B3408" s="5" ph="1"/>
      <c r="C3408" s="19" t="s" ph="1">
        <v>9816</v>
      </c>
      <c r="D3408" s="124" ph="1">
        <v>1</v>
      </c>
      <c r="E3408" s="124" t="s" ph="1">
        <v>1225</v>
      </c>
      <c r="G3408" s="19" t="s" ph="1">
        <v>1848</v>
      </c>
      <c r="H3408" s="19" t="s" ph="1">
        <v>1792</v>
      </c>
      <c r="I3408" s="19" t="s" ph="1">
        <v>1743</v>
      </c>
      <c r="M3408" s="14" t="str" ph="1">
        <f>IFERROR(INDEX([1]!_born[生没年],
MATCH(I3408,[1]!_born[作],0)),"")</f>
        <v/>
      </c>
      <c r="N3408" s="14" t="str" ph="1">
        <f>IFERROR(INDEX([1]!_born[生没年],
MATCH(K3408,[1]!_born[作],0)),"")</f>
        <v/>
      </c>
      <c r="O3408" s="19" t="s" ph="1">
        <v>9927</v>
      </c>
      <c r="R3408" s="20" ph="1"/>
      <c r="S3408" s="19" t="s" ph="1">
        <v>9928</v>
      </c>
      <c r="U3408" s="20" ph="1"/>
      <c r="V3408" s="21" ph="1"/>
      <c r="W3408" s="21" ph="1"/>
      <c r="Y3408" s="19" t="s" ph="1">
        <v>9929</v>
      </c>
    </row>
    <row r="3409" spans="1:24" ht="22.5" customHeight="1" ph="1" x14ac:dyDescent="0.35">
      <c r="C3409" s="13" t="s" ph="1">
        <v>9749</v>
      </c>
      <c r="D3409" s="123" ph="1">
        <v>1</v>
      </c>
      <c r="E3409" s="123" t="s" ph="1">
        <v>1225</v>
      </c>
      <c r="G3409" s="13" t="s" ph="1">
        <v>1848</v>
      </c>
      <c r="H3409" s="13" t="s" ph="1">
        <v>1792</v>
      </c>
      <c r="I3409" s="13" t="s" ph="1">
        <v>9930</v>
      </c>
      <c r="J3409" s="13" t="s" ph="1">
        <v>3616</v>
      </c>
      <c r="M3409" s="14" t="str" ph="1">
        <f>IFERROR(INDEX([1]!_born[生没年],
MATCH(I3409,[1]!_born[作],0)),"")</f>
        <v/>
      </c>
      <c r="N3409" s="14" t="str" ph="1">
        <f>IFERROR(INDEX([1]!_born[生没年],
MATCH(K3409,[1]!_born[作],0)),"")</f>
        <v/>
      </c>
      <c r="O3409" s="13" t="s" ph="1">
        <v>9931</v>
      </c>
      <c r="S3409" s="13" t="s" ph="1">
        <v>205</v>
      </c>
      <c r="T3409" s="13" t="s" ph="1">
        <v>9777</v>
      </c>
      <c r="V3409" s="17" ph="1">
        <v>1200</v>
      </c>
    </row>
    <row r="3410" spans="1:24" ht="22.5" customHeight="1" ph="1" x14ac:dyDescent="0.35">
      <c r="C3410" s="13" t="s" ph="1">
        <v>9749</v>
      </c>
      <c r="G3410" s="13" t="s" ph="1">
        <v>1848</v>
      </c>
      <c r="H3410" s="13" t="s" ph="1">
        <v>1792</v>
      </c>
      <c r="I3410" s="13" t="s" ph="1">
        <v>9930</v>
      </c>
      <c r="J3410" s="13" t="s" ph="1">
        <v>3616</v>
      </c>
      <c r="M3410" s="14" t="str" ph="1">
        <f>IFERROR(INDEX([1]!_born[生没年],
MATCH(I3410,[1]!_born[作],0)),"")</f>
        <v/>
      </c>
      <c r="N3410" s="14" t="str" ph="1">
        <f>IFERROR(INDEX([1]!_born[生没年],
MATCH(K3410,[1]!_born[作],0)),"")</f>
        <v/>
      </c>
      <c r="O3410" s="13" t="s" ph="1">
        <v>9932</v>
      </c>
      <c r="S3410" s="13" t="s" ph="1">
        <v>206</v>
      </c>
      <c r="T3410" s="13" t="s" ph="1">
        <v>9777</v>
      </c>
      <c r="V3410" s="17" ph="1">
        <v>1200</v>
      </c>
    </row>
    <row r="3411" spans="1:24" ht="22.5" customHeight="1" ph="1" x14ac:dyDescent="0.35">
      <c r="C3411" s="13" t="s" ph="1">
        <v>9749</v>
      </c>
      <c r="G3411" s="13" t="s" ph="1">
        <v>1848</v>
      </c>
      <c r="H3411" s="13" t="s" ph="1">
        <v>1792</v>
      </c>
      <c r="I3411" s="13" t="s" ph="1">
        <v>9933</v>
      </c>
      <c r="M3411" s="14" t="str" ph="1">
        <f>IFERROR(INDEX([1]!_born[生没年],
MATCH(I3411,[1]!_born[作],0)),"")</f>
        <v/>
      </c>
      <c r="N3411" s="14" t="str" ph="1">
        <f>IFERROR(INDEX([1]!_born[生没年],
MATCH(K3411,[1]!_born[作],0)),"")</f>
        <v/>
      </c>
      <c r="O3411" s="15" t="s" ph="1">
        <v>9934</v>
      </c>
      <c r="T3411" s="13" t="s" ph="1">
        <v>9857</v>
      </c>
      <c r="V3411" s="17" ph="1">
        <v>1800</v>
      </c>
    </row>
    <row r="3412" spans="1:24" ht="22.5" customHeight="1" ph="1" x14ac:dyDescent="0.35">
      <c r="C3412" s="13" t="s" ph="1">
        <v>9750</v>
      </c>
      <c r="G3412" s="13" t="s" ph="1">
        <v>1848</v>
      </c>
      <c r="H3412" s="13" t="s" ph="1">
        <v>1792</v>
      </c>
      <c r="I3412" s="13" t="s" ph="1">
        <v>9935</v>
      </c>
      <c r="M3412" s="14" t="str" ph="1">
        <f>IFERROR(INDEX([1]!_born[生没年],
MATCH(I3412,[1]!_born[作],0)),"")</f>
        <v/>
      </c>
      <c r="N3412" s="14" t="str" ph="1">
        <f>IFERROR(INDEX([1]!_born[生没年],
MATCH(K3412,[1]!_born[作],0)),"")</f>
        <v/>
      </c>
      <c r="O3412" s="13" t="s" ph="1">
        <v>9936</v>
      </c>
      <c r="W3412" s="17" ph="1">
        <v>0</v>
      </c>
    </row>
    <row r="3413" spans="1:24" ht="22.5" customHeight="1" ph="1" x14ac:dyDescent="0.35">
      <c r="C3413" s="13" t="s" ph="1">
        <v>9750</v>
      </c>
      <c r="G3413" s="13" t="s" ph="1">
        <v>9937</v>
      </c>
      <c r="H3413" s="13" t="s" ph="1">
        <v>1792</v>
      </c>
      <c r="I3413" s="13" t="s" ph="1">
        <v>9938</v>
      </c>
      <c r="K3413" s="13" t="s" ph="1">
        <v>9939</v>
      </c>
      <c r="L3413" s="13" t="s" ph="1">
        <v>9760</v>
      </c>
      <c r="M3413" s="14" t="str" ph="1">
        <f>IFERROR(INDEX([1]!_born[生没年],
MATCH(I3413,[1]!_born[作],0)),"")</f>
        <v/>
      </c>
      <c r="N3413" s="14" t="str" ph="1">
        <f>IFERROR(INDEX([1]!_born[生没年],
MATCH(K3413,[1]!_born[作],0)),"")</f>
        <v/>
      </c>
      <c r="O3413" s="13" t="s" ph="1">
        <v>9940</v>
      </c>
      <c r="W3413" s="17" ph="1">
        <v>0</v>
      </c>
    </row>
    <row r="3414" spans="1:24" ht="22.5" customHeight="1" ph="1" x14ac:dyDescent="0.35">
      <c r="A3414" s="106" t="s" ph="1">
        <v>1849</v>
      </c>
      <c r="B3414" s="5" t="s" ph="1">
        <v>1725</v>
      </c>
      <c r="C3414" s="13" t="s" ph="1">
        <v>9749</v>
      </c>
      <c r="G3414" s="13" t="s" ph="1">
        <v>9941</v>
      </c>
      <c r="H3414" s="13" t="s" ph="1">
        <v>1850</v>
      </c>
      <c r="I3414" s="13" t="s" ph="1">
        <v>9907</v>
      </c>
      <c r="J3414" s="13" t="s" ph="1">
        <v>3616</v>
      </c>
      <c r="M3414" s="14" t="str" ph="1">
        <f>IFERROR(INDEX([1]!_born[生没年],
MATCH(I3414,[1]!_born[作],0)),"")</f>
        <v/>
      </c>
      <c r="N3414" s="14" t="str" ph="1">
        <f>IFERROR(INDEX([1]!_born[生没年],
MATCH(K3414,[1]!_born[作],0)),"")</f>
        <v/>
      </c>
      <c r="O3414" s="15" t="s" ph="1">
        <v>9942</v>
      </c>
      <c r="R3414" s="16" t="s" ph="1">
        <v>1328</v>
      </c>
      <c r="S3414" s="13" t="s" ph="1">
        <v>9943</v>
      </c>
      <c r="T3414" s="13" t="s" ph="1">
        <v>9756</v>
      </c>
      <c r="U3414" s="16" ph="1">
        <v>39563</v>
      </c>
      <c r="V3414" s="17" ph="1">
        <f>3400*1.05</f>
        <v>3570</v>
      </c>
      <c r="W3414" s="17" ph="1">
        <f>3400*1.05</f>
        <v>3570</v>
      </c>
      <c r="X3414" s="13" t="s" ph="1">
        <v>9944</v>
      </c>
    </row>
    <row r="3415" spans="1:24" ht="22.5" customHeight="1" ph="1" x14ac:dyDescent="0.35">
      <c r="C3415" s="13" t="s" ph="1">
        <v>9749</v>
      </c>
      <c r="G3415" s="13" t="s" ph="1">
        <v>9941</v>
      </c>
      <c r="H3415" s="13" t="s" ph="1">
        <v>1789</v>
      </c>
      <c r="I3415" s="13" t="s" ph="1">
        <v>9945</v>
      </c>
      <c r="J3415" s="13" t="s" ph="1">
        <v>3616</v>
      </c>
      <c r="M3415" s="14" t="str" ph="1">
        <f>IFERROR(INDEX([1]!_born[生没年],
MATCH(I3415,[1]!_born[作],0)),"")</f>
        <v/>
      </c>
      <c r="N3415" s="14" t="str" ph="1">
        <f>IFERROR(INDEX([1]!_born[生没年],
MATCH(K3415,[1]!_born[作],0)),"")</f>
        <v/>
      </c>
      <c r="O3415" s="15" t="s" ph="1">
        <v>9946</v>
      </c>
      <c r="T3415" s="13" t="s" ph="1">
        <v>9759</v>
      </c>
    </row>
    <row r="3416" spans="1:24" ht="22.5" customHeight="1" ph="1" x14ac:dyDescent="0.35">
      <c r="C3416" s="13" t="s" ph="1">
        <v>9749</v>
      </c>
      <c r="G3416" s="13" t="s" ph="1">
        <v>9941</v>
      </c>
      <c r="H3416" s="13" t="s" ph="1">
        <v>1789</v>
      </c>
      <c r="I3416" s="13" t="s" ph="1">
        <v>9947</v>
      </c>
      <c r="J3416" s="13" t="s" ph="1">
        <v>3616</v>
      </c>
      <c r="M3416" s="14" t="str" ph="1">
        <f>IFERROR(INDEX([1]!_born[生没年],
MATCH(I3416,[1]!_born[作],0)),"")</f>
        <v/>
      </c>
      <c r="N3416" s="14" t="str" ph="1">
        <f>IFERROR(INDEX([1]!_born[生没年],
MATCH(K3416,[1]!_born[作],0)),"")</f>
        <v/>
      </c>
      <c r="O3416" s="13" t="s" ph="1">
        <v>9948</v>
      </c>
      <c r="T3416" s="13" t="s" ph="1">
        <v>9949</v>
      </c>
    </row>
    <row r="3417" spans="1:24" ht="22.5" customHeight="1" ph="1" x14ac:dyDescent="0.35">
      <c r="C3417" s="13" t="s" ph="1">
        <v>9749</v>
      </c>
      <c r="G3417" s="13" t="s" ph="1">
        <v>9941</v>
      </c>
      <c r="H3417" s="13" t="s" ph="1">
        <v>1789</v>
      </c>
      <c r="I3417" s="13" t="s" ph="1">
        <v>9950</v>
      </c>
      <c r="J3417" s="13" t="s" ph="1">
        <v>3616</v>
      </c>
      <c r="M3417" s="14" t="str" ph="1">
        <f>IFERROR(INDEX([1]!_born[生没年],
MATCH(I3417,[1]!_born[作],0)),"")</f>
        <v/>
      </c>
      <c r="N3417" s="14" t="str" ph="1">
        <f>IFERROR(INDEX([1]!_born[生没年],
MATCH(K3417,[1]!_born[作],0)),"")</f>
        <v/>
      </c>
      <c r="O3417" s="13" t="s" ph="1">
        <v>9951</v>
      </c>
      <c r="S3417" s="13" t="s" ph="1">
        <v>1289</v>
      </c>
      <c r="T3417" s="13" t="s" ph="1">
        <v>9859</v>
      </c>
    </row>
    <row r="3418" spans="1:24" ht="22.5" customHeight="1" ph="1" x14ac:dyDescent="0.35">
      <c r="A3418" s="106" t="s" ph="1">
        <v>2617</v>
      </c>
      <c r="B3418" s="5" t="s" ph="1">
        <v>2618</v>
      </c>
      <c r="C3418" s="13" t="s" ph="1">
        <v>9952</v>
      </c>
      <c r="G3418" s="13" t="s" ph="1">
        <v>9941</v>
      </c>
      <c r="H3418" s="13" t="s" ph="1">
        <v>1789</v>
      </c>
      <c r="I3418" s="13" t="s" ph="1">
        <v>9953</v>
      </c>
      <c r="M3418" s="14" t="str" ph="1">
        <f>IFERROR(INDEX([1]!_born[生没年],
MATCH(I3418,[1]!_born[作],0)),"")</f>
        <v/>
      </c>
      <c r="N3418" s="14" t="str" ph="1">
        <f>IFERROR(INDEX([1]!_born[生没年],
MATCH(K3418,[1]!_born[作],0)),"")</f>
        <v/>
      </c>
      <c r="O3418" s="13" t="s" ph="1">
        <v>9954</v>
      </c>
      <c r="R3418" s="16" ph="1">
        <v>33415</v>
      </c>
      <c r="S3418" s="13" t="s" ph="1">
        <v>9955</v>
      </c>
      <c r="T3418" s="13" t="s" ph="1">
        <v>9956</v>
      </c>
      <c r="U3418" s="16" ph="1">
        <v>41019</v>
      </c>
      <c r="V3418" s="17" ph="1">
        <f>874*1.03</f>
        <v>900.22</v>
      </c>
      <c r="W3418" s="17" ph="1">
        <v>420</v>
      </c>
      <c r="X3418" s="13" t="s" ph="1">
        <v>3792</v>
      </c>
    </row>
    <row r="3419" spans="1:24" ht="22.5" customHeight="1" ph="1" x14ac:dyDescent="0.35">
      <c r="C3419" s="13" t="s" ph="1">
        <v>9952</v>
      </c>
      <c r="G3419" s="13" t="s" ph="1">
        <v>9941</v>
      </c>
      <c r="H3419" s="13" t="s" ph="1">
        <v>1789</v>
      </c>
      <c r="I3419" s="13" t="s" ph="1">
        <v>828</v>
      </c>
      <c r="M3419" s="14" t="str" ph="1">
        <f>IFERROR(INDEX([1]!_born[生没年],
MATCH(I3419,[1]!_born[作],0)),"")</f>
        <v/>
      </c>
      <c r="N3419" s="14" t="str" ph="1">
        <f>IFERROR(INDEX([1]!_born[生没年],
MATCH(K3419,[1]!_born[作],0)),"")</f>
        <v/>
      </c>
      <c r="O3419" s="13" t="s" ph="1">
        <v>9957</v>
      </c>
      <c r="R3419" s="16" ph="1">
        <v>21002</v>
      </c>
      <c r="S3419" s="13" t="s" ph="1">
        <v>9958</v>
      </c>
      <c r="T3419" s="13" t="s" ph="1">
        <v>4723</v>
      </c>
      <c r="U3419" s="16" ph="1">
        <v>41019</v>
      </c>
      <c r="W3419" s="17" ph="1">
        <v>200</v>
      </c>
      <c r="X3419" s="13" t="s" ph="1">
        <v>3792</v>
      </c>
    </row>
    <row r="3420" spans="1:24" ht="22.5" customHeight="1" ph="1" x14ac:dyDescent="0.35">
      <c r="A3420" s="106" t="s" ph="1">
        <v>1851</v>
      </c>
      <c r="B3420" s="5" t="s" ph="1">
        <v>1794</v>
      </c>
      <c r="C3420" s="13" t="s" ph="1">
        <v>9824</v>
      </c>
      <c r="G3420" s="13" t="s" ph="1">
        <v>1788</v>
      </c>
      <c r="H3420" s="13" t="s" ph="1">
        <v>1792</v>
      </c>
      <c r="I3420" s="13" t="s" ph="1">
        <v>9959</v>
      </c>
      <c r="M3420" s="14" t="str" ph="1">
        <f>IFERROR(INDEX([1]!_born[生没年],
MATCH(I3420,[1]!_born[作],0)),"")</f>
        <v/>
      </c>
      <c r="N3420" s="14" t="str" ph="1">
        <f>IFERROR(INDEX([1]!_born[生没年],
MATCH(K3420,[1]!_born[作],0)),"")</f>
        <v/>
      </c>
      <c r="O3420" s="13" t="s" ph="1">
        <v>9960</v>
      </c>
      <c r="T3420" s="13" t="s" ph="1">
        <v>9961</v>
      </c>
      <c r="U3420" s="16" t="s" ph="1">
        <v>1430</v>
      </c>
      <c r="V3420" s="17" ph="1">
        <f>972*1.05-1</f>
        <v>1019.6</v>
      </c>
      <c r="W3420" s="17" ph="1">
        <f>972*1.05-1</f>
        <v>1019.6</v>
      </c>
      <c r="X3420" s="13" t="s" ph="1">
        <v>9825</v>
      </c>
    </row>
    <row r="3421" spans="1:24" ht="22.5" customHeight="1" ph="1" x14ac:dyDescent="0.35">
      <c r="A3421" s="106" t="s" ph="1">
        <v>1852</v>
      </c>
      <c r="B3421" s="5" t="s" ph="1">
        <v>1794</v>
      </c>
      <c r="C3421" s="13" t="s" ph="1">
        <v>9824</v>
      </c>
      <c r="G3421" s="13" t="s" ph="1">
        <v>1788</v>
      </c>
      <c r="H3421" s="13" t="s" ph="1">
        <v>1792</v>
      </c>
      <c r="I3421" s="13" t="s" ph="1">
        <v>9959</v>
      </c>
      <c r="M3421" s="14" t="str" ph="1">
        <f>IFERROR(INDEX([1]!_born[生没年],
MATCH(I3421,[1]!_born[作],0)),"")</f>
        <v/>
      </c>
      <c r="N3421" s="14" t="str" ph="1">
        <f>IFERROR(INDEX([1]!_born[生没年],
MATCH(K3421,[1]!_born[作],0)),"")</f>
        <v/>
      </c>
      <c r="O3421" s="13" t="s" ph="1">
        <v>9962</v>
      </c>
      <c r="T3421" s="13" t="s" ph="1">
        <v>9961</v>
      </c>
      <c r="U3421" s="16" t="s" ph="1">
        <v>1430</v>
      </c>
      <c r="V3421" s="17" ph="1">
        <f>953*1.05-1</f>
        <v>999.65000000000009</v>
      </c>
      <c r="W3421" s="17" ph="1">
        <f>953*1.05-1</f>
        <v>999.65000000000009</v>
      </c>
      <c r="X3421" s="13" t="s" ph="1">
        <v>9825</v>
      </c>
    </row>
    <row r="3422" spans="1:24" ht="22.5" customHeight="1" ph="1" x14ac:dyDescent="0.35">
      <c r="C3422" s="13" t="s" ph="1">
        <v>9749</v>
      </c>
      <c r="D3422" s="123" ph="1">
        <v>1</v>
      </c>
      <c r="E3422" s="123" t="s" ph="1">
        <v>1225</v>
      </c>
      <c r="G3422" s="13" t="s" ph="1">
        <v>9941</v>
      </c>
      <c r="H3422" s="13" t="s" ph="1">
        <v>1789</v>
      </c>
      <c r="I3422" s="13" t="s" ph="1">
        <v>1853</v>
      </c>
      <c r="M3422" s="14" t="str" ph="1">
        <f>IFERROR(INDEX([1]!_born[生没年],
MATCH(I3422,[1]!_born[作],0)),"")</f>
        <v/>
      </c>
      <c r="N3422" s="14" t="str" ph="1">
        <f>IFERROR(INDEX([1]!_born[生没年],
MATCH(K3422,[1]!_born[作],0)),"")</f>
        <v/>
      </c>
      <c r="O3422" s="13" t="s" ph="1">
        <v>9963</v>
      </c>
      <c r="T3422" s="13" t="s" ph="1">
        <v>1853</v>
      </c>
    </row>
    <row r="3423" spans="1:24" ht="22.5" customHeight="1" ph="1" x14ac:dyDescent="0.35">
      <c r="C3423" s="13" t="s" ph="1">
        <v>9749</v>
      </c>
      <c r="D3423" s="123" ph="1">
        <v>2</v>
      </c>
      <c r="E3423" s="123" t="s" ph="1">
        <v>1225</v>
      </c>
      <c r="G3423" s="13" t="s" ph="1">
        <v>9941</v>
      </c>
      <c r="H3423" s="13" t="s" ph="1">
        <v>1789</v>
      </c>
      <c r="I3423" s="13" t="s" ph="1">
        <v>1853</v>
      </c>
      <c r="M3423" s="14" t="str" ph="1">
        <f>IFERROR(INDEX([1]!_born[生没年],
MATCH(I3423,[1]!_born[作],0)),"")</f>
        <v/>
      </c>
      <c r="N3423" s="14" t="str" ph="1">
        <f>IFERROR(INDEX([1]!_born[生没年],
MATCH(K3423,[1]!_born[作],0)),"")</f>
        <v/>
      </c>
      <c r="O3423" s="13" t="s" ph="1">
        <v>9964</v>
      </c>
      <c r="T3423" s="13" t="s" ph="1">
        <v>1853</v>
      </c>
    </row>
    <row r="3424" spans="1:24" ht="22.5" customHeight="1" ph="1" x14ac:dyDescent="0.35">
      <c r="C3424" s="13" t="s" ph="1">
        <v>9750</v>
      </c>
      <c r="G3424" s="13" t="s" ph="1">
        <v>9941</v>
      </c>
      <c r="H3424" s="13" t="s" ph="1">
        <v>1789</v>
      </c>
      <c r="I3424" s="13" t="s" ph="1">
        <v>9965</v>
      </c>
      <c r="K3424" s="13" t="s" ph="1">
        <v>9966</v>
      </c>
      <c r="L3424" s="13" t="s" ph="1">
        <v>9760</v>
      </c>
      <c r="M3424" s="14" t="str" ph="1">
        <f>IFERROR(INDEX([1]!_born[生没年],
MATCH(I3424,[1]!_born[作],0)),"")</f>
        <v/>
      </c>
      <c r="N3424" s="14" t="str" ph="1">
        <f>IFERROR(INDEX([1]!_born[生没年],
MATCH(K3424,[1]!_born[作],0)),"")</f>
        <v/>
      </c>
      <c r="O3424" s="15" t="s" ph="1">
        <v>9967</v>
      </c>
      <c r="S3424" s="13" t="s" ph="1">
        <v>9968</v>
      </c>
      <c r="W3424" s="17" ph="1">
        <v>0</v>
      </c>
    </row>
    <row r="3425" spans="3:24" ht="22.5" customHeight="1" ph="1" x14ac:dyDescent="0.35">
      <c r="C3425" s="13" t="s" ph="1">
        <v>9750</v>
      </c>
      <c r="G3425" s="13" t="s" ph="1">
        <v>9941</v>
      </c>
      <c r="H3425" s="13" t="s" ph="1">
        <v>1789</v>
      </c>
      <c r="I3425" s="13" t="s" ph="1">
        <v>9965</v>
      </c>
      <c r="K3425" s="13" t="s" ph="1">
        <v>9969</v>
      </c>
      <c r="L3425" s="13" t="s" ph="1">
        <v>9760</v>
      </c>
      <c r="M3425" s="14" t="str" ph="1">
        <f>IFERROR(INDEX([1]!_born[生没年],
MATCH(I3425,[1]!_born[作],0)),"")</f>
        <v/>
      </c>
      <c r="N3425" s="14" t="str" ph="1">
        <f>IFERROR(INDEX([1]!_born[生没年],
MATCH(K3425,[1]!_born[作],0)),"")</f>
        <v/>
      </c>
      <c r="O3425" s="15" t="s" ph="1">
        <v>9970</v>
      </c>
      <c r="S3425" s="13" t="s" ph="1">
        <v>9968</v>
      </c>
      <c r="W3425" s="17" ph="1">
        <v>0</v>
      </c>
    </row>
    <row r="3426" spans="3:24" ht="22.5" customHeight="1" ph="1" x14ac:dyDescent="0.35">
      <c r="C3426" s="13" t="s" ph="1">
        <v>9750</v>
      </c>
      <c r="G3426" s="13" t="s" ph="1">
        <v>9941</v>
      </c>
      <c r="H3426" s="13" t="s" ph="1">
        <v>1789</v>
      </c>
      <c r="I3426" s="13" t="s" ph="1">
        <v>9971</v>
      </c>
      <c r="K3426" s="13" t="s" ph="1">
        <v>9972</v>
      </c>
      <c r="L3426" s="13" t="s" ph="1">
        <v>9760</v>
      </c>
      <c r="M3426" s="14" t="str" ph="1">
        <f>IFERROR(INDEX([1]!_born[生没年],
MATCH(I3426,[1]!_born[作],0)),"")</f>
        <v/>
      </c>
      <c r="N3426" s="14" t="str" ph="1">
        <f>IFERROR(INDEX([1]!_born[生没年],
MATCH(K3426,[1]!_born[作],0)),"")</f>
        <v/>
      </c>
      <c r="O3426" s="13" t="s" ph="1">
        <v>9973</v>
      </c>
      <c r="S3426" s="13" t="s" ph="1">
        <v>9968</v>
      </c>
      <c r="W3426" s="17" ph="1">
        <v>0</v>
      </c>
    </row>
    <row r="3427" spans="3:24" ht="22.5" customHeight="1" ph="1" x14ac:dyDescent="0.35">
      <c r="C3427" s="13" t="s" ph="1">
        <v>9750</v>
      </c>
      <c r="G3427" s="13" t="s" ph="1">
        <v>9941</v>
      </c>
      <c r="H3427" s="13" t="s" ph="1">
        <v>1789</v>
      </c>
      <c r="I3427" s="13" t="s" ph="1">
        <v>9974</v>
      </c>
      <c r="K3427" s="13" t="s" ph="1">
        <v>9975</v>
      </c>
      <c r="L3427" s="13" t="s" ph="1">
        <v>9760</v>
      </c>
      <c r="M3427" s="14" t="str" ph="1">
        <f>IFERROR(INDEX([1]!_born[生没年],
MATCH(I3427,[1]!_born[作],0)),"")</f>
        <v/>
      </c>
      <c r="N3427" s="14" t="str" ph="1">
        <f>IFERROR(INDEX([1]!_born[生没年],
MATCH(K3427,[1]!_born[作],0)),"")</f>
        <v/>
      </c>
      <c r="O3427" s="13" t="s" ph="1">
        <v>9976</v>
      </c>
      <c r="S3427" s="13" t="s" ph="1">
        <v>9977</v>
      </c>
      <c r="W3427" s="17" ph="1">
        <v>0</v>
      </c>
    </row>
    <row r="3428" spans="3:24" ht="22.5" customHeight="1" ph="1" x14ac:dyDescent="0.35">
      <c r="C3428" s="13" t="s" ph="1">
        <v>9750</v>
      </c>
      <c r="G3428" s="13" t="s" ph="1">
        <v>9941</v>
      </c>
      <c r="H3428" s="13" t="s" ph="1">
        <v>1789</v>
      </c>
      <c r="I3428" s="13" t="s" ph="1">
        <v>9978</v>
      </c>
      <c r="K3428" s="13" t="s" ph="1">
        <v>9979</v>
      </c>
      <c r="L3428" s="13" t="s" ph="1">
        <v>9760</v>
      </c>
      <c r="M3428" s="14" t="str" ph="1">
        <f>IFERROR(INDEX([1]!_born[生没年],
MATCH(I3428,[1]!_born[作],0)),"")</f>
        <v/>
      </c>
      <c r="N3428" s="14" t="str" ph="1">
        <f>IFERROR(INDEX([1]!_born[生没年],
MATCH(K3428,[1]!_born[作],0)),"")</f>
        <v/>
      </c>
      <c r="O3428" s="13" t="s" ph="1">
        <v>9980</v>
      </c>
      <c r="S3428" s="13" t="s" ph="1">
        <v>9981</v>
      </c>
      <c r="W3428" s="17" ph="1">
        <v>0</v>
      </c>
    </row>
    <row r="3429" spans="3:24" ht="22.5" customHeight="1" ph="1" x14ac:dyDescent="0.35">
      <c r="C3429" s="13" t="s" ph="1">
        <v>9750</v>
      </c>
      <c r="G3429" s="13" t="s" ph="1">
        <v>9941</v>
      </c>
      <c r="H3429" s="13" t="s" ph="1">
        <v>1850</v>
      </c>
      <c r="I3429" s="13" t="s" ph="1">
        <v>9982</v>
      </c>
      <c r="K3429" s="13" t="s" ph="1">
        <v>9982</v>
      </c>
      <c r="L3429" s="13" t="s" ph="1">
        <v>9760</v>
      </c>
      <c r="M3429" s="14" t="str" ph="1">
        <f>IFERROR(INDEX([1]!_born[生没年],
MATCH(I3429,[1]!_born[作],0)),"")</f>
        <v/>
      </c>
      <c r="N3429" s="14" t="str" ph="1">
        <f>IFERROR(INDEX([1]!_born[生没年],
MATCH(K3429,[1]!_born[作],0)),"")</f>
        <v/>
      </c>
      <c r="O3429" s="13" t="s" ph="1">
        <v>9983</v>
      </c>
      <c r="U3429" s="16" t="s" ph="1">
        <v>1474</v>
      </c>
      <c r="W3429" s="17" ph="1">
        <v>0</v>
      </c>
    </row>
    <row r="3430" spans="3:24" ht="22.5" customHeight="1" ph="1" x14ac:dyDescent="0.35">
      <c r="C3430" s="13" t="s" ph="1">
        <v>1285</v>
      </c>
      <c r="G3430" s="13" t="s" ph="1">
        <v>9824</v>
      </c>
      <c r="I3430" s="13" t="s" ph="1">
        <v>9984</v>
      </c>
      <c r="M3430" s="14" t="str" ph="1">
        <f>IFERROR(INDEX([1]!_born[生没年],
MATCH(I3430,[1]!_born[作],0)),"")</f>
        <v/>
      </c>
      <c r="N3430" s="14" t="str" ph="1">
        <f>IFERROR(INDEX([1]!_born[生没年],
MATCH(K3430,[1]!_born[作],0)),"")</f>
        <v/>
      </c>
      <c r="O3430" s="13" t="s" ph="1">
        <v>9985</v>
      </c>
      <c r="T3430" s="13" t="s" ph="1">
        <v>4359</v>
      </c>
      <c r="V3430" s="17" ph="1">
        <f>1500*1.05</f>
        <v>1575</v>
      </c>
    </row>
    <row r="3431" spans="3:24" ht="22.5" customHeight="1" ph="1" x14ac:dyDescent="0.35">
      <c r="C3431" s="13" t="s" ph="1">
        <v>1285</v>
      </c>
      <c r="D3431" s="123" ph="1">
        <v>1</v>
      </c>
      <c r="E3431" s="123" t="s" ph="1">
        <v>1225</v>
      </c>
      <c r="G3431" s="13" t="s" ph="1">
        <v>9824</v>
      </c>
      <c r="I3431" s="13" t="s" ph="1">
        <v>9986</v>
      </c>
      <c r="J3431" s="13" t="s" ph="1">
        <v>3752</v>
      </c>
      <c r="M3431" s="14" t="str" ph="1">
        <f>IFERROR(INDEX([1]!_born[生没年],
MATCH(I3431,[1]!_born[作],0)),"")</f>
        <v/>
      </c>
      <c r="N3431" s="14" t="str" ph="1">
        <f>IFERROR(INDEX([1]!_born[生没年],
MATCH(K3431,[1]!_born[作],0)),"")</f>
        <v/>
      </c>
      <c r="O3431" s="13" t="s" ph="1">
        <v>9987</v>
      </c>
      <c r="T3431" s="13" t="s" ph="1">
        <v>9988</v>
      </c>
      <c r="V3431" s="17" ph="1">
        <v>927</v>
      </c>
      <c r="X3431" s="13" t="s" ph="1">
        <v>5318</v>
      </c>
    </row>
    <row r="3432" spans="3:24" ht="22.5" customHeight="1" ph="1" x14ac:dyDescent="0.35">
      <c r="C3432" s="13" t="s" ph="1">
        <v>9749</v>
      </c>
      <c r="G3432" s="13" t="s" ph="1">
        <v>9824</v>
      </c>
      <c r="I3432" s="13" t="s" ph="1">
        <v>1854</v>
      </c>
      <c r="M3432" s="14" t="str" ph="1">
        <f>IFERROR(INDEX([1]!_born[生没年],
MATCH(I3432,[1]!_born[作],0)),"")</f>
        <v/>
      </c>
      <c r="N3432" s="14" t="str" ph="1">
        <f>IFERROR(INDEX([1]!_born[生没年],
MATCH(K3432,[1]!_born[作],0)),"")</f>
        <v/>
      </c>
      <c r="O3432" s="13" t="s" ph="1">
        <v>72</v>
      </c>
      <c r="S3432" s="13" t="s" ph="1">
        <v>1855</v>
      </c>
      <c r="V3432" s="17" ph="1">
        <v>3.95</v>
      </c>
    </row>
    <row r="3433" spans="3:24" ht="22.5" customHeight="1" ph="1" x14ac:dyDescent="0.35">
      <c r="C3433" s="13" t="s" ph="1">
        <v>9749</v>
      </c>
      <c r="G3433" s="13" t="s" ph="1">
        <v>9824</v>
      </c>
      <c r="I3433" s="13" t="s" ph="1">
        <v>79</v>
      </c>
      <c r="M3433" s="14" t="str" ph="1">
        <f>IFERROR(INDEX([1]!_born[生没年],
MATCH(I3433,[1]!_born[作],0)),"")</f>
        <v/>
      </c>
      <c r="N3433" s="14" t="str" ph="1">
        <f>IFERROR(INDEX([1]!_born[生没年],
MATCH(K3433,[1]!_born[作],0)),"")</f>
        <v/>
      </c>
      <c r="O3433" s="13" t="s" ph="1">
        <v>68</v>
      </c>
      <c r="V3433" s="17" ph="1">
        <v>3.95</v>
      </c>
    </row>
    <row r="3434" spans="3:24" ht="22.5" customHeight="1" ph="1" x14ac:dyDescent="0.35">
      <c r="C3434" s="13" t="s" ph="1">
        <v>9749</v>
      </c>
      <c r="G3434" s="13" t="s" ph="1">
        <v>9824</v>
      </c>
      <c r="I3434" s="13" t="s" ph="1">
        <v>79</v>
      </c>
      <c r="M3434" s="14" t="str" ph="1">
        <f>IFERROR(INDEX([1]!_born[生没年],
MATCH(I3434,[1]!_born[作],0)),"")</f>
        <v/>
      </c>
      <c r="N3434" s="14" t="str" ph="1">
        <f>IFERROR(INDEX([1]!_born[生没年],
MATCH(K3434,[1]!_born[作],0)),"")</f>
        <v/>
      </c>
      <c r="O3434" s="22" t="s" ph="1">
        <v>695</v>
      </c>
      <c r="V3434" s="17" ph="1">
        <v>3.95</v>
      </c>
    </row>
    <row r="3435" spans="3:24" ht="22.5" customHeight="1" ph="1" x14ac:dyDescent="0.35">
      <c r="C3435" s="13" t="s" ph="1">
        <v>9749</v>
      </c>
      <c r="G3435" s="13" t="s" ph="1">
        <v>9824</v>
      </c>
      <c r="I3435" s="13" t="s" ph="1">
        <v>79</v>
      </c>
      <c r="M3435" s="14" t="str" ph="1">
        <f>IFERROR(INDEX([1]!_born[生没年],
MATCH(I3435,[1]!_born[作],0)),"")</f>
        <v/>
      </c>
      <c r="N3435" s="14" t="str" ph="1">
        <f>IFERROR(INDEX([1]!_born[生没年],
MATCH(K3435,[1]!_born[作],0)),"")</f>
        <v/>
      </c>
      <c r="O3435" s="22" t="s" ph="1">
        <v>696</v>
      </c>
      <c r="V3435" s="17" ph="1">
        <v>3.5</v>
      </c>
    </row>
    <row r="3436" spans="3:24" ht="22.5" customHeight="1" ph="1" x14ac:dyDescent="0.35">
      <c r="C3436" s="13" t="s" ph="1">
        <v>9749</v>
      </c>
      <c r="G3436" s="13" t="s" ph="1">
        <v>9824</v>
      </c>
      <c r="I3436" s="13" t="s" ph="1">
        <v>1856</v>
      </c>
      <c r="M3436" s="14" t="str" ph="1">
        <f>IFERROR(INDEX([1]!_born[生没年],
MATCH(I3436,[1]!_born[作],0)),"")</f>
        <v/>
      </c>
      <c r="N3436" s="14" t="str" ph="1">
        <f>IFERROR(INDEX([1]!_born[生没年],
MATCH(K3436,[1]!_born[作],0)),"")</f>
        <v/>
      </c>
      <c r="O3436" s="13" t="s" ph="1">
        <v>379</v>
      </c>
      <c r="V3436" s="17" ph="1">
        <v>3.5</v>
      </c>
    </row>
    <row r="3437" spans="3:24" ht="22.5" customHeight="1" ph="1" x14ac:dyDescent="0.35">
      <c r="C3437" s="13" t="s" ph="1">
        <v>9749</v>
      </c>
      <c r="G3437" s="13" t="s" ph="1">
        <v>9824</v>
      </c>
      <c r="I3437" s="13" t="s" ph="1">
        <v>1856</v>
      </c>
      <c r="M3437" s="14" t="str" ph="1">
        <f>IFERROR(INDEX([1]!_born[生没年],
MATCH(I3437,[1]!_born[作],0)),"")</f>
        <v/>
      </c>
      <c r="N3437" s="14" t="str" ph="1">
        <f>IFERROR(INDEX([1]!_born[生没年],
MATCH(K3437,[1]!_born[作],0)),"")</f>
        <v/>
      </c>
      <c r="O3437" s="13" t="s" ph="1">
        <v>139</v>
      </c>
      <c r="V3437" s="17" ph="1">
        <v>3.5</v>
      </c>
    </row>
    <row r="3438" spans="3:24" ht="22.5" customHeight="1" ph="1" x14ac:dyDescent="0.35">
      <c r="C3438" s="13" t="s" ph="1">
        <v>9749</v>
      </c>
      <c r="G3438" s="13" t="s" ph="1">
        <v>9824</v>
      </c>
      <c r="I3438" s="13" t="s" ph="1">
        <v>1857</v>
      </c>
      <c r="M3438" s="14" t="str" ph="1">
        <f>IFERROR(INDEX([1]!_born[生没年],
MATCH(I3438,[1]!_born[作],0)),"")</f>
        <v/>
      </c>
      <c r="N3438" s="14" t="str" ph="1">
        <f>IFERROR(INDEX([1]!_born[生没年],
MATCH(K3438,[1]!_born[作],0)),"")</f>
        <v/>
      </c>
      <c r="O3438" s="13" t="s" ph="1">
        <v>378</v>
      </c>
      <c r="S3438" s="13" t="s" ph="1">
        <v>1858</v>
      </c>
      <c r="V3438" s="17" ph="1">
        <v>3.95</v>
      </c>
    </row>
    <row r="3439" spans="3:24" ht="22.5" customHeight="1" ph="1" x14ac:dyDescent="0.35">
      <c r="C3439" s="13" t="s" ph="1">
        <v>9749</v>
      </c>
      <c r="G3439" s="13" t="s" ph="1">
        <v>9824</v>
      </c>
      <c r="I3439" s="13" t="s" ph="1">
        <v>1857</v>
      </c>
      <c r="M3439" s="14" t="str" ph="1">
        <f>IFERROR(INDEX([1]!_born[生没年],
MATCH(I3439,[1]!_born[作],0)),"")</f>
        <v/>
      </c>
      <c r="N3439" s="14" t="str" ph="1">
        <f>IFERROR(INDEX([1]!_born[生没年],
MATCH(K3439,[1]!_born[作],0)),"")</f>
        <v/>
      </c>
      <c r="O3439" s="13" t="s" ph="1">
        <v>140</v>
      </c>
      <c r="V3439" s="17" ph="1">
        <v>3.95</v>
      </c>
    </row>
    <row r="3440" spans="3:24" ht="22.5" customHeight="1" ph="1" x14ac:dyDescent="0.35">
      <c r="C3440" s="13" t="s" ph="1">
        <v>9749</v>
      </c>
      <c r="G3440" s="13" t="s" ph="1">
        <v>9824</v>
      </c>
      <c r="M3440" s="14" t="str" ph="1">
        <f>IFERROR(INDEX([1]!_born[生没年],
MATCH(I3440,[1]!_born[作],0)),"")</f>
        <v/>
      </c>
      <c r="N3440" s="14" t="str" ph="1">
        <f>IFERROR(INDEX([1]!_born[生没年],
MATCH(K3440,[1]!_born[作],0)),"")</f>
        <v/>
      </c>
      <c r="O3440" s="13" t="s" ph="1">
        <v>9989</v>
      </c>
      <c r="T3440" s="13" t="s" ph="1">
        <v>9865</v>
      </c>
    </row>
    <row r="3441" spans="1:24" ht="22.5" customHeight="1" ph="1" x14ac:dyDescent="0.35">
      <c r="C3441" s="13" t="s" ph="1">
        <v>9749</v>
      </c>
      <c r="D3441" s="123" ph="1">
        <v>1</v>
      </c>
      <c r="E3441" s="123" t="s" ph="1">
        <v>1225</v>
      </c>
      <c r="G3441" s="13" t="s" ph="1">
        <v>9824</v>
      </c>
      <c r="I3441" s="13" t="s" ph="1">
        <v>9990</v>
      </c>
      <c r="M3441" s="14" t="str" ph="1">
        <f>IFERROR(INDEX([1]!_born[生没年],
MATCH(I3441,[1]!_born[作],0)),"")</f>
        <v/>
      </c>
      <c r="N3441" s="14" t="str" ph="1">
        <f>IFERROR(INDEX([1]!_born[生没年],
MATCH(K3441,[1]!_born[作],0)),"")</f>
        <v/>
      </c>
      <c r="O3441" s="13" t="s" ph="1">
        <v>9991</v>
      </c>
      <c r="T3441" s="13" t="s" ph="1">
        <v>9756</v>
      </c>
    </row>
    <row r="3442" spans="1:24" ht="22.5" customHeight="1" ph="1" x14ac:dyDescent="0.35">
      <c r="C3442" s="13" t="s" ph="1">
        <v>9749</v>
      </c>
      <c r="G3442" s="13" t="s" ph="1">
        <v>9824</v>
      </c>
      <c r="M3442" s="14" t="str" ph="1">
        <f>IFERROR(INDEX([1]!_born[生没年],
MATCH(I3442,[1]!_born[作],0)),"")</f>
        <v/>
      </c>
      <c r="N3442" s="14" t="str" ph="1">
        <f>IFERROR(INDEX([1]!_born[生没年],
MATCH(K3442,[1]!_born[作],0)),"")</f>
        <v/>
      </c>
      <c r="O3442" s="13" t="s" ph="1">
        <v>9992</v>
      </c>
      <c r="T3442" s="13" t="s" ph="1">
        <v>4119</v>
      </c>
    </row>
    <row r="3443" spans="1:24" ht="22.5" customHeight="1" ph="1" x14ac:dyDescent="0.35">
      <c r="C3443" s="13" t="s" ph="1">
        <v>9993</v>
      </c>
      <c r="G3443" s="13" t="s" ph="1">
        <v>9994</v>
      </c>
      <c r="M3443" s="14" t="str" ph="1">
        <f>IFERROR(INDEX([1]!_born[生没年],
MATCH(I3443,[1]!_born[作],0)),"")</f>
        <v/>
      </c>
      <c r="N3443" s="14" t="str" ph="1">
        <f>IFERROR(INDEX([1]!_born[生没年],
MATCH(K3443,[1]!_born[作],0)),"")</f>
        <v/>
      </c>
      <c r="O3443" s="13" t="s" ph="1">
        <v>9995</v>
      </c>
      <c r="R3443" s="16" t="s" ph="1">
        <v>1352</v>
      </c>
      <c r="T3443" s="13" t="s" ph="1">
        <v>9996</v>
      </c>
      <c r="V3443" s="17" ph="1">
        <v>600</v>
      </c>
    </row>
    <row r="3444" spans="1:24" ht="22.5" customHeight="1" ph="1" x14ac:dyDescent="0.35">
      <c r="C3444" s="13" t="s" ph="1">
        <v>9749</v>
      </c>
      <c r="D3444" s="123" ph="1">
        <v>5</v>
      </c>
      <c r="E3444" s="123" ph="1">
        <v>6</v>
      </c>
      <c r="G3444" s="13" t="s" ph="1">
        <v>9824</v>
      </c>
      <c r="M3444" s="14" t="str" ph="1">
        <f>IFERROR(INDEX([1]!_born[生没年],
MATCH(I3444,[1]!_born[作],0)),"")</f>
        <v/>
      </c>
      <c r="N3444" s="14" t="str" ph="1">
        <f>IFERROR(INDEX([1]!_born[生没年],
MATCH(K3444,[1]!_born[作],0)),"")</f>
        <v/>
      </c>
      <c r="O3444" s="13" t="s" ph="1">
        <v>9997</v>
      </c>
      <c r="W3444" s="17" ph="1">
        <v>0</v>
      </c>
    </row>
    <row r="3445" spans="1:24" ht="22.5" customHeight="1" ph="1" x14ac:dyDescent="0.35">
      <c r="C3445" s="13" t="s" ph="1">
        <v>9749</v>
      </c>
      <c r="D3445" s="123" ph="1">
        <v>6</v>
      </c>
      <c r="E3445" s="123" ph="1">
        <v>6</v>
      </c>
      <c r="G3445" s="13" t="s" ph="1">
        <v>9824</v>
      </c>
      <c r="M3445" s="14" t="str" ph="1">
        <f>IFERROR(INDEX([1]!_born[生没年],
MATCH(I3445,[1]!_born[作],0)),"")</f>
        <v/>
      </c>
      <c r="N3445" s="14" t="str" ph="1">
        <f>IFERROR(INDEX([1]!_born[生没年],
MATCH(K3445,[1]!_born[作],0)),"")</f>
        <v/>
      </c>
      <c r="O3445" s="13" t="s" ph="1">
        <v>9998</v>
      </c>
      <c r="W3445" s="17" ph="1">
        <v>0</v>
      </c>
    </row>
    <row r="3446" spans="1:24" ht="22.5" customHeight="1" ph="1" x14ac:dyDescent="0.35">
      <c r="C3446" s="13" t="s" ph="1">
        <v>9749</v>
      </c>
      <c r="D3446" s="123" ph="1">
        <v>1</v>
      </c>
      <c r="E3446" s="123" ph="1">
        <v>3</v>
      </c>
      <c r="G3446" s="13" t="s" ph="1">
        <v>9824</v>
      </c>
      <c r="M3446" s="14" t="str" ph="1">
        <f>IFERROR(INDEX([1]!_born[生没年],
MATCH(I3446,[1]!_born[作],0)),"")</f>
        <v/>
      </c>
      <c r="N3446" s="14" t="str" ph="1">
        <f>IFERROR(INDEX([1]!_born[生没年],
MATCH(K3446,[1]!_born[作],0)),"")</f>
        <v/>
      </c>
      <c r="O3446" s="13" t="s" ph="1">
        <v>9999</v>
      </c>
      <c r="W3446" s="17" ph="1">
        <v>0</v>
      </c>
    </row>
    <row r="3447" spans="1:24" ht="22.5" customHeight="1" ph="1" x14ac:dyDescent="0.35">
      <c r="C3447" s="13" t="s" ph="1">
        <v>9749</v>
      </c>
      <c r="D3447" s="123" ph="1">
        <v>2</v>
      </c>
      <c r="E3447" s="123" ph="1">
        <v>3</v>
      </c>
      <c r="G3447" s="13" t="s" ph="1">
        <v>9824</v>
      </c>
      <c r="M3447" s="14" t="str" ph="1">
        <f>IFERROR(INDEX([1]!_born[生没年],
MATCH(I3447,[1]!_born[作],0)),"")</f>
        <v/>
      </c>
      <c r="N3447" s="14" t="str" ph="1">
        <f>IFERROR(INDEX([1]!_born[生没年],
MATCH(K3447,[1]!_born[作],0)),"")</f>
        <v/>
      </c>
      <c r="O3447" s="13" t="s" ph="1">
        <v>9999</v>
      </c>
      <c r="W3447" s="17" ph="1">
        <v>0</v>
      </c>
    </row>
    <row r="3448" spans="1:24" ht="22.5" customHeight="1" ph="1" x14ac:dyDescent="0.35">
      <c r="C3448" s="13" t="s" ph="1">
        <v>9749</v>
      </c>
      <c r="D3448" s="123" ph="1">
        <v>3</v>
      </c>
      <c r="E3448" s="123" ph="1">
        <v>3</v>
      </c>
      <c r="G3448" s="13" t="s" ph="1">
        <v>9824</v>
      </c>
      <c r="M3448" s="14" t="str" ph="1">
        <f>IFERROR(INDEX([1]!_born[生没年],
MATCH(I3448,[1]!_born[作],0)),"")</f>
        <v/>
      </c>
      <c r="N3448" s="14" t="str" ph="1">
        <f>IFERROR(INDEX([1]!_born[生没年],
MATCH(K3448,[1]!_born[作],0)),"")</f>
        <v/>
      </c>
      <c r="O3448" s="13" t="s" ph="1">
        <v>9999</v>
      </c>
      <c r="W3448" s="17" ph="1">
        <v>0</v>
      </c>
    </row>
    <row r="3449" spans="1:24" ht="22.5" customHeight="1" ph="1" x14ac:dyDescent="0.35">
      <c r="C3449" s="13" t="s" ph="1">
        <v>9749</v>
      </c>
      <c r="G3449" s="13" t="s" ph="1">
        <v>9824</v>
      </c>
      <c r="M3449" s="14" t="str" ph="1">
        <f>IFERROR(INDEX([1]!_born[生没年],
MATCH(I3449,[1]!_born[作],0)),"")</f>
        <v/>
      </c>
      <c r="N3449" s="14" t="str" ph="1">
        <f>IFERROR(INDEX([1]!_born[生没年],
MATCH(K3449,[1]!_born[作],0)),"")</f>
        <v/>
      </c>
      <c r="O3449" s="13" t="s" ph="1">
        <v>10000</v>
      </c>
      <c r="W3449" s="17" ph="1">
        <v>0</v>
      </c>
    </row>
    <row r="3450" spans="1:24" ht="22.5" customHeight="1" ph="1" x14ac:dyDescent="0.35">
      <c r="C3450" s="13" t="s" ph="1">
        <v>9749</v>
      </c>
      <c r="G3450" s="13" t="s" ph="1">
        <v>9824</v>
      </c>
      <c r="M3450" s="14" t="str" ph="1">
        <f>IFERROR(INDEX([1]!_born[生没年],
MATCH(I3450,[1]!_born[作],0)),"")</f>
        <v/>
      </c>
      <c r="N3450" s="14" t="str" ph="1">
        <f>IFERROR(INDEX([1]!_born[生没年],
MATCH(K3450,[1]!_born[作],0)),"")</f>
        <v/>
      </c>
      <c r="O3450" s="13" t="s" ph="1">
        <v>10001</v>
      </c>
      <c r="W3450" s="17" ph="1">
        <v>0</v>
      </c>
    </row>
    <row r="3451" spans="1:24" ht="22.5" customHeight="1" ph="1" x14ac:dyDescent="0.35">
      <c r="C3451" s="13" t="s" ph="1">
        <v>9749</v>
      </c>
      <c r="G3451" s="13" t="s" ph="1">
        <v>9824</v>
      </c>
      <c r="M3451" s="14" t="str" ph="1">
        <f>IFERROR(INDEX([1]!_born[生没年],
MATCH(I3451,[1]!_born[作],0)),"")</f>
        <v/>
      </c>
      <c r="N3451" s="14" t="str" ph="1">
        <f>IFERROR(INDEX([1]!_born[生没年],
MATCH(K3451,[1]!_born[作],0)),"")</f>
        <v/>
      </c>
      <c r="O3451" s="13" t="s" ph="1">
        <v>10002</v>
      </c>
      <c r="W3451" s="17" ph="1">
        <v>0</v>
      </c>
    </row>
    <row r="3452" spans="1:24" ht="22.5" customHeight="1" ph="1" x14ac:dyDescent="0.35">
      <c r="C3452" s="13" t="s" ph="1">
        <v>9749</v>
      </c>
      <c r="G3452" s="13" t="s" ph="1">
        <v>9824</v>
      </c>
      <c r="H3452" s="13" t="s" ph="1">
        <v>61</v>
      </c>
      <c r="I3452" s="13" t="s" ph="1">
        <v>10003</v>
      </c>
      <c r="M3452" s="14" t="str" ph="1">
        <f>IFERROR(INDEX([1]!_born[生没年],
MATCH(I3452,[1]!_born[作],0)),"")</f>
        <v/>
      </c>
      <c r="N3452" s="14" t="str" ph="1">
        <f>IFERROR(INDEX([1]!_born[生没年],
MATCH(K3452,[1]!_born[作],0)),"")</f>
        <v/>
      </c>
      <c r="O3452" s="13" t="s" ph="1">
        <v>10004</v>
      </c>
      <c r="R3452" s="16" t="s" ph="1">
        <v>2568</v>
      </c>
      <c r="S3452" s="13" t="s" ph="1">
        <v>10005</v>
      </c>
      <c r="T3452" s="13" t="s" ph="1">
        <v>4297</v>
      </c>
      <c r="U3452" s="16" ph="1">
        <v>40268</v>
      </c>
      <c r="V3452" s="17" ph="1">
        <v>0</v>
      </c>
      <c r="W3452" s="17" ph="1">
        <v>0</v>
      </c>
      <c r="X3452" s="13" t="s" ph="1">
        <v>10006</v>
      </c>
    </row>
    <row r="3453" spans="1:24" ht="22.5" customHeight="1" ph="1" x14ac:dyDescent="0.35">
      <c r="A3453" s="106" t="s" ph="1">
        <v>2596</v>
      </c>
      <c r="B3453" s="5" t="s" ph="1">
        <v>2597</v>
      </c>
      <c r="C3453" s="13" t="s" ph="1">
        <v>9749</v>
      </c>
      <c r="G3453" s="13" t="s" ph="1">
        <v>9824</v>
      </c>
      <c r="H3453" s="13" t="s" ph="1">
        <v>61</v>
      </c>
      <c r="I3453" s="13" t="s" ph="1">
        <v>10003</v>
      </c>
      <c r="M3453" s="14" t="str" ph="1">
        <f>IFERROR(INDEX([1]!_born[生没年],
MATCH(I3453,[1]!_born[作],0)),"")</f>
        <v/>
      </c>
      <c r="N3453" s="14" t="str" ph="1">
        <f>IFERROR(INDEX([1]!_born[生没年],
MATCH(K3453,[1]!_born[作],0)),"")</f>
        <v/>
      </c>
      <c r="O3453" s="13" t="s" ph="1">
        <v>10004</v>
      </c>
      <c r="R3453" s="16" ph="1">
        <v>40594</v>
      </c>
      <c r="S3453" s="13" t="s" ph="1">
        <v>10007</v>
      </c>
      <c r="T3453" s="13" t="s" ph="1">
        <v>4297</v>
      </c>
      <c r="U3453" s="16" ph="1">
        <v>40999</v>
      </c>
      <c r="V3453" s="17" ph="1">
        <v>0</v>
      </c>
      <c r="W3453" s="17" ph="1">
        <v>0</v>
      </c>
      <c r="X3453" s="13" t="s" ph="1">
        <v>10006</v>
      </c>
    </row>
    <row r="3454" spans="1:24" ht="22.5" customHeight="1" ph="1" x14ac:dyDescent="0.35">
      <c r="A3454" s="106" t="s" ph="1">
        <v>2650</v>
      </c>
      <c r="B3454" s="5" t="s" ph="1">
        <v>2597</v>
      </c>
      <c r="C3454" s="13" t="s" ph="1">
        <v>9749</v>
      </c>
      <c r="G3454" s="13" t="s" ph="1">
        <v>9824</v>
      </c>
      <c r="H3454" s="13" t="s" ph="1">
        <v>61</v>
      </c>
      <c r="I3454" s="13" t="s" ph="1">
        <v>10003</v>
      </c>
      <c r="M3454" s="14" t="str" ph="1">
        <f>IFERROR(INDEX([1]!_born[生没年],
MATCH(I3454,[1]!_born[作],0)),"")</f>
        <v/>
      </c>
      <c r="N3454" s="14" t="str" ph="1">
        <f>IFERROR(INDEX([1]!_born[生没年],
MATCH(K3454,[1]!_born[作],0)),"")</f>
        <v/>
      </c>
      <c r="O3454" s="13" t="s" ph="1">
        <v>10008</v>
      </c>
      <c r="R3454" s="16" ph="1">
        <v>40928</v>
      </c>
      <c r="S3454" s="13" t="s" ph="1">
        <v>10009</v>
      </c>
      <c r="T3454" s="13" t="s" ph="1">
        <v>4297</v>
      </c>
      <c r="U3454" s="16" ph="1">
        <v>41364</v>
      </c>
      <c r="V3454" s="17" ph="1">
        <v>0</v>
      </c>
      <c r="W3454" s="17" ph="1">
        <v>0</v>
      </c>
      <c r="X3454" s="13" t="s" ph="1">
        <v>10006</v>
      </c>
    </row>
    <row r="3455" spans="1:24" ht="22.5" customHeight="1" ph="1" x14ac:dyDescent="0.35">
      <c r="C3455" s="13" t="s" ph="1">
        <v>9750</v>
      </c>
      <c r="G3455" s="13" t="s" ph="1">
        <v>1266</v>
      </c>
      <c r="H3455" s="13" t="s" ph="1">
        <v>4423</v>
      </c>
      <c r="I3455" s="24" t="s" ph="1">
        <v>10010</v>
      </c>
      <c r="J3455" s="13" t="s" ph="1">
        <v>10011</v>
      </c>
      <c r="K3455" s="13" t="s" ph="1">
        <v>10012</v>
      </c>
      <c r="L3455" s="13" t="s" ph="1">
        <v>10013</v>
      </c>
      <c r="M3455" s="14" t="str" ph="1">
        <f>IFERROR(INDEX([1]!_born[生没年],
MATCH(I3455,[1]!_born[作],0)),"")</f>
        <v/>
      </c>
      <c r="N3455" s="14" t="str" ph="1">
        <f>IFERROR(INDEX([1]!_born[生没年],
MATCH(K3455,[1]!_born[作],0)),"")</f>
        <v/>
      </c>
      <c r="O3455" s="15" t="s" ph="1">
        <v>10014</v>
      </c>
    </row>
    <row r="3456" spans="1:24" ht="22.5" customHeight="1" ph="1" x14ac:dyDescent="0.35">
      <c r="C3456" s="13" t="s" ph="1">
        <v>9750</v>
      </c>
      <c r="G3456" s="24" t="s" ph="1">
        <v>1837</v>
      </c>
      <c r="H3456" s="13" t="s" ph="1">
        <v>4423</v>
      </c>
      <c r="I3456" s="24" t="s" ph="1">
        <v>10010</v>
      </c>
      <c r="M3456" s="14" t="str" ph="1">
        <f>IFERROR(INDEX([1]!_born[生没年],
MATCH(I3456,[1]!_born[作],0)),"")</f>
        <v/>
      </c>
      <c r="N3456" s="14" t="str" ph="1">
        <f>IFERROR(INDEX([1]!_born[生没年],
MATCH(K3456,[1]!_born[作],0)),"")</f>
        <v/>
      </c>
      <c r="O3456" s="24" t="s" ph="1">
        <v>10015</v>
      </c>
    </row>
    <row r="3457" spans="3:22" ht="22.5" customHeight="1" ph="1" x14ac:dyDescent="0.35">
      <c r="C3457" s="13" t="s" ph="1">
        <v>9750</v>
      </c>
      <c r="G3457" s="13" t="s" ph="1">
        <v>1219</v>
      </c>
      <c r="H3457" s="13" t="s" ph="1">
        <v>4423</v>
      </c>
      <c r="I3457" s="24" t="s" ph="1">
        <v>10010</v>
      </c>
      <c r="M3457" s="14" t="str" ph="1">
        <f>IFERROR(INDEX([1]!_born[生没年],
MATCH(I3457,[1]!_born[作],0)),"")</f>
        <v/>
      </c>
      <c r="N3457" s="14" t="str" ph="1">
        <f>IFERROR(INDEX([1]!_born[生没年],
MATCH(K3457,[1]!_born[作],0)),"")</f>
        <v/>
      </c>
      <c r="O3457" s="24" t="s" ph="1">
        <v>10016</v>
      </c>
    </row>
    <row r="3458" spans="3:22" ht="22.5" customHeight="1" ph="1" x14ac:dyDescent="0.35">
      <c r="C3458" s="13" t="s" ph="1">
        <v>9750</v>
      </c>
      <c r="G3458" s="13" t="s" ph="1">
        <v>1219</v>
      </c>
      <c r="H3458" s="13" t="s" ph="1">
        <v>4423</v>
      </c>
      <c r="I3458" s="24" t="s" ph="1">
        <v>10017</v>
      </c>
      <c r="M3458" s="14" t="str" ph="1">
        <f>IFERROR(INDEX([1]!_born[生没年],
MATCH(I3458,[1]!_born[作],0)),"")</f>
        <v/>
      </c>
      <c r="N3458" s="14" t="str" ph="1">
        <f>IFERROR(INDEX([1]!_born[生没年],
MATCH(K3458,[1]!_born[作],0)),"")</f>
        <v/>
      </c>
      <c r="O3458" s="24" t="s" ph="1">
        <v>10016</v>
      </c>
    </row>
    <row r="3459" spans="3:22" ht="22.5" customHeight="1" ph="1" x14ac:dyDescent="0.35">
      <c r="C3459" s="13" t="s" ph="1">
        <v>9750</v>
      </c>
      <c r="G3459" s="13" t="s" ph="1">
        <v>1219</v>
      </c>
      <c r="H3459" s="13" t="s" ph="1">
        <v>4423</v>
      </c>
      <c r="I3459" s="13" t="s" ph="1">
        <v>10018</v>
      </c>
      <c r="M3459" s="14" t="str" ph="1">
        <f>IFERROR(INDEX([1]!_born[生没年],
MATCH(I3459,[1]!_born[作],0)),"")</f>
        <v/>
      </c>
      <c r="N3459" s="14" t="str" ph="1">
        <f>IFERROR(INDEX([1]!_born[生没年],
MATCH(K3459,[1]!_born[作],0)),"")</f>
        <v/>
      </c>
      <c r="O3459" s="13" t="s" ph="1">
        <v>10019</v>
      </c>
    </row>
    <row r="3460" spans="3:22" ht="22.5" customHeight="1" ph="1" x14ac:dyDescent="0.35">
      <c r="C3460" s="13" t="s" ph="1">
        <v>9750</v>
      </c>
      <c r="G3460" s="13" t="s" ph="1">
        <v>1219</v>
      </c>
      <c r="H3460" s="13" t="s" ph="1">
        <v>4423</v>
      </c>
      <c r="I3460" s="13" t="s" ph="1">
        <v>10020</v>
      </c>
      <c r="M3460" s="14" t="str" ph="1">
        <f>IFERROR(INDEX([1]!_born[生没年],
MATCH(I3460,[1]!_born[作],0)),"")</f>
        <v/>
      </c>
      <c r="N3460" s="14" t="str" ph="1">
        <f>IFERROR(INDEX([1]!_born[生没年],
MATCH(K3460,[1]!_born[作],0)),"")</f>
        <v/>
      </c>
      <c r="O3460" s="13" t="s" ph="1">
        <v>10020</v>
      </c>
    </row>
    <row r="3461" spans="3:22" ht="22.5" customHeight="1" ph="1" x14ac:dyDescent="0.35">
      <c r="C3461" s="13" t="s" ph="1">
        <v>9750</v>
      </c>
      <c r="G3461" s="13" t="s" ph="1">
        <v>1219</v>
      </c>
      <c r="H3461" s="13" t="s" ph="1">
        <v>4423</v>
      </c>
      <c r="I3461" s="13" t="s" ph="1">
        <v>10021</v>
      </c>
      <c r="M3461" s="14" t="str" ph="1">
        <f>IFERROR(INDEX([1]!_born[生没年],
MATCH(I3461,[1]!_born[作],0)),"")</f>
        <v/>
      </c>
      <c r="N3461" s="14" t="str" ph="1">
        <f>IFERROR(INDEX([1]!_born[生没年],
MATCH(K3461,[1]!_born[作],0)),"")</f>
        <v/>
      </c>
      <c r="O3461" s="13" t="s" ph="1">
        <v>10021</v>
      </c>
    </row>
    <row r="3462" spans="3:22" ht="22.5" customHeight="1" ph="1" x14ac:dyDescent="0.35">
      <c r="C3462" s="13" t="s" ph="1">
        <v>9750</v>
      </c>
      <c r="G3462" s="13" t="s" ph="1">
        <v>1219</v>
      </c>
      <c r="H3462" s="13" t="s" ph="1">
        <v>4423</v>
      </c>
      <c r="I3462" s="24" t="s" ph="1">
        <v>10022</v>
      </c>
      <c r="M3462" s="14" t="str" ph="1">
        <f>IFERROR(INDEX([1]!_born[生没年],
MATCH(I3462,[1]!_born[作],0)),"")</f>
        <v/>
      </c>
      <c r="N3462" s="14" t="str" ph="1">
        <f>IFERROR(INDEX([1]!_born[生没年],
MATCH(K3462,[1]!_born[作],0)),"")</f>
        <v/>
      </c>
      <c r="O3462" s="24" t="s" ph="1">
        <v>10022</v>
      </c>
    </row>
    <row r="3463" spans="3:22" ht="22.5" customHeight="1" ph="1" x14ac:dyDescent="0.35">
      <c r="C3463" s="13" t="s" ph="1">
        <v>9750</v>
      </c>
      <c r="G3463" s="13" t="s" ph="1">
        <v>1219</v>
      </c>
      <c r="H3463" s="13" t="s" ph="1">
        <v>4423</v>
      </c>
      <c r="I3463" s="13" t="s" ph="1">
        <v>10023</v>
      </c>
      <c r="M3463" s="14" t="str" ph="1">
        <f>IFERROR(INDEX([1]!_born[生没年],
MATCH(I3463,[1]!_born[作],0)),"")</f>
        <v/>
      </c>
      <c r="N3463" s="14" t="str" ph="1">
        <f>IFERROR(INDEX([1]!_born[生没年],
MATCH(K3463,[1]!_born[作],0)),"")</f>
        <v/>
      </c>
      <c r="O3463" s="13" t="s" ph="1">
        <v>10023</v>
      </c>
    </row>
    <row r="3464" spans="3:22" ht="22.5" customHeight="1" ph="1" x14ac:dyDescent="0.35">
      <c r="C3464" s="13" t="s" ph="1">
        <v>9750</v>
      </c>
      <c r="G3464" s="13" t="s" ph="1">
        <v>1219</v>
      </c>
      <c r="H3464" s="13" t="s" ph="1">
        <v>4423</v>
      </c>
      <c r="I3464" s="13" t="s" ph="1">
        <v>10024</v>
      </c>
      <c r="M3464" s="14" t="str" ph="1">
        <f>IFERROR(INDEX([1]!_born[生没年],
MATCH(I3464,[1]!_born[作],0)),"")</f>
        <v/>
      </c>
      <c r="N3464" s="14" t="str" ph="1">
        <f>IFERROR(INDEX([1]!_born[生没年],
MATCH(K3464,[1]!_born[作],0)),"")</f>
        <v/>
      </c>
      <c r="O3464" s="13" t="s" ph="1">
        <v>10024</v>
      </c>
    </row>
    <row r="3465" spans="3:22" ht="22.5" customHeight="1" ph="1" x14ac:dyDescent="0.35">
      <c r="C3465" s="13" t="s" ph="1">
        <v>9750</v>
      </c>
      <c r="G3465" s="13" t="s" ph="1">
        <v>1219</v>
      </c>
      <c r="H3465" s="13" t="s" ph="1">
        <v>4423</v>
      </c>
      <c r="I3465" s="13" t="s" ph="1">
        <v>10025</v>
      </c>
      <c r="M3465" s="14" t="str" ph="1">
        <f>IFERROR(INDEX([1]!_born[生没年],
MATCH(I3465,[1]!_born[作],0)),"")</f>
        <v/>
      </c>
      <c r="N3465" s="14" t="str" ph="1">
        <f>IFERROR(INDEX([1]!_born[生没年],
MATCH(K3465,[1]!_born[作],0)),"")</f>
        <v/>
      </c>
      <c r="O3465" s="13" t="s" ph="1">
        <v>10025</v>
      </c>
    </row>
    <row r="3466" spans="3:22" ht="22.5" customHeight="1" ph="1" x14ac:dyDescent="0.35">
      <c r="C3466" s="13" t="s" ph="1">
        <v>9750</v>
      </c>
      <c r="G3466" s="13" t="s" ph="1">
        <v>1219</v>
      </c>
      <c r="H3466" s="13" t="s" ph="1">
        <v>4423</v>
      </c>
      <c r="I3466" s="13" t="s" ph="1">
        <v>10026</v>
      </c>
      <c r="M3466" s="14" t="str" ph="1">
        <f>IFERROR(INDEX([1]!_born[生没年],
MATCH(I3466,[1]!_born[作],0)),"")</f>
        <v/>
      </c>
      <c r="N3466" s="14" t="str" ph="1">
        <f>IFERROR(INDEX([1]!_born[生没年],
MATCH(K3466,[1]!_born[作],0)),"")</f>
        <v/>
      </c>
      <c r="O3466" s="13" t="s" ph="1">
        <v>10026</v>
      </c>
    </row>
    <row r="3467" spans="3:22" ht="22.5" customHeight="1" ph="1" x14ac:dyDescent="0.35">
      <c r="C3467" s="13" t="s" ph="1">
        <v>9750</v>
      </c>
      <c r="G3467" s="13" t="s" ph="1">
        <v>1219</v>
      </c>
      <c r="H3467" s="13" t="s" ph="1">
        <v>4423</v>
      </c>
      <c r="I3467" s="13" t="s" ph="1">
        <v>10027</v>
      </c>
      <c r="M3467" s="14" t="str" ph="1">
        <f>IFERROR(INDEX([1]!_born[生没年],
MATCH(I3467,[1]!_born[作],0)),"")</f>
        <v/>
      </c>
      <c r="N3467" s="14" t="str" ph="1">
        <f>IFERROR(INDEX([1]!_born[生没年],
MATCH(K3467,[1]!_born[作],0)),"")</f>
        <v/>
      </c>
      <c r="O3467" s="13" t="s" ph="1">
        <v>10027</v>
      </c>
    </row>
    <row r="3468" spans="3:22" ht="22.5" customHeight="1" ph="1" x14ac:dyDescent="0.35">
      <c r="C3468" s="13" t="s" ph="1">
        <v>9750</v>
      </c>
      <c r="G3468" s="13" t="s" ph="1">
        <v>1219</v>
      </c>
      <c r="H3468" s="13" t="s" ph="1">
        <v>4423</v>
      </c>
      <c r="I3468" s="13" t="s" ph="1">
        <v>10028</v>
      </c>
      <c r="M3468" s="14" t="str" ph="1">
        <f>IFERROR(INDEX([1]!_born[生没年],
MATCH(I3468,[1]!_born[作],0)),"")</f>
        <v/>
      </c>
      <c r="N3468" s="14" t="str" ph="1">
        <f>IFERROR(INDEX([1]!_born[生没年],
MATCH(K3468,[1]!_born[作],0)),"")</f>
        <v/>
      </c>
      <c r="O3468" s="13" t="s" ph="1">
        <v>10028</v>
      </c>
    </row>
    <row r="3469" spans="3:22" ht="22.5" customHeight="1" ph="1" x14ac:dyDescent="0.35">
      <c r="C3469" s="13" t="s" ph="1">
        <v>9750</v>
      </c>
      <c r="G3469" s="13" t="s" ph="1">
        <v>1219</v>
      </c>
      <c r="H3469" s="13" t="s" ph="1">
        <v>4423</v>
      </c>
      <c r="I3469" s="13" t="s" ph="1">
        <v>10029</v>
      </c>
      <c r="M3469" s="14" t="str" ph="1">
        <f>IFERROR(INDEX([1]!_born[生没年],
MATCH(I3469,[1]!_born[作],0)),"")</f>
        <v/>
      </c>
      <c r="N3469" s="14" t="str" ph="1">
        <f>IFERROR(INDEX([1]!_born[生没年],
MATCH(K3469,[1]!_born[作],0)),"")</f>
        <v/>
      </c>
      <c r="O3469" s="13" t="s" ph="1">
        <v>10029</v>
      </c>
    </row>
    <row r="3470" spans="3:22" ht="22.5" customHeight="1" ph="1" x14ac:dyDescent="0.35">
      <c r="C3470" s="13" t="s" ph="1">
        <v>9749</v>
      </c>
      <c r="G3470" s="13" t="s" ph="1">
        <v>1788</v>
      </c>
      <c r="H3470" s="13" t="s" ph="1">
        <v>1827</v>
      </c>
      <c r="I3470" s="13" t="s" ph="1">
        <v>374</v>
      </c>
      <c r="M3470" s="14" t="str" ph="1">
        <f>IFERROR(INDEX([1]!_born[生没年],
MATCH(I3470,[1]!_born[作],0)),"")</f>
        <v/>
      </c>
      <c r="N3470" s="14" t="str" ph="1">
        <f>IFERROR(INDEX([1]!_born[生没年],
MATCH(K3470,[1]!_born[作],0)),"")</f>
        <v/>
      </c>
      <c r="O3470" s="13" t="s" ph="1">
        <v>10030</v>
      </c>
      <c r="S3470" s="13" t="s" ph="1">
        <v>1859</v>
      </c>
      <c r="T3470" s="13" t="s" ph="1">
        <v>4119</v>
      </c>
      <c r="V3470" s="17" ph="1">
        <v>500</v>
      </c>
    </row>
    <row r="3471" spans="3:22" ht="22.5" customHeight="1" ph="1" x14ac:dyDescent="0.35">
      <c r="C3471" s="13" t="s" ph="1">
        <v>9749</v>
      </c>
      <c r="G3471" s="13" t="s" ph="1">
        <v>1788</v>
      </c>
      <c r="H3471" s="13" t="s" ph="1">
        <v>1827</v>
      </c>
      <c r="I3471" s="13" t="s" ph="1">
        <v>656</v>
      </c>
      <c r="M3471" s="14" t="str" ph="1">
        <f>IFERROR(INDEX([1]!_born[生没年],
MATCH(I3471,[1]!_born[作],0)),"")</f>
        <v/>
      </c>
      <c r="N3471" s="14" t="str" ph="1">
        <f>IFERROR(INDEX([1]!_born[生没年],
MATCH(K3471,[1]!_born[作],0)),"")</f>
        <v/>
      </c>
      <c r="O3471" s="13" t="s" ph="1">
        <v>10031</v>
      </c>
      <c r="S3471" s="13" t="s" ph="1">
        <v>1860</v>
      </c>
      <c r="T3471" s="13" t="s" ph="1">
        <v>4119</v>
      </c>
      <c r="V3471" s="17" ph="1">
        <v>700</v>
      </c>
    </row>
    <row r="3472" spans="3:22" ht="22.5" customHeight="1" ph="1" x14ac:dyDescent="0.35">
      <c r="C3472" s="13" t="s" ph="1">
        <v>9749</v>
      </c>
      <c r="G3472" s="13" t="s" ph="1">
        <v>1786</v>
      </c>
      <c r="H3472" s="13" t="s" ph="1">
        <v>1827</v>
      </c>
      <c r="I3472" s="13" t="s" ph="1">
        <v>136</v>
      </c>
      <c r="M3472" s="14" t="str" ph="1">
        <f>IFERROR(INDEX([1]!_born[生没年],
MATCH(I3472,[1]!_born[作],0)),"")</f>
        <v/>
      </c>
      <c r="N3472" s="14" t="str" ph="1">
        <f>IFERROR(INDEX([1]!_born[生没年],
MATCH(K3472,[1]!_born[作],0)),"")</f>
        <v/>
      </c>
      <c r="O3472" s="13" t="s" ph="1">
        <v>10032</v>
      </c>
      <c r="S3472" s="13" t="s" ph="1">
        <v>1861</v>
      </c>
      <c r="T3472" s="13" t="s" ph="1">
        <v>4119</v>
      </c>
      <c r="V3472" s="17" ph="1">
        <v>1400</v>
      </c>
    </row>
    <row r="3473" spans="1:23" ht="22.5" customHeight="1" ph="1" x14ac:dyDescent="0.35">
      <c r="C3473" s="13" t="s" ph="1">
        <v>9749</v>
      </c>
      <c r="G3473" s="13" t="s" ph="1">
        <v>1786</v>
      </c>
      <c r="H3473" s="13" t="s" ph="1">
        <v>1827</v>
      </c>
      <c r="I3473" s="13" t="s" ph="1">
        <v>603</v>
      </c>
      <c r="M3473" s="14" t="str" ph="1">
        <f>IFERROR(INDEX([1]!_born[生没年],
MATCH(I3473,[1]!_born[作],0)),"")</f>
        <v/>
      </c>
      <c r="N3473" s="14" t="str" ph="1">
        <f>IFERROR(INDEX([1]!_born[生没年],
MATCH(K3473,[1]!_born[作],0)),"")</f>
        <v/>
      </c>
      <c r="O3473" s="13" t="s" ph="1">
        <v>10033</v>
      </c>
      <c r="S3473" s="13" t="s" ph="1">
        <v>1862</v>
      </c>
      <c r="T3473" s="13" t="s" ph="1">
        <v>10034</v>
      </c>
      <c r="V3473" s="17" ph="1">
        <v>800</v>
      </c>
    </row>
    <row r="3474" spans="1:23" ht="22.5" customHeight="1" ph="1" x14ac:dyDescent="0.35">
      <c r="C3474" s="13" t="s" ph="1">
        <v>9749</v>
      </c>
      <c r="G3474" s="13" t="s" ph="1">
        <v>1786</v>
      </c>
      <c r="H3474" s="13" t="s" ph="1">
        <v>1827</v>
      </c>
      <c r="I3474" s="13" t="s" ph="1">
        <v>98</v>
      </c>
      <c r="M3474" s="14" t="str" ph="1">
        <f>IFERROR(INDEX([1]!_born[生没年],
MATCH(I3474,[1]!_born[作],0)),"")</f>
        <v/>
      </c>
      <c r="N3474" s="14" t="str" ph="1">
        <f>IFERROR(INDEX([1]!_born[生没年],
MATCH(K3474,[1]!_born[作],0)),"")</f>
        <v/>
      </c>
      <c r="O3474" s="13" t="s" ph="1">
        <v>10035</v>
      </c>
      <c r="S3474" s="13" t="s" ph="1">
        <v>1863</v>
      </c>
      <c r="T3474" s="13" t="s" ph="1">
        <v>10034</v>
      </c>
      <c r="V3474" s="17" ph="1">
        <v>700</v>
      </c>
    </row>
    <row r="3475" spans="1:23" s="19" customFormat="1" ht="22.5" customHeight="1" ph="1" x14ac:dyDescent="0.35">
      <c r="A3475" s="107" ph="1"/>
      <c r="B3475" s="18" ph="1"/>
      <c r="C3475" s="19" t="s" ph="1">
        <v>1745</v>
      </c>
      <c r="D3475" s="124" ph="1"/>
      <c r="E3475" s="124" ph="1"/>
      <c r="G3475" s="19" t="s" ph="1">
        <v>1864</v>
      </c>
      <c r="H3475" s="19" t="s" ph="1">
        <v>1745</v>
      </c>
      <c r="I3475" s="19" t="s" ph="1">
        <v>10327</v>
      </c>
      <c r="J3475" s="19" t="s" ph="1">
        <v>10328</v>
      </c>
      <c r="M3475" s="27" t="str" ph="1">
        <f>IFERROR(INDEX([1]!_born[生没年],
MATCH(I3475,[1]!_born[作],0)),"")</f>
        <v/>
      </c>
      <c r="N3475" s="27" t="str" ph="1">
        <f>IFERROR(INDEX([1]!_born[生没年],
MATCH(K3475,[1]!_born[作],0)),"")</f>
        <v/>
      </c>
      <c r="O3475" s="19" t="s" ph="1">
        <v>10329</v>
      </c>
      <c r="R3475" s="20" t="s" ph="1">
        <v>10330</v>
      </c>
      <c r="S3475" s="19" t="s" ph="1">
        <v>10331</v>
      </c>
      <c r="T3475" s="19" t="s" ph="1">
        <v>9817</v>
      </c>
      <c r="U3475" s="20" ph="1">
        <v>33879</v>
      </c>
      <c r="V3475" s="21" ph="1"/>
      <c r="W3475" s="21" ph="1"/>
    </row>
    <row r="3476" spans="1:23" s="19" customFormat="1" ht="22.5" customHeight="1" ph="1" x14ac:dyDescent="0.35">
      <c r="A3476" s="107" ph="1"/>
      <c r="B3476" s="18" ph="1"/>
      <c r="C3476" s="19" t="s" ph="1">
        <v>1745</v>
      </c>
      <c r="D3476" s="124" ph="1"/>
      <c r="E3476" s="124" ph="1"/>
      <c r="G3476" s="19" t="s" ph="1">
        <v>1864</v>
      </c>
      <c r="H3476" s="19" t="s" ph="1">
        <v>1745</v>
      </c>
      <c r="I3476" s="19" t="s" ph="1">
        <v>10332</v>
      </c>
      <c r="M3476" s="27" t="str" ph="1">
        <f>IFERROR(INDEX([1]!_born[生没年],
MATCH(I3476,[1]!_born[作],0)),"")</f>
        <v/>
      </c>
      <c r="N3476" s="27" t="str" ph="1">
        <f>IFERROR(INDEX([1]!_born[生没年],
MATCH(K3476,[1]!_born[作],0)),"")</f>
        <v/>
      </c>
      <c r="O3476" s="19" t="s" ph="1">
        <v>10333</v>
      </c>
      <c r="R3476" s="20" t="s" ph="1">
        <v>1317</v>
      </c>
      <c r="T3476" s="19" t="s" ph="1">
        <v>9817</v>
      </c>
      <c r="U3476" s="20" ph="1"/>
      <c r="V3476" s="21" ph="1"/>
      <c r="W3476" s="21" ph="1"/>
    </row>
    <row r="3477" spans="1:23" s="19" customFormat="1" ht="22.5" customHeight="1" ph="1" x14ac:dyDescent="0.35">
      <c r="A3477" s="107" ph="1"/>
      <c r="B3477" s="18" ph="1"/>
      <c r="C3477" s="19" t="s" ph="1">
        <v>1745</v>
      </c>
      <c r="D3477" s="124" ph="1"/>
      <c r="E3477" s="124" ph="1"/>
      <c r="G3477" s="19" t="s" ph="1">
        <v>1864</v>
      </c>
      <c r="H3477" s="19" t="s" ph="1">
        <v>1745</v>
      </c>
      <c r="I3477" s="19" t="s" ph="1">
        <v>10334</v>
      </c>
      <c r="M3477" s="27" t="str" ph="1">
        <f>IFERROR(INDEX([1]!_born[生没年],
MATCH(I3477,[1]!_born[作],0)),"")</f>
        <v/>
      </c>
      <c r="N3477" s="27" t="str" ph="1">
        <f>IFERROR(INDEX([1]!_born[生没年],
MATCH(K3477,[1]!_born[作],0)),"")</f>
        <v/>
      </c>
      <c r="O3477" s="19" t="s" ph="1">
        <v>10333</v>
      </c>
      <c r="R3477" s="20" t="s" ph="1">
        <v>1317</v>
      </c>
      <c r="T3477" s="19" t="s" ph="1">
        <v>9817</v>
      </c>
      <c r="U3477" s="20" ph="1"/>
      <c r="V3477" s="21" ph="1"/>
      <c r="W3477" s="21" ph="1"/>
    </row>
    <row r="3478" spans="1:23" s="19" customFormat="1" ht="22.5" customHeight="1" ph="1" x14ac:dyDescent="0.35">
      <c r="A3478" s="107" ph="1"/>
      <c r="B3478" s="18" ph="1"/>
      <c r="C3478" s="19" t="s" ph="1">
        <v>1745</v>
      </c>
      <c r="D3478" s="124" ph="1"/>
      <c r="E3478" s="124" ph="1"/>
      <c r="G3478" s="19" t="s" ph="1">
        <v>1864</v>
      </c>
      <c r="H3478" s="19" t="s" ph="1">
        <v>1745</v>
      </c>
      <c r="I3478" s="19" t="s" ph="1">
        <v>10335</v>
      </c>
      <c r="M3478" s="27" t="str" ph="1">
        <f>IFERROR(INDEX([1]!_born[生没年],
MATCH(I3478,[1]!_born[作],0)),"")</f>
        <v/>
      </c>
      <c r="N3478" s="27" t="str" ph="1">
        <f>IFERROR(INDEX([1]!_born[生没年],
MATCH(K3478,[1]!_born[作],0)),"")</f>
        <v/>
      </c>
      <c r="O3478" s="19" t="s" ph="1">
        <v>10333</v>
      </c>
      <c r="R3478" s="20" t="s" ph="1">
        <v>1317</v>
      </c>
      <c r="T3478" s="19" t="s" ph="1">
        <v>9817</v>
      </c>
      <c r="U3478" s="20" ph="1"/>
      <c r="V3478" s="21" ph="1"/>
      <c r="W3478" s="21" ph="1"/>
    </row>
    <row r="3479" spans="1:23" s="19" customFormat="1" ht="22.5" customHeight="1" ph="1" x14ac:dyDescent="0.35">
      <c r="A3479" s="107" ph="1"/>
      <c r="B3479" s="18" ph="1"/>
      <c r="C3479" s="19" t="s" ph="1">
        <v>1745</v>
      </c>
      <c r="D3479" s="124" ph="1"/>
      <c r="E3479" s="124" ph="1"/>
      <c r="G3479" s="19" t="s" ph="1">
        <v>1864</v>
      </c>
      <c r="H3479" s="19" t="s" ph="1">
        <v>1745</v>
      </c>
      <c r="I3479" s="19" t="s" ph="1">
        <v>10336</v>
      </c>
      <c r="M3479" s="27" t="str" ph="1">
        <f>IFERROR(INDEX([1]!_born[生没年],
MATCH(I3479,[1]!_born[作],0)),"")</f>
        <v/>
      </c>
      <c r="N3479" s="27" t="str" ph="1">
        <f>IFERROR(INDEX([1]!_born[生没年],
MATCH(K3479,[1]!_born[作],0)),"")</f>
        <v/>
      </c>
      <c r="O3479" s="19" t="s" ph="1">
        <v>10333</v>
      </c>
      <c r="R3479" s="20" t="s" ph="1">
        <v>1317</v>
      </c>
      <c r="T3479" s="19" t="s" ph="1">
        <v>9817</v>
      </c>
      <c r="U3479" s="20" ph="1"/>
      <c r="V3479" s="21" ph="1"/>
      <c r="W3479" s="21" ph="1"/>
    </row>
    <row r="3480" spans="1:23" s="19" customFormat="1" ht="22.5" customHeight="1" ph="1" x14ac:dyDescent="0.35">
      <c r="A3480" s="107" ph="1"/>
      <c r="B3480" s="18" ph="1"/>
      <c r="C3480" s="19" t="s" ph="1">
        <v>1745</v>
      </c>
      <c r="D3480" s="124" ph="1"/>
      <c r="E3480" s="124" ph="1"/>
      <c r="G3480" s="19" t="s" ph="1">
        <v>1864</v>
      </c>
      <c r="H3480" s="19" t="s" ph="1">
        <v>1745</v>
      </c>
      <c r="I3480" s="19" t="s" ph="1">
        <v>10337</v>
      </c>
      <c r="M3480" s="27" t="str" ph="1">
        <f>IFERROR(INDEX([1]!_born[生没年],
MATCH(I3480,[1]!_born[作],0)),"")</f>
        <v/>
      </c>
      <c r="N3480" s="27" t="str" ph="1">
        <f>IFERROR(INDEX([1]!_born[生没年],
MATCH(K3480,[1]!_born[作],0)),"")</f>
        <v/>
      </c>
      <c r="O3480" s="19" t="s" ph="1">
        <v>10333</v>
      </c>
      <c r="R3480" s="20" t="s" ph="1">
        <v>1317</v>
      </c>
      <c r="T3480" s="19" t="s" ph="1">
        <v>9817</v>
      </c>
      <c r="U3480" s="20" ph="1"/>
      <c r="V3480" s="21" ph="1"/>
      <c r="W3480" s="21" ph="1"/>
    </row>
    <row r="3481" spans="1:23" s="19" customFormat="1" ht="22.5" customHeight="1" ph="1" x14ac:dyDescent="0.35">
      <c r="A3481" s="107" ph="1"/>
      <c r="B3481" s="18" ph="1"/>
      <c r="C3481" s="19" t="s" ph="1">
        <v>1745</v>
      </c>
      <c r="D3481" s="124" ph="1"/>
      <c r="E3481" s="124" ph="1"/>
      <c r="G3481" s="19" t="s" ph="1">
        <v>1864</v>
      </c>
      <c r="H3481" s="19" t="s" ph="1">
        <v>1745</v>
      </c>
      <c r="I3481" s="23" t="s" ph="1">
        <v>10338</v>
      </c>
      <c r="M3481" s="27" t="str" ph="1">
        <f>IFERROR(INDEX([1]!_born[生没年],
MATCH(I3481,[1]!_born[作],0)),"")</f>
        <v/>
      </c>
      <c r="N3481" s="27" t="str" ph="1">
        <f>IFERROR(INDEX([1]!_born[生没年],
MATCH(K3481,[1]!_born[作],0)),"")</f>
        <v/>
      </c>
      <c r="O3481" s="19" t="s" ph="1">
        <v>10333</v>
      </c>
      <c r="R3481" s="20" t="s" ph="1">
        <v>1296</v>
      </c>
      <c r="T3481" s="19" t="s" ph="1">
        <v>9817</v>
      </c>
      <c r="U3481" s="20" ph="1"/>
      <c r="V3481" s="21" ph="1"/>
      <c r="W3481" s="21" ph="1"/>
    </row>
    <row r="3482" spans="1:23" s="19" customFormat="1" ht="22.5" customHeight="1" ph="1" x14ac:dyDescent="0.35">
      <c r="A3482" s="107" ph="1"/>
      <c r="B3482" s="18" ph="1"/>
      <c r="C3482" s="19" t="s" ph="1">
        <v>1745</v>
      </c>
      <c r="D3482" s="124" ph="1"/>
      <c r="E3482" s="124" ph="1"/>
      <c r="G3482" s="19" t="s" ph="1">
        <v>1864</v>
      </c>
      <c r="H3482" s="19" t="s" ph="1">
        <v>1745</v>
      </c>
      <c r="I3482" s="23" t="s" ph="1">
        <v>10338</v>
      </c>
      <c r="M3482" s="27" t="str" ph="1">
        <f>IFERROR(INDEX([1]!_born[生没年],
MATCH(I3482,[1]!_born[作],0)),"")</f>
        <v/>
      </c>
      <c r="N3482" s="27" t="str" ph="1">
        <f>IFERROR(INDEX([1]!_born[生没年],
MATCH(K3482,[1]!_born[作],0)),"")</f>
        <v/>
      </c>
      <c r="O3482" s="19" t="s" ph="1">
        <v>10333</v>
      </c>
      <c r="R3482" s="20" t="s" ph="1">
        <v>1317</v>
      </c>
      <c r="T3482" s="19" t="s" ph="1">
        <v>9817</v>
      </c>
      <c r="U3482" s="20" ph="1"/>
      <c r="V3482" s="21" ph="1"/>
      <c r="W3482" s="21" ph="1"/>
    </row>
    <row r="3483" spans="1:23" s="19" customFormat="1" ht="22.5" customHeight="1" ph="1" x14ac:dyDescent="0.35">
      <c r="A3483" s="107" ph="1"/>
      <c r="B3483" s="18" ph="1"/>
      <c r="C3483" s="19" t="s" ph="1">
        <v>1745</v>
      </c>
      <c r="D3483" s="124" ph="1"/>
      <c r="E3483" s="124" ph="1"/>
      <c r="G3483" s="19" t="s" ph="1">
        <v>1864</v>
      </c>
      <c r="H3483" s="19" t="s" ph="1">
        <v>1745</v>
      </c>
      <c r="I3483" s="23" t="s" ph="1">
        <v>10339</v>
      </c>
      <c r="M3483" s="27" t="str" ph="1">
        <f>IFERROR(INDEX([1]!_born[生没年],
MATCH(I3483,[1]!_born[作],0)),"")</f>
        <v/>
      </c>
      <c r="N3483" s="27" t="str" ph="1">
        <f>IFERROR(INDEX([1]!_born[生没年],
MATCH(K3483,[1]!_born[作],0)),"")</f>
        <v/>
      </c>
      <c r="O3483" s="19" t="s" ph="1">
        <v>10333</v>
      </c>
      <c r="R3483" s="20" ph="1"/>
      <c r="T3483" s="19" t="s" ph="1">
        <v>10340</v>
      </c>
      <c r="U3483" s="20" ph="1"/>
      <c r="V3483" s="21" ph="1"/>
      <c r="W3483" s="21" ph="1"/>
    </row>
    <row r="3484" spans="1:23" s="7" customFormat="1" ht="22.5" customHeight="1" ph="1" x14ac:dyDescent="0.25">
      <c r="A3484" s="106" ph="1"/>
      <c r="B3484" s="5" ph="1"/>
      <c r="C3484" s="9" t="s" ph="1">
        <v>1285</v>
      </c>
      <c r="D3484" s="122" ph="1"/>
      <c r="E3484" s="122" ph="1"/>
      <c r="G3484" s="8" t="s" ph="1">
        <v>1865</v>
      </c>
      <c r="H3484" s="9" ph="1"/>
      <c r="M3484" s="7" t="str" ph="1">
        <f>IFERROR(INDEX([1]!_born[生没年],
MATCH(I3484,[1]!_born[作],0)),"")</f>
        <v/>
      </c>
      <c r="N3484" s="7" t="str" ph="1">
        <f>IFERROR(INDEX([1]!_born[生没年],
MATCH(K3484,[1]!_born[作],0)),"")</f>
        <v/>
      </c>
      <c r="R3484" s="10" ph="1"/>
      <c r="U3484" s="10" ph="1"/>
      <c r="V3484" s="11" ph="1"/>
      <c r="W3484" s="11" ph="1"/>
    </row>
  </sheetData>
  <phoneticPr fontId="1"/>
  <dataValidations count="1">
    <dataValidation imeMode="off" allowBlank="1" showInputMessage="1" showErrorMessage="1" sqref="B1120:B1136 A1121:A1136 E2804:E2849 E3053:E3054 E3049 E3044:E3045 E3037:E3039 E3032:E3033 E2983:E2986 E2970:E2974 E2953:E2957 E2937:E2943 D2905:D2911 E2920:E2927 E2905:E2916 E2689:E2700 E2683 E2674:E2675 E2667:E2670 E2649:E2654 E2630:E2639 E2590:E2621 D2528 E2529:E2588 D2589 E2781:E2795 E3114 E2862:E2875 E3112 E3144:E65537 E2704:E2774 E2880:E2883 E2887 E2891 E2895:E2900 D3055:D3111 D3113:D3143 A1137:B1506 A1508:B65537 A1:B1119 E1:E2527" xr:uid="{A6E8061F-EA01-4482-AD3B-FDD94BAA584E}"/>
  </dataValidations>
  <hyperlinks>
    <hyperlink ref="T863" r:id="rId1" xr:uid="{EE0A2F00-93B4-4F2C-A9AD-EF3ED917B033}"/>
    <hyperlink ref="T859" r:id="rId2" xr:uid="{31573D54-0909-49AF-B3C5-8338EC3F2085}"/>
    <hyperlink ref="I1238" r:id="rId3" xr:uid="{D14174FE-7521-45FB-9AED-C6F054D9C8BD}"/>
    <hyperlink ref="I3455" r:id="rId4" xr:uid="{003FEA26-7879-4B8F-8DF2-E51CB6D05631}"/>
    <hyperlink ref="I1239" r:id="rId5" xr:uid="{7568C926-C77A-4035-8789-641B4126B145}"/>
    <hyperlink ref="I343:I344" r:id="rId6" display="大泉実成" xr:uid="{A0387324-7A97-493D-BBE9-4DB0649E9BAA}"/>
    <hyperlink ref="I1319" r:id="rId7" xr:uid="{C83C6664-5BB6-4778-8299-1D54A31FB416}"/>
    <hyperlink ref="I1511" r:id="rId8" xr:uid="{63DC5AAD-A6AA-44D0-8376-7208A0F6295B}"/>
    <hyperlink ref="I1511:I1526" r:id="rId9" display="町田志津子" xr:uid="{33639243-F937-4CAF-B452-CDED27597637}"/>
    <hyperlink ref="I3462" r:id="rId10" xr:uid="{9AE67DF0-722D-4E4D-B06D-8C70C7F80DED}"/>
    <hyperlink ref="I1262" r:id="rId11" xr:uid="{1ED74847-1E3E-486A-9746-8C183D95DD8E}"/>
    <hyperlink ref="I3457" r:id="rId12" xr:uid="{41AD7B21-5814-444A-AD33-4239BDC09DFB}"/>
    <hyperlink ref="I342" r:id="rId13" xr:uid="{2FD703BF-4BE0-4FF9-B036-C7D4B0B9DE62}"/>
    <hyperlink ref="I2527" r:id="rId14" xr:uid="{19AC1071-74A5-4D9C-808A-349488F9A873}"/>
    <hyperlink ref="I1192" r:id="rId15" xr:uid="{E6D40AF0-E7D9-4D23-B0CA-7A40CCCF2E0A}"/>
    <hyperlink ref="I3456" r:id="rId16" xr:uid="{22644D1D-CD22-4339-B090-2C21D920F012}"/>
    <hyperlink ref="I3458" r:id="rId17" xr:uid="{F7D848B0-172F-4B25-A57C-C9C9D5DA7FA8}"/>
    <hyperlink ref="G3383" r:id="rId18" xr:uid="{C09F02FE-8298-43B6-97C2-B7EAB6648B6C}"/>
    <hyperlink ref="G3378" r:id="rId19" xr:uid="{07D1FC8F-DFFA-4110-9C0E-9CFB303ED56D}"/>
    <hyperlink ref="G3379" r:id="rId20" xr:uid="{9C940403-82A3-45DB-B60D-E5908BF26C2A}"/>
    <hyperlink ref="G3380" r:id="rId21" xr:uid="{8F871290-672C-48DC-B547-47D44E3DC898}"/>
    <hyperlink ref="G3381" r:id="rId22" xr:uid="{28FE00CC-3430-4C24-90D9-216F6014BB53}"/>
    <hyperlink ref="O1238" r:id="rId23" xr:uid="{55A51E46-4113-43BD-A479-9513989DDECF}"/>
    <hyperlink ref="O3458" r:id="rId24" display="ズビズバもの" xr:uid="{172E7633-C104-400C-B7D7-735445E5FFD1}"/>
    <hyperlink ref="Y342" r:id="rId25" xr:uid="{CD4C6611-74DA-4E29-A243-598377B1D5C9}"/>
    <hyperlink ref="Y1309" r:id="rId26" xr:uid="{032340FD-3E39-47FC-8E79-08C6F873995B}"/>
    <hyperlink ref="Y1310" r:id="rId27" xr:uid="{27AF12F9-8215-4B92-8147-FCFC0ACE7B5C}"/>
    <hyperlink ref="O1512:O1526" r:id="rId28" display="重い河" xr:uid="{8CF141A0-2DFF-47DF-AC13-E38EF259217C}"/>
    <hyperlink ref="O1511" r:id="rId29" xr:uid="{A7D83435-B977-4251-A797-D74A031EB6B6}"/>
    <hyperlink ref="G3384:G3396" r:id="rId30" display="chanson" xr:uid="{015D01AA-1110-4DED-A271-8C0A2D6FB2E9}"/>
    <hyperlink ref="G3382" r:id="rId31" xr:uid="{B79D6DEA-CF4A-4EFA-91C1-619A3186BE01}"/>
    <hyperlink ref="G3456" r:id="rId32" xr:uid="{A7242A21-973E-494A-84E9-7963BABCBB5E}"/>
    <hyperlink ref="O1239" r:id="rId33" xr:uid="{CFB8BFA7-9337-45E8-BAC4-53C6D80102D8}"/>
    <hyperlink ref="Y1309:Y1310" r:id="rId34" display="大泉實成/ジュンク堂" xr:uid="{64E9D42D-7A0D-4B81-9E93-7C2CDD5DC7B5}"/>
    <hyperlink ref="O1263" r:id="rId35" xr:uid="{853626EF-8FF2-4959-AF18-4968D780F15D}"/>
    <hyperlink ref="O1262" r:id="rId36" xr:uid="{4739FBCC-1CE8-4294-A328-E253F626A8B3}"/>
    <hyperlink ref="O343" r:id="rId37" xr:uid="{6C5B61FF-0A4A-44E0-B176-6C1011E834F8}"/>
    <hyperlink ref="O1326" r:id="rId38" xr:uid="{945693CB-E961-4E38-9155-BD0ABC95E931}"/>
    <hyperlink ref="Y1326" r:id="rId39" xr:uid="{8B9C69B2-BC6D-4302-9056-62DFC2FE642D}"/>
    <hyperlink ref="O1203" r:id="rId40" xr:uid="{F148AE66-9473-4071-88CE-4421C6A638CB}"/>
    <hyperlink ref="O342" r:id="rId41" xr:uid="{39352646-3084-4B71-B1F5-4250F90EE90E}"/>
    <hyperlink ref="Y1319" r:id="rId42" xr:uid="{5932B8A0-1EF0-4768-A245-F22AF9526046}"/>
    <hyperlink ref="O2527" r:id="rId43" xr:uid="{B7D70020-05BC-42C2-ABA0-85B648D1E4BD}"/>
    <hyperlink ref="O1477" r:id="rId44" display="金沢・能登 マップルガイド5" xr:uid="{E61F0A1F-5A30-4333-8CA6-BE27B4038C6A}"/>
    <hyperlink ref="O1192" r:id="rId45" xr:uid="{0C1F66D9-1ED1-4124-A123-6E608CF5981C}"/>
    <hyperlink ref="O344" r:id="rId46" xr:uid="{DE303B92-D456-4C6B-883A-4AC4AF868058}"/>
    <hyperlink ref="O1210" r:id="rId47" xr:uid="{E1E74A51-69D5-4528-B9D2-C80D56913D6D}"/>
    <hyperlink ref="O3457" r:id="rId48" display="ズビズバもの" xr:uid="{9FDD997A-EE46-4DDE-ADBA-7425FC659874}"/>
    <hyperlink ref="O3456" r:id="rId49" xr:uid="{D744841B-5A9C-4713-89CC-6970D195C1E5}"/>
    <hyperlink ref="O3462" r:id="rId50" xr:uid="{A50BA9F6-7C86-461D-91FC-2DD129B990A9}"/>
    <hyperlink ref="T852" r:id="rId51" xr:uid="{756C864C-4273-48EF-85FB-8671924F7526}"/>
    <hyperlink ref="Y1348" r:id="rId52" xr:uid="{BF23FE19-3220-4F60-B9D0-657555E570C2}"/>
    <hyperlink ref="O1319" r:id="rId53" xr:uid="{5A8020D7-B2B6-4F31-BA63-9AFC7E1EE4EA}"/>
    <hyperlink ref="I1326" r:id="rId54" xr:uid="{EBF9A35B-91A1-4313-8BB3-324811B264CE}"/>
    <hyperlink ref="I1263" r:id="rId55" xr:uid="{831A1BB5-A7E1-4B1D-A96F-0392B06FE06B}"/>
    <hyperlink ref="Y648" r:id="rId56" xr:uid="{A9CBCB30-4B79-40E0-9A57-F6D8C7B64125}"/>
  </hyperlinks>
  <pageMargins left="0.78700000000000003" right="0.78700000000000003" top="0.98399999999999999" bottom="0.98399999999999999" header="0.51200000000000001" footer="0.51200000000000001"/>
  <pageSetup paperSize="9" orientation="landscape" verticalDpi="4294967293" r:id="rId57"/>
  <headerFooter alignWithMargins="0"/>
  <tableParts count="1">
    <tablePart r:id="rId5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A5E06-D957-49BF-AECF-A2AEB3A986C5}">
  <sheetPr codeName="Sheet1"/>
  <dimension ref="A1:AM27"/>
  <sheetViews>
    <sheetView zoomScale="98" zoomScaleNormal="98" workbookViewId="0">
      <pane xSplit="1" ySplit="1" topLeftCell="B2" activePane="bottomRight" state="frozen"/>
      <selection sqref="A1:IV65536"/>
      <selection pane="topRight" sqref="A1:IV65536"/>
      <selection pane="bottomLeft" sqref="A1:IV65536"/>
      <selection pane="bottomRight" activeCell="C1" sqref="C1"/>
    </sheetView>
  </sheetViews>
  <sheetFormatPr defaultRowHeight="15" x14ac:dyDescent="0.15"/>
  <cols>
    <col min="1" max="1" width="12.5" style="93" bestFit="1" customWidth="1"/>
    <col min="2" max="4" width="40.625" style="95" customWidth="1"/>
    <col min="5" max="39" width="40.625" style="93" customWidth="1"/>
    <col min="40" max="16384" width="9" style="93"/>
  </cols>
  <sheetData>
    <row r="1" spans="1:39" ht="36" x14ac:dyDescent="0.15">
      <c r="A1" s="91" t="s">
        <v>3306</v>
      </c>
      <c r="B1" s="99" t="s">
        <v>3307</v>
      </c>
      <c r="C1" s="99" t="s">
        <v>3308</v>
      </c>
      <c r="D1" s="99" t="s">
        <v>3309</v>
      </c>
      <c r="E1" s="99" t="s">
        <v>3310</v>
      </c>
      <c r="F1" s="99" t="s">
        <v>3311</v>
      </c>
      <c r="G1" s="99" t="s">
        <v>3312</v>
      </c>
      <c r="H1" s="99" t="s">
        <v>3313</v>
      </c>
      <c r="I1" s="99" t="s">
        <v>3314</v>
      </c>
      <c r="J1" s="99" t="s">
        <v>3315</v>
      </c>
      <c r="K1" s="99" t="s">
        <v>3316</v>
      </c>
      <c r="L1" s="99" t="s">
        <v>3317</v>
      </c>
      <c r="M1" s="102" t="s">
        <v>3284</v>
      </c>
      <c r="N1" s="99" t="s">
        <v>3318</v>
      </c>
      <c r="O1" s="99" t="s">
        <v>3319</v>
      </c>
      <c r="P1" s="99" t="s">
        <v>3320</v>
      </c>
      <c r="Q1" s="99" t="s">
        <v>3321</v>
      </c>
      <c r="R1" s="99" t="s">
        <v>3322</v>
      </c>
      <c r="S1" s="99" t="s">
        <v>3323</v>
      </c>
      <c r="T1" s="99" t="s">
        <v>3324</v>
      </c>
      <c r="U1" s="99" t="s">
        <v>3325</v>
      </c>
      <c r="V1" s="99" t="s">
        <v>3326</v>
      </c>
      <c r="W1" s="99" t="s">
        <v>3327</v>
      </c>
      <c r="X1" s="99" t="s">
        <v>3328</v>
      </c>
      <c r="Y1" s="99" t="s">
        <v>3329</v>
      </c>
      <c r="Z1" s="99" t="s">
        <v>3330</v>
      </c>
      <c r="AA1" s="99" t="s">
        <v>3321</v>
      </c>
      <c r="AB1" s="99" t="s">
        <v>3331</v>
      </c>
      <c r="AC1" s="99" t="s">
        <v>3332</v>
      </c>
      <c r="AD1" s="99" t="s">
        <v>3333</v>
      </c>
      <c r="AE1" s="99" t="s">
        <v>3334</v>
      </c>
      <c r="AF1" s="99" t="s">
        <v>3335</v>
      </c>
      <c r="AG1" s="99" t="s">
        <v>3336</v>
      </c>
      <c r="AH1" s="99" t="s">
        <v>3337</v>
      </c>
      <c r="AI1" s="99" t="s">
        <v>3338</v>
      </c>
      <c r="AJ1" s="99" t="s">
        <v>3339</v>
      </c>
      <c r="AK1" s="102" t="s">
        <v>3285</v>
      </c>
      <c r="AL1" s="99" t="s">
        <v>3340</v>
      </c>
      <c r="AM1" s="99" t="s">
        <v>3341</v>
      </c>
    </row>
    <row r="2" spans="1:39" ht="36" x14ac:dyDescent="0.15">
      <c r="A2" s="91" t="s">
        <v>3342</v>
      </c>
      <c r="B2" s="99" t="s">
        <v>3343</v>
      </c>
      <c r="C2" s="99" t="s">
        <v>3344</v>
      </c>
      <c r="D2" s="99" t="s">
        <v>3345</v>
      </c>
      <c r="E2" s="99" t="s">
        <v>3346</v>
      </c>
      <c r="F2" s="99" t="s">
        <v>3347</v>
      </c>
      <c r="G2" s="99" t="s">
        <v>3348</v>
      </c>
      <c r="H2" s="99" t="s">
        <v>3349</v>
      </c>
      <c r="I2" s="99" t="s">
        <v>3350</v>
      </c>
      <c r="J2" s="99" t="s">
        <v>3351</v>
      </c>
      <c r="K2" s="99" t="s">
        <v>3352</v>
      </c>
      <c r="L2" s="99" t="s">
        <v>3353</v>
      </c>
      <c r="M2" s="102" t="s">
        <v>3286</v>
      </c>
      <c r="N2" s="99" t="s">
        <v>3354</v>
      </c>
      <c r="O2" s="99" t="s">
        <v>3355</v>
      </c>
      <c r="P2" s="99" t="s">
        <v>3356</v>
      </c>
      <c r="Q2" s="99" t="s">
        <v>3357</v>
      </c>
      <c r="R2" s="99"/>
      <c r="S2" s="99" t="s">
        <v>3358</v>
      </c>
      <c r="T2" s="99" t="s">
        <v>3358</v>
      </c>
      <c r="U2" s="99" t="s">
        <v>3359</v>
      </c>
      <c r="V2" s="99" t="s">
        <v>3360</v>
      </c>
      <c r="W2" s="99" t="s">
        <v>3361</v>
      </c>
      <c r="X2" s="99" t="s">
        <v>3362</v>
      </c>
      <c r="Y2" s="99" t="s">
        <v>3363</v>
      </c>
      <c r="Z2" s="99" t="s">
        <v>3364</v>
      </c>
      <c r="AA2" s="99" t="s">
        <v>3357</v>
      </c>
      <c r="AB2" s="99" t="s">
        <v>3365</v>
      </c>
      <c r="AC2" s="99" t="s">
        <v>3366</v>
      </c>
      <c r="AD2" s="99" t="s">
        <v>3365</v>
      </c>
      <c r="AE2" s="99" t="s">
        <v>3366</v>
      </c>
      <c r="AF2" s="99" t="s">
        <v>3366</v>
      </c>
      <c r="AG2" s="99" t="s">
        <v>3366</v>
      </c>
      <c r="AH2" s="99" t="s">
        <v>3366</v>
      </c>
      <c r="AI2" s="99" t="s">
        <v>3366</v>
      </c>
      <c r="AJ2" s="99" t="s">
        <v>3365</v>
      </c>
      <c r="AK2" s="102" t="s">
        <v>3287</v>
      </c>
      <c r="AL2" s="99" t="s">
        <v>3366</v>
      </c>
      <c r="AM2" s="99" t="s">
        <v>3367</v>
      </c>
    </row>
    <row r="3" spans="1:39" ht="18" x14ac:dyDescent="0.15">
      <c r="A3" s="91" t="s">
        <v>3368</v>
      </c>
      <c r="B3" s="99" t="s">
        <v>3369</v>
      </c>
      <c r="C3" s="99" t="s">
        <v>3369</v>
      </c>
      <c r="D3" s="99" t="s">
        <v>3370</v>
      </c>
      <c r="E3" s="99" t="s">
        <v>3371</v>
      </c>
      <c r="F3" s="99" t="s">
        <v>3372</v>
      </c>
      <c r="G3" s="99" t="s">
        <v>3373</v>
      </c>
      <c r="H3" s="99" t="s">
        <v>3374</v>
      </c>
      <c r="I3" s="99" t="s">
        <v>3375</v>
      </c>
      <c r="J3" s="99" t="s">
        <v>3372</v>
      </c>
      <c r="K3" s="99" t="s">
        <v>3376</v>
      </c>
      <c r="L3" s="99" t="s">
        <v>3377</v>
      </c>
      <c r="M3" s="102" t="s">
        <v>3288</v>
      </c>
      <c r="N3" s="99" t="s">
        <v>3378</v>
      </c>
      <c r="O3" s="99" t="s">
        <v>3378</v>
      </c>
      <c r="P3" s="99" t="s">
        <v>3379</v>
      </c>
      <c r="Q3" s="99" t="s">
        <v>3378</v>
      </c>
      <c r="R3" s="99" t="s">
        <v>3378</v>
      </c>
      <c r="S3" s="99" t="s">
        <v>3376</v>
      </c>
      <c r="T3" s="99" t="s">
        <v>3376</v>
      </c>
      <c r="U3" s="99" t="s">
        <v>3380</v>
      </c>
      <c r="V3" s="99" t="s">
        <v>3381</v>
      </c>
      <c r="W3" s="99" t="s">
        <v>3382</v>
      </c>
      <c r="X3" s="99" t="s">
        <v>3383</v>
      </c>
      <c r="Y3" s="99" t="s">
        <v>3382</v>
      </c>
      <c r="Z3" s="99" t="s">
        <v>3384</v>
      </c>
      <c r="AA3" s="99" t="s">
        <v>3378</v>
      </c>
      <c r="AB3" s="99" t="s">
        <v>3385</v>
      </c>
      <c r="AC3" s="99" t="s">
        <v>3385</v>
      </c>
      <c r="AD3" s="99" t="s">
        <v>3386</v>
      </c>
      <c r="AE3" s="99" t="s">
        <v>3386</v>
      </c>
      <c r="AF3" s="99" t="s">
        <v>3386</v>
      </c>
      <c r="AG3" s="99" t="s">
        <v>3385</v>
      </c>
      <c r="AH3" s="99" t="s">
        <v>3386</v>
      </c>
      <c r="AI3" s="99" t="s">
        <v>3386</v>
      </c>
      <c r="AJ3" s="99" t="s">
        <v>3386</v>
      </c>
      <c r="AK3" s="102" t="s">
        <v>3289</v>
      </c>
      <c r="AL3" s="99" t="s">
        <v>3386</v>
      </c>
      <c r="AM3" s="99" t="s">
        <v>3385</v>
      </c>
    </row>
    <row r="4" spans="1:39" ht="18" x14ac:dyDescent="0.15">
      <c r="A4" s="91" t="s">
        <v>3387</v>
      </c>
      <c r="B4" s="99"/>
      <c r="C4" s="99"/>
      <c r="D4" s="99"/>
      <c r="E4" s="99"/>
      <c r="F4" s="99"/>
      <c r="G4" s="99"/>
      <c r="H4" s="99"/>
      <c r="I4" s="99"/>
      <c r="J4" s="99"/>
      <c r="K4" s="99"/>
      <c r="L4" s="99"/>
      <c r="M4" s="102"/>
      <c r="N4" s="99"/>
      <c r="O4" s="99"/>
      <c r="P4" s="99"/>
      <c r="Q4" s="99"/>
      <c r="R4" s="99"/>
      <c r="S4" s="99"/>
      <c r="T4" s="99"/>
      <c r="U4" s="99" t="s">
        <v>3388</v>
      </c>
      <c r="V4" s="99"/>
      <c r="W4" s="99"/>
      <c r="X4" s="99" t="s">
        <v>3389</v>
      </c>
      <c r="Y4" s="99"/>
      <c r="Z4" s="99"/>
      <c r="AA4" s="99"/>
      <c r="AB4" s="99"/>
      <c r="AC4" s="99"/>
      <c r="AD4" s="99"/>
      <c r="AE4" s="99"/>
      <c r="AF4" s="99"/>
      <c r="AG4" s="99"/>
      <c r="AH4" s="99"/>
      <c r="AI4" s="99"/>
      <c r="AJ4" s="99"/>
      <c r="AK4" s="102"/>
      <c r="AL4" s="99"/>
      <c r="AM4" s="99"/>
    </row>
    <row r="5" spans="1:39" ht="18" x14ac:dyDescent="0.15">
      <c r="A5" s="91" t="s">
        <v>3390</v>
      </c>
      <c r="B5" s="99">
        <v>2000.1</v>
      </c>
      <c r="C5" s="99">
        <v>2006.12</v>
      </c>
      <c r="D5" s="99">
        <v>2004.5</v>
      </c>
      <c r="E5" s="99">
        <v>1982.2</v>
      </c>
      <c r="F5" s="99">
        <v>1998.4</v>
      </c>
      <c r="G5" s="99">
        <v>1995.7</v>
      </c>
      <c r="H5" s="99">
        <v>1997.11</v>
      </c>
      <c r="I5" s="99">
        <v>1978</v>
      </c>
      <c r="J5" s="99">
        <v>2001.7</v>
      </c>
      <c r="K5" s="99">
        <v>2003.6</v>
      </c>
      <c r="L5" s="99">
        <v>1998.5</v>
      </c>
      <c r="M5" s="102">
        <v>1994.1</v>
      </c>
      <c r="N5" s="99">
        <v>1987.3</v>
      </c>
      <c r="O5" s="99">
        <v>1985.1</v>
      </c>
      <c r="P5" s="99">
        <v>1995.9</v>
      </c>
      <c r="Q5" s="99">
        <v>1986.1</v>
      </c>
      <c r="R5" s="99">
        <v>1988.6</v>
      </c>
      <c r="S5" s="99">
        <v>1985.8</v>
      </c>
      <c r="T5" s="99">
        <v>1985.8</v>
      </c>
      <c r="U5" s="99">
        <v>1999.1</v>
      </c>
      <c r="V5" s="99">
        <v>2006.1</v>
      </c>
      <c r="W5" s="99">
        <v>2006.1</v>
      </c>
      <c r="X5" s="99">
        <v>2006.5</v>
      </c>
      <c r="Y5" s="99">
        <v>2006.1</v>
      </c>
      <c r="Z5" s="99">
        <v>1986</v>
      </c>
      <c r="AA5" s="99">
        <v>1986.1</v>
      </c>
      <c r="AB5" s="99">
        <v>2003.11</v>
      </c>
      <c r="AC5" s="99">
        <v>2000.9</v>
      </c>
      <c r="AD5" s="99">
        <v>2004.11</v>
      </c>
      <c r="AE5" s="99">
        <v>2002.11</v>
      </c>
      <c r="AF5" s="99">
        <v>2002.11</v>
      </c>
      <c r="AG5" s="99">
        <v>2004.9</v>
      </c>
      <c r="AH5" s="99">
        <v>2004.9</v>
      </c>
      <c r="AI5" s="99">
        <v>2006.5</v>
      </c>
      <c r="AJ5" s="99">
        <v>2010.3</v>
      </c>
      <c r="AK5" s="102">
        <v>2008.7</v>
      </c>
      <c r="AL5" s="99">
        <v>2008.7</v>
      </c>
      <c r="AM5" s="99">
        <v>2001.9</v>
      </c>
    </row>
    <row r="6" spans="1:39" ht="18" x14ac:dyDescent="0.15">
      <c r="A6" s="91" t="s">
        <v>3391</v>
      </c>
      <c r="B6" s="99" t="s">
        <v>3392</v>
      </c>
      <c r="C6" s="99" t="s">
        <v>3392</v>
      </c>
      <c r="D6" s="99" t="s">
        <v>3393</v>
      </c>
      <c r="E6" s="99" t="s">
        <v>3394</v>
      </c>
      <c r="F6" s="99" t="s">
        <v>3395</v>
      </c>
      <c r="G6" s="99" t="s">
        <v>3396</v>
      </c>
      <c r="H6" s="99" t="s">
        <v>3397</v>
      </c>
      <c r="I6" s="99" t="s">
        <v>3398</v>
      </c>
      <c r="J6" s="99" t="s">
        <v>3399</v>
      </c>
      <c r="K6" s="99" t="s">
        <v>3400</v>
      </c>
      <c r="L6" s="99" t="s">
        <v>3401</v>
      </c>
      <c r="M6" s="102" t="s">
        <v>3290</v>
      </c>
      <c r="N6" s="99" t="s">
        <v>3402</v>
      </c>
      <c r="O6" s="99" t="s">
        <v>3402</v>
      </c>
      <c r="P6" s="99" t="s">
        <v>3403</v>
      </c>
      <c r="Q6" s="99" t="s">
        <v>3402</v>
      </c>
      <c r="R6" s="99" t="s">
        <v>3402</v>
      </c>
      <c r="S6" s="99" t="s">
        <v>3404</v>
      </c>
      <c r="T6" s="99" t="s">
        <v>3404</v>
      </c>
      <c r="U6" s="99" t="s">
        <v>3405</v>
      </c>
      <c r="V6" s="99" t="s">
        <v>3406</v>
      </c>
      <c r="W6" s="99" t="s">
        <v>3407</v>
      </c>
      <c r="X6" s="99" t="s">
        <v>3408</v>
      </c>
      <c r="Y6" s="99" t="s">
        <v>3407</v>
      </c>
      <c r="Z6" s="99" t="s">
        <v>3409</v>
      </c>
      <c r="AA6" s="99" t="s">
        <v>3402</v>
      </c>
      <c r="AB6" s="99" t="s">
        <v>3410</v>
      </c>
      <c r="AC6" s="99" t="s">
        <v>3411</v>
      </c>
      <c r="AD6" s="99" t="s">
        <v>3412</v>
      </c>
      <c r="AE6" s="99" t="s">
        <v>3411</v>
      </c>
      <c r="AF6" s="99" t="s">
        <v>3411</v>
      </c>
      <c r="AG6" s="99" t="s">
        <v>3413</v>
      </c>
      <c r="AH6" s="99" t="s">
        <v>3413</v>
      </c>
      <c r="AI6" s="99" t="s">
        <v>3411</v>
      </c>
      <c r="AJ6" s="99" t="s">
        <v>3414</v>
      </c>
      <c r="AK6" s="102" t="s">
        <v>3291</v>
      </c>
      <c r="AL6" s="99" t="s">
        <v>3411</v>
      </c>
      <c r="AM6" s="99" t="s">
        <v>3415</v>
      </c>
    </row>
    <row r="7" spans="1:39" ht="18" x14ac:dyDescent="0.15">
      <c r="A7" s="91" t="s">
        <v>3416</v>
      </c>
      <c r="B7" s="99" t="s">
        <v>3417</v>
      </c>
      <c r="C7" s="99" t="s">
        <v>3417</v>
      </c>
      <c r="D7" s="99" t="s">
        <v>3418</v>
      </c>
      <c r="E7" s="99" t="s">
        <v>3419</v>
      </c>
      <c r="F7" s="99" t="s">
        <v>3420</v>
      </c>
      <c r="G7" s="99" t="s">
        <v>3417</v>
      </c>
      <c r="H7" s="99" t="s">
        <v>3421</v>
      </c>
      <c r="I7" s="99" t="s">
        <v>3418</v>
      </c>
      <c r="J7" s="99" t="s">
        <v>3422</v>
      </c>
      <c r="K7" s="99" t="s">
        <v>3418</v>
      </c>
      <c r="L7" s="99" t="s">
        <v>3423</v>
      </c>
      <c r="M7" s="102" t="s">
        <v>3292</v>
      </c>
      <c r="N7" s="99" t="s">
        <v>3424</v>
      </c>
      <c r="O7" s="99" t="s">
        <v>3425</v>
      </c>
      <c r="P7" s="99" t="s">
        <v>3426</v>
      </c>
      <c r="Q7" s="99" t="s">
        <v>3427</v>
      </c>
      <c r="R7" s="99" t="s">
        <v>3428</v>
      </c>
      <c r="S7" s="99" t="s">
        <v>3429</v>
      </c>
      <c r="T7" s="99" t="s">
        <v>3430</v>
      </c>
      <c r="U7" s="99" t="s">
        <v>3431</v>
      </c>
      <c r="V7" s="99" t="s">
        <v>3432</v>
      </c>
      <c r="W7" s="99" t="s">
        <v>3433</v>
      </c>
      <c r="X7" s="99" t="s">
        <v>3434</v>
      </c>
      <c r="Y7" s="99" t="s">
        <v>3435</v>
      </c>
      <c r="Z7" s="99" t="s">
        <v>3436</v>
      </c>
      <c r="AA7" s="99" t="s">
        <v>3427</v>
      </c>
      <c r="AB7" s="99" t="s">
        <v>3437</v>
      </c>
      <c r="AC7" s="99" t="s">
        <v>3438</v>
      </c>
      <c r="AD7" s="99" t="s">
        <v>3439</v>
      </c>
      <c r="AE7" s="99" t="s">
        <v>3440</v>
      </c>
      <c r="AF7" s="99" t="s">
        <v>3441</v>
      </c>
      <c r="AG7" s="99" t="s">
        <v>3442</v>
      </c>
      <c r="AH7" s="99" t="s">
        <v>3443</v>
      </c>
      <c r="AI7" s="99" t="s">
        <v>3444</v>
      </c>
      <c r="AJ7" s="99" t="s">
        <v>3445</v>
      </c>
      <c r="AK7" s="102" t="s">
        <v>3293</v>
      </c>
      <c r="AL7" s="99" t="s">
        <v>3446</v>
      </c>
      <c r="AM7" s="99" t="s">
        <v>3447</v>
      </c>
    </row>
    <row r="8" spans="1:39" ht="18" x14ac:dyDescent="0.15">
      <c r="A8" s="91" t="s">
        <v>3448</v>
      </c>
      <c r="B8" s="99" t="s">
        <v>3449</v>
      </c>
      <c r="C8" s="99" t="s">
        <v>3450</v>
      </c>
      <c r="D8" s="99" t="s">
        <v>3451</v>
      </c>
      <c r="E8" s="99" t="s">
        <v>3452</v>
      </c>
      <c r="F8" s="99" t="s">
        <v>3453</v>
      </c>
      <c r="G8" s="99" t="s">
        <v>3454</v>
      </c>
      <c r="H8" s="99" t="s">
        <v>3451</v>
      </c>
      <c r="I8" s="99" t="s">
        <v>3455</v>
      </c>
      <c r="J8" s="99" t="s">
        <v>3452</v>
      </c>
      <c r="K8" s="99" t="s">
        <v>3456</v>
      </c>
      <c r="L8" s="99" t="s">
        <v>3457</v>
      </c>
      <c r="M8" s="102" t="s">
        <v>3294</v>
      </c>
      <c r="N8" s="99" t="s">
        <v>3458</v>
      </c>
      <c r="O8" s="99" t="s">
        <v>3458</v>
      </c>
      <c r="P8" s="99" t="s">
        <v>3459</v>
      </c>
      <c r="Q8" s="99" t="s">
        <v>3458</v>
      </c>
      <c r="R8" s="99" t="s">
        <v>3458</v>
      </c>
      <c r="S8" s="99" t="s">
        <v>3460</v>
      </c>
      <c r="T8" s="99" t="s">
        <v>3460</v>
      </c>
      <c r="U8" s="99" t="s">
        <v>3458</v>
      </c>
      <c r="V8" s="99" t="s">
        <v>3459</v>
      </c>
      <c r="W8" s="99" t="s">
        <v>3461</v>
      </c>
      <c r="X8" s="99" t="s">
        <v>3461</v>
      </c>
      <c r="Y8" s="99" t="s">
        <v>3461</v>
      </c>
      <c r="Z8" s="99" t="s">
        <v>3458</v>
      </c>
      <c r="AA8" s="99" t="s">
        <v>3458</v>
      </c>
      <c r="AB8" s="99" t="s">
        <v>3462</v>
      </c>
      <c r="AC8" s="99" t="s">
        <v>3458</v>
      </c>
      <c r="AD8" s="99" t="s">
        <v>3463</v>
      </c>
      <c r="AE8" s="99" t="s">
        <v>3464</v>
      </c>
      <c r="AF8" s="99" t="s">
        <v>3464</v>
      </c>
      <c r="AG8" s="99" t="s">
        <v>3458</v>
      </c>
      <c r="AH8" s="99" t="s">
        <v>3464</v>
      </c>
      <c r="AI8" s="99" t="s">
        <v>3464</v>
      </c>
      <c r="AJ8" s="99" t="s">
        <v>3463</v>
      </c>
      <c r="AK8" s="102" t="s">
        <v>3295</v>
      </c>
      <c r="AL8" s="99" t="s">
        <v>3464</v>
      </c>
      <c r="AM8" s="99" t="s">
        <v>3462</v>
      </c>
    </row>
    <row r="9" spans="1:39" ht="36" x14ac:dyDescent="0.15">
      <c r="A9" s="103" t="s">
        <v>3465</v>
      </c>
      <c r="B9" s="99"/>
      <c r="C9" s="99"/>
      <c r="D9" s="99" t="s">
        <v>3466</v>
      </c>
      <c r="E9" s="99"/>
      <c r="F9" s="99"/>
      <c r="G9" s="99" t="s">
        <v>494</v>
      </c>
      <c r="H9" s="94"/>
      <c r="I9" s="99" t="s">
        <v>3467</v>
      </c>
      <c r="J9" s="99" t="s">
        <v>3468</v>
      </c>
      <c r="K9" s="94"/>
      <c r="L9" s="94" t="s">
        <v>3469</v>
      </c>
      <c r="M9" s="102" t="s">
        <v>3296</v>
      </c>
      <c r="N9" s="99" t="s">
        <v>3470</v>
      </c>
      <c r="O9" s="99" t="s">
        <v>3471</v>
      </c>
      <c r="P9" s="99" t="s">
        <v>3472</v>
      </c>
      <c r="Q9" s="99" t="s">
        <v>3473</v>
      </c>
      <c r="R9" s="99" t="s">
        <v>3474</v>
      </c>
      <c r="S9" s="99" t="s">
        <v>3475</v>
      </c>
      <c r="T9" s="99" t="s">
        <v>3476</v>
      </c>
      <c r="U9" s="99"/>
      <c r="V9" s="99"/>
      <c r="W9" s="99"/>
      <c r="X9" s="99" t="s">
        <v>3477</v>
      </c>
      <c r="Y9" s="99"/>
      <c r="Z9" s="99"/>
      <c r="AA9" s="99" t="s">
        <v>3478</v>
      </c>
      <c r="AB9" s="99"/>
      <c r="AC9" s="99"/>
      <c r="AD9" s="99"/>
      <c r="AE9" s="99"/>
      <c r="AF9" s="99"/>
      <c r="AG9" s="99"/>
      <c r="AH9" s="99"/>
      <c r="AI9" s="99"/>
      <c r="AJ9" s="99"/>
      <c r="AK9" s="102"/>
      <c r="AL9" s="99"/>
      <c r="AM9" s="99" t="s">
        <v>3479</v>
      </c>
    </row>
    <row r="10" spans="1:39" ht="90" x14ac:dyDescent="0.15">
      <c r="A10" s="91" t="s">
        <v>3480</v>
      </c>
      <c r="B10" s="99" t="s">
        <v>3481</v>
      </c>
      <c r="C10" s="99" t="s">
        <v>3482</v>
      </c>
      <c r="D10" s="99"/>
      <c r="E10" s="99" t="s">
        <v>3483</v>
      </c>
      <c r="F10" s="99" t="s">
        <v>3484</v>
      </c>
      <c r="G10" s="94"/>
      <c r="H10" s="99" t="s">
        <v>3485</v>
      </c>
      <c r="I10" s="94"/>
      <c r="J10" s="94"/>
      <c r="K10" s="99" t="s">
        <v>3486</v>
      </c>
      <c r="L10" s="99"/>
      <c r="M10" s="102"/>
      <c r="N10" s="99"/>
      <c r="O10" s="99"/>
      <c r="P10" s="99"/>
      <c r="Q10" s="99"/>
      <c r="R10" s="99"/>
      <c r="S10" s="99"/>
      <c r="T10" s="99"/>
      <c r="U10" s="99"/>
      <c r="V10" s="99" t="s">
        <v>3487</v>
      </c>
      <c r="W10" s="99"/>
      <c r="X10" s="99"/>
      <c r="Y10" s="99"/>
      <c r="Z10" s="99"/>
      <c r="AA10" s="99"/>
      <c r="AB10" s="99" t="s">
        <v>3488</v>
      </c>
      <c r="AC10" s="99" t="s">
        <v>3489</v>
      </c>
      <c r="AD10" s="99" t="s">
        <v>3490</v>
      </c>
      <c r="AE10" s="99" t="s">
        <v>3491</v>
      </c>
      <c r="AF10" s="99" t="s">
        <v>3491</v>
      </c>
      <c r="AG10" s="99" t="s">
        <v>3492</v>
      </c>
      <c r="AH10" s="99" t="s">
        <v>3492</v>
      </c>
      <c r="AI10" s="99" t="s">
        <v>3493</v>
      </c>
      <c r="AJ10" s="99" t="s">
        <v>3493</v>
      </c>
      <c r="AK10" s="102" t="s">
        <v>3297</v>
      </c>
      <c r="AL10" s="99" t="s">
        <v>3494</v>
      </c>
      <c r="AM10" s="99" t="s">
        <v>3495</v>
      </c>
    </row>
    <row r="11" spans="1:39" ht="18" x14ac:dyDescent="0.15">
      <c r="A11" s="91" t="s">
        <v>3496</v>
      </c>
      <c r="B11" s="99" t="s">
        <v>495</v>
      </c>
      <c r="C11" s="99" t="s">
        <v>677</v>
      </c>
      <c r="D11" s="99" t="s">
        <v>496</v>
      </c>
      <c r="E11" s="99"/>
      <c r="F11" s="99" t="s">
        <v>497</v>
      </c>
      <c r="G11" s="94"/>
      <c r="H11" s="99" t="s">
        <v>498</v>
      </c>
      <c r="I11" s="99" t="s">
        <v>499</v>
      </c>
      <c r="J11" s="99" t="s">
        <v>500</v>
      </c>
      <c r="K11" s="99" t="s">
        <v>501</v>
      </c>
      <c r="L11" s="99" t="s">
        <v>676</v>
      </c>
      <c r="M11" s="102" t="s">
        <v>2466</v>
      </c>
      <c r="N11" s="94" t="s">
        <v>2464</v>
      </c>
      <c r="O11" s="94" t="s">
        <v>2477</v>
      </c>
      <c r="P11" s="99" t="s">
        <v>2479</v>
      </c>
      <c r="Q11" s="99" t="s">
        <v>2480</v>
      </c>
      <c r="R11" s="99" t="s">
        <v>2482</v>
      </c>
      <c r="S11" s="99" t="s">
        <v>2484</v>
      </c>
      <c r="T11" s="99" t="s">
        <v>2486</v>
      </c>
      <c r="U11" s="99" t="s">
        <v>2489</v>
      </c>
      <c r="V11" s="99" t="s">
        <v>2502</v>
      </c>
      <c r="W11" s="99" t="s">
        <v>2503</v>
      </c>
      <c r="X11" s="99" t="s">
        <v>2519</v>
      </c>
      <c r="Y11" s="99" t="s">
        <v>2520</v>
      </c>
      <c r="Z11" s="99" t="s">
        <v>2522</v>
      </c>
      <c r="AA11" s="99" t="s">
        <v>2480</v>
      </c>
      <c r="AB11" s="99" t="s">
        <v>2574</v>
      </c>
      <c r="AC11" s="99" t="s">
        <v>2524</v>
      </c>
      <c r="AD11" s="99" t="s">
        <v>2537</v>
      </c>
      <c r="AE11" s="99" t="s">
        <v>2538</v>
      </c>
      <c r="AF11" s="99" t="s">
        <v>2539</v>
      </c>
      <c r="AG11" s="99" t="s">
        <v>2533</v>
      </c>
      <c r="AH11" s="99" t="s">
        <v>2535</v>
      </c>
      <c r="AI11" s="99" t="s">
        <v>2540</v>
      </c>
      <c r="AJ11" s="99" t="s">
        <v>2541</v>
      </c>
      <c r="AK11" s="102" t="s">
        <v>2571</v>
      </c>
      <c r="AL11" s="99" t="s">
        <v>2572</v>
      </c>
      <c r="AM11" s="99" t="s">
        <v>2534</v>
      </c>
    </row>
    <row r="12" spans="1:39" ht="36" x14ac:dyDescent="0.15">
      <c r="A12" s="91" t="s">
        <v>3497</v>
      </c>
      <c r="B12" s="99" t="s">
        <v>3498</v>
      </c>
      <c r="C12" s="99" t="s">
        <v>3499</v>
      </c>
      <c r="D12" s="99"/>
      <c r="E12" s="99" t="s">
        <v>3500</v>
      </c>
      <c r="F12" s="99" t="s">
        <v>3501</v>
      </c>
      <c r="G12" s="94"/>
      <c r="H12" s="99" t="s">
        <v>3502</v>
      </c>
      <c r="I12" s="94"/>
      <c r="J12" s="94"/>
      <c r="K12" s="94"/>
      <c r="L12" s="94" t="s">
        <v>3503</v>
      </c>
      <c r="M12" s="102" t="s">
        <v>3298</v>
      </c>
      <c r="N12" s="94"/>
      <c r="O12" s="94"/>
      <c r="P12" s="99"/>
      <c r="Q12" s="99"/>
      <c r="R12" s="99"/>
      <c r="S12" s="99"/>
      <c r="T12" s="99"/>
      <c r="U12" s="99" t="s">
        <v>3504</v>
      </c>
      <c r="V12" s="99" t="s">
        <v>3505</v>
      </c>
      <c r="W12" s="99" t="s">
        <v>3505</v>
      </c>
      <c r="X12" s="99" t="s">
        <v>3506</v>
      </c>
      <c r="Y12" s="99" t="s">
        <v>3507</v>
      </c>
      <c r="Z12" s="99"/>
      <c r="AA12" s="99"/>
      <c r="AB12" s="99" t="s">
        <v>3508</v>
      </c>
      <c r="AC12" s="99" t="s">
        <v>3509</v>
      </c>
      <c r="AD12" s="99" t="s">
        <v>3510</v>
      </c>
      <c r="AE12" s="99" t="s">
        <v>3511</v>
      </c>
      <c r="AF12" s="99" t="s">
        <v>3511</v>
      </c>
      <c r="AG12" s="99" t="s">
        <v>3512</v>
      </c>
      <c r="AH12" s="99" t="s">
        <v>3512</v>
      </c>
      <c r="AI12" s="99" t="s">
        <v>3513</v>
      </c>
      <c r="AJ12" s="99" t="s">
        <v>3513</v>
      </c>
      <c r="AK12" s="99" t="s">
        <v>3514</v>
      </c>
      <c r="AL12" s="99" t="s">
        <v>3514</v>
      </c>
      <c r="AM12" s="99"/>
    </row>
    <row r="13" spans="1:39" ht="18" x14ac:dyDescent="0.15">
      <c r="A13" s="91" t="s">
        <v>3515</v>
      </c>
      <c r="B13" s="99">
        <v>233</v>
      </c>
      <c r="C13" s="99">
        <v>230</v>
      </c>
      <c r="D13" s="99" t="s">
        <v>502</v>
      </c>
      <c r="E13" s="99">
        <v>163</v>
      </c>
      <c r="F13" s="99">
        <v>164</v>
      </c>
      <c r="G13" s="99" t="s">
        <v>502</v>
      </c>
      <c r="H13" s="99">
        <v>468</v>
      </c>
      <c r="I13" s="99" t="s">
        <v>502</v>
      </c>
      <c r="J13" s="99" t="s">
        <v>502</v>
      </c>
      <c r="K13" s="99" t="s">
        <v>502</v>
      </c>
      <c r="L13" s="99">
        <v>711</v>
      </c>
      <c r="M13" s="102">
        <v>404</v>
      </c>
      <c r="N13" s="99">
        <v>908</v>
      </c>
      <c r="O13" s="99">
        <v>918</v>
      </c>
      <c r="P13" s="99">
        <v>913</v>
      </c>
      <c r="Q13" s="99">
        <v>908</v>
      </c>
      <c r="R13" s="99">
        <v>908</v>
      </c>
      <c r="S13" s="99">
        <v>933</v>
      </c>
      <c r="T13" s="99">
        <v>933</v>
      </c>
      <c r="U13" s="99">
        <v>210.04</v>
      </c>
      <c r="V13" s="99">
        <v>547.48329999999999</v>
      </c>
      <c r="W13" s="99">
        <v>547.48329999999999</v>
      </c>
      <c r="X13" s="99">
        <v>547.48329999999999</v>
      </c>
      <c r="Y13" s="99">
        <v>7.64</v>
      </c>
      <c r="Z13" s="99">
        <v>943</v>
      </c>
      <c r="AA13" s="99">
        <v>908</v>
      </c>
      <c r="AB13" s="99">
        <v>933.7</v>
      </c>
      <c r="AC13" s="99">
        <v>933.7</v>
      </c>
      <c r="AD13" s="99">
        <v>933.7</v>
      </c>
      <c r="AE13" s="99">
        <v>933.7</v>
      </c>
      <c r="AF13" s="99">
        <v>933.7</v>
      </c>
      <c r="AG13" s="99">
        <v>933.7</v>
      </c>
      <c r="AH13" s="99">
        <v>933.7</v>
      </c>
      <c r="AI13" s="99">
        <v>933.7</v>
      </c>
      <c r="AJ13" s="99">
        <v>933.7</v>
      </c>
      <c r="AK13" s="102">
        <v>933.7</v>
      </c>
      <c r="AL13" s="99">
        <v>933.7</v>
      </c>
      <c r="AM13" s="99">
        <v>933.7</v>
      </c>
    </row>
    <row r="14" spans="1:39" s="95" customFormat="1" ht="90" x14ac:dyDescent="0.15">
      <c r="A14" s="103" t="s">
        <v>3516</v>
      </c>
      <c r="B14" s="99"/>
      <c r="C14" s="99"/>
      <c r="D14" s="99" t="s">
        <v>3517</v>
      </c>
      <c r="E14" s="99"/>
      <c r="F14" s="99" t="s">
        <v>3518</v>
      </c>
      <c r="G14" s="99"/>
      <c r="H14" s="100"/>
      <c r="I14" s="100"/>
      <c r="J14" s="100"/>
      <c r="K14" s="100"/>
      <c r="L14" s="100"/>
      <c r="M14" s="102" t="s">
        <v>3299</v>
      </c>
      <c r="N14" s="99"/>
      <c r="O14" s="99"/>
      <c r="P14" s="100" t="s">
        <v>3519</v>
      </c>
      <c r="Q14" s="100"/>
      <c r="R14" s="100"/>
      <c r="S14" s="100"/>
      <c r="T14" s="100"/>
      <c r="U14" s="100"/>
      <c r="V14" s="99" t="s">
        <v>3520</v>
      </c>
      <c r="W14" s="100"/>
      <c r="X14" s="100" t="s">
        <v>3521</v>
      </c>
      <c r="Y14" s="100" t="s">
        <v>3522</v>
      </c>
      <c r="Z14" s="100"/>
      <c r="AA14" s="100"/>
      <c r="AB14" s="100" t="s">
        <v>3523</v>
      </c>
      <c r="AC14" s="100" t="s">
        <v>3524</v>
      </c>
      <c r="AD14" s="100" t="s">
        <v>3523</v>
      </c>
      <c r="AE14" s="100" t="s">
        <v>3525</v>
      </c>
      <c r="AF14" s="100" t="s">
        <v>3525</v>
      </c>
      <c r="AG14" s="100" t="s">
        <v>3526</v>
      </c>
      <c r="AH14" s="100" t="s">
        <v>3526</v>
      </c>
      <c r="AI14" s="100" t="s">
        <v>3525</v>
      </c>
      <c r="AJ14" s="99" t="s">
        <v>3527</v>
      </c>
      <c r="AK14" s="102" t="s">
        <v>3300</v>
      </c>
      <c r="AL14" s="99" t="s">
        <v>3525</v>
      </c>
      <c r="AM14" s="100" t="s">
        <v>3528</v>
      </c>
    </row>
    <row r="15" spans="1:39" ht="90" x14ac:dyDescent="0.15">
      <c r="A15" s="91" t="s">
        <v>3529</v>
      </c>
      <c r="B15" s="99" t="s">
        <v>3530</v>
      </c>
      <c r="C15" s="99" t="s">
        <v>3531</v>
      </c>
      <c r="D15" s="99" t="s">
        <v>3532</v>
      </c>
      <c r="E15" s="99"/>
      <c r="F15" s="99" t="s">
        <v>3533</v>
      </c>
      <c r="G15" s="99" t="s">
        <v>3534</v>
      </c>
      <c r="H15" s="99" t="s">
        <v>3535</v>
      </c>
      <c r="I15" s="94"/>
      <c r="J15" s="99" t="s">
        <v>3536</v>
      </c>
      <c r="K15" s="99" t="s">
        <v>3537</v>
      </c>
      <c r="L15" s="99" t="s">
        <v>3538</v>
      </c>
      <c r="M15" s="102" t="s">
        <v>3301</v>
      </c>
      <c r="N15" s="99"/>
      <c r="O15" s="99" t="s">
        <v>3539</v>
      </c>
      <c r="P15" s="99" t="s">
        <v>3540</v>
      </c>
      <c r="Q15" s="99"/>
      <c r="R15" s="99"/>
      <c r="S15" s="99"/>
      <c r="T15" s="99"/>
      <c r="U15" s="99" t="s">
        <v>3541</v>
      </c>
      <c r="V15" s="99" t="s">
        <v>3542</v>
      </c>
      <c r="W15" s="99" t="s">
        <v>3543</v>
      </c>
      <c r="X15" s="99" t="s">
        <v>3544</v>
      </c>
      <c r="Y15" s="99" t="s">
        <v>3545</v>
      </c>
      <c r="Z15" s="99"/>
      <c r="AA15" s="99"/>
      <c r="AB15" s="99" t="s">
        <v>3546</v>
      </c>
      <c r="AC15" s="99" t="s">
        <v>3547</v>
      </c>
      <c r="AD15" s="99" t="s">
        <v>3548</v>
      </c>
      <c r="AE15" s="99" t="s">
        <v>3549</v>
      </c>
      <c r="AF15" s="99" t="s">
        <v>3550</v>
      </c>
      <c r="AG15" s="99" t="s">
        <v>3551</v>
      </c>
      <c r="AH15" s="99"/>
      <c r="AI15" s="99" t="s">
        <v>3552</v>
      </c>
      <c r="AJ15" s="99" t="s">
        <v>3553</v>
      </c>
      <c r="AK15" s="102" t="s">
        <v>3302</v>
      </c>
      <c r="AL15" s="99" t="s">
        <v>3554</v>
      </c>
      <c r="AM15" s="99" t="s">
        <v>3555</v>
      </c>
    </row>
    <row r="16" spans="1:39" ht="90" x14ac:dyDescent="0.15">
      <c r="A16" s="91" t="s">
        <v>3556</v>
      </c>
      <c r="B16" s="99" t="s">
        <v>3557</v>
      </c>
      <c r="C16" s="99" t="s">
        <v>3558</v>
      </c>
      <c r="D16" s="99" t="s">
        <v>3559</v>
      </c>
      <c r="E16" s="99"/>
      <c r="F16" s="99" t="s">
        <v>3560</v>
      </c>
      <c r="G16" s="99" t="s">
        <v>3561</v>
      </c>
      <c r="H16" s="99" t="s">
        <v>3562</v>
      </c>
      <c r="I16" s="94"/>
      <c r="J16" s="94"/>
      <c r="K16" s="99" t="s">
        <v>3563</v>
      </c>
      <c r="L16" s="99"/>
      <c r="M16" s="102"/>
      <c r="N16" s="99"/>
      <c r="O16" s="99"/>
      <c r="P16" s="99" t="s">
        <v>3564</v>
      </c>
      <c r="Q16" s="99"/>
      <c r="R16" s="99"/>
      <c r="S16" s="99"/>
      <c r="T16" s="99"/>
      <c r="U16" s="99" t="s">
        <v>3565</v>
      </c>
      <c r="V16" s="99" t="s">
        <v>3566</v>
      </c>
      <c r="W16" s="99" t="s">
        <v>3567</v>
      </c>
      <c r="X16" s="99" t="s">
        <v>3568</v>
      </c>
      <c r="Y16" s="99" t="s">
        <v>3569</v>
      </c>
      <c r="Z16" s="99"/>
      <c r="AA16" s="99"/>
      <c r="AB16" s="99" t="s">
        <v>3570</v>
      </c>
      <c r="AC16" s="99"/>
      <c r="AD16" s="99" t="s">
        <v>3550</v>
      </c>
      <c r="AE16" s="99" t="s">
        <v>3550</v>
      </c>
      <c r="AF16" s="99"/>
      <c r="AG16" s="99" t="s">
        <v>3550</v>
      </c>
      <c r="AH16" s="99"/>
      <c r="AI16" s="99" t="s">
        <v>3571</v>
      </c>
      <c r="AJ16" s="100" t="s">
        <v>3572</v>
      </c>
      <c r="AK16" s="102" t="s">
        <v>3303</v>
      </c>
      <c r="AL16" s="99" t="s">
        <v>3573</v>
      </c>
      <c r="AM16" s="99"/>
    </row>
    <row r="17" spans="1:39" ht="18" x14ac:dyDescent="0.15">
      <c r="A17" s="91" t="s">
        <v>3574</v>
      </c>
      <c r="B17" s="99" t="s">
        <v>3575</v>
      </c>
      <c r="C17" s="99" t="s">
        <v>3575</v>
      </c>
      <c r="D17" s="99" t="s">
        <v>3576</v>
      </c>
      <c r="E17" s="99" t="s">
        <v>3575</v>
      </c>
      <c r="F17" s="99" t="s">
        <v>3575</v>
      </c>
      <c r="G17" s="99" t="s">
        <v>3576</v>
      </c>
      <c r="H17" s="99" t="s">
        <v>3575</v>
      </c>
      <c r="I17" s="99" t="s">
        <v>3576</v>
      </c>
      <c r="J17" s="99" t="s">
        <v>3576</v>
      </c>
      <c r="K17" s="99" t="s">
        <v>3576</v>
      </c>
      <c r="L17" s="99" t="s">
        <v>3575</v>
      </c>
      <c r="M17" s="102" t="s">
        <v>3304</v>
      </c>
      <c r="N17" s="99" t="s">
        <v>3575</v>
      </c>
      <c r="O17" s="99" t="s">
        <v>3575</v>
      </c>
      <c r="P17" s="99" t="s">
        <v>3577</v>
      </c>
      <c r="Q17" s="99" t="s">
        <v>3577</v>
      </c>
      <c r="R17" s="99" t="s">
        <v>3577</v>
      </c>
      <c r="S17" s="99" t="s">
        <v>3577</v>
      </c>
      <c r="T17" s="99" t="s">
        <v>3577</v>
      </c>
      <c r="U17" s="99" t="s">
        <v>3577</v>
      </c>
      <c r="V17" s="99" t="s">
        <v>3577</v>
      </c>
      <c r="W17" s="99" t="s">
        <v>3577</v>
      </c>
      <c r="X17" s="99" t="s">
        <v>3577</v>
      </c>
      <c r="Y17" s="99" t="s">
        <v>3577</v>
      </c>
      <c r="Z17" s="99" t="s">
        <v>3577</v>
      </c>
      <c r="AA17" s="99"/>
      <c r="AB17" s="99" t="s">
        <v>3577</v>
      </c>
      <c r="AC17" s="99" t="s">
        <v>3577</v>
      </c>
      <c r="AD17" s="99" t="s">
        <v>3577</v>
      </c>
      <c r="AE17" s="99" t="s">
        <v>3577</v>
      </c>
      <c r="AF17" s="99" t="s">
        <v>3577</v>
      </c>
      <c r="AG17" s="99" t="s">
        <v>3577</v>
      </c>
      <c r="AH17" s="99" t="s">
        <v>3577</v>
      </c>
      <c r="AI17" s="99" t="s">
        <v>3577</v>
      </c>
      <c r="AJ17" s="99" t="s">
        <v>3577</v>
      </c>
      <c r="AK17" s="102" t="s">
        <v>3304</v>
      </c>
      <c r="AL17" s="100" t="s">
        <v>3577</v>
      </c>
      <c r="AM17" s="99" t="s">
        <v>3577</v>
      </c>
    </row>
    <row r="18" spans="1:39" ht="18" x14ac:dyDescent="0.15">
      <c r="A18" s="91" t="s">
        <v>3578</v>
      </c>
      <c r="B18" s="99" t="s">
        <v>3579</v>
      </c>
      <c r="C18" s="99" t="s">
        <v>3579</v>
      </c>
      <c r="D18" s="99" t="s">
        <v>3579</v>
      </c>
      <c r="E18" s="99" t="s">
        <v>3579</v>
      </c>
      <c r="F18" s="99" t="s">
        <v>3579</v>
      </c>
      <c r="G18" s="99" t="s">
        <v>3579</v>
      </c>
      <c r="H18" s="99" t="s">
        <v>3579</v>
      </c>
      <c r="I18" s="99" t="s">
        <v>3579</v>
      </c>
      <c r="J18" s="99" t="s">
        <v>3579</v>
      </c>
      <c r="K18" s="99" t="s">
        <v>3579</v>
      </c>
      <c r="L18" s="99" t="s">
        <v>3579</v>
      </c>
      <c r="M18" s="102" t="s">
        <v>3305</v>
      </c>
      <c r="N18" s="94" t="s">
        <v>3580</v>
      </c>
      <c r="O18" s="94" t="s">
        <v>3580</v>
      </c>
      <c r="P18" s="99" t="s">
        <v>3580</v>
      </c>
      <c r="Q18" s="99" t="s">
        <v>3580</v>
      </c>
      <c r="R18" s="99" t="s">
        <v>3580</v>
      </c>
      <c r="S18" s="99" t="s">
        <v>3580</v>
      </c>
      <c r="T18" s="99" t="s">
        <v>3580</v>
      </c>
      <c r="U18" s="99" t="s">
        <v>3580</v>
      </c>
      <c r="V18" s="99" t="s">
        <v>3580</v>
      </c>
      <c r="W18" s="99" t="s">
        <v>3580</v>
      </c>
      <c r="X18" s="99" t="s">
        <v>3580</v>
      </c>
      <c r="Y18" s="99" t="s">
        <v>3580</v>
      </c>
      <c r="Z18" s="99" t="s">
        <v>3580</v>
      </c>
      <c r="AA18" s="99" t="s">
        <v>3580</v>
      </c>
      <c r="AB18" s="99" t="s">
        <v>3580</v>
      </c>
      <c r="AC18" s="99" t="s">
        <v>3580</v>
      </c>
      <c r="AD18" s="99" t="s">
        <v>3580</v>
      </c>
      <c r="AE18" s="99" t="s">
        <v>3580</v>
      </c>
      <c r="AF18" s="99" t="s">
        <v>3580</v>
      </c>
      <c r="AG18" s="99" t="s">
        <v>3580</v>
      </c>
      <c r="AH18" s="99" t="s">
        <v>3580</v>
      </c>
      <c r="AI18" s="99" t="s">
        <v>3580</v>
      </c>
      <c r="AJ18" s="99" t="s">
        <v>3580</v>
      </c>
      <c r="AK18" s="102" t="s">
        <v>3305</v>
      </c>
      <c r="AL18" s="99" t="s">
        <v>3580</v>
      </c>
      <c r="AM18" s="99" t="s">
        <v>3580</v>
      </c>
    </row>
    <row r="19" spans="1:39" x14ac:dyDescent="0.15">
      <c r="A19" s="91" t="s">
        <v>2490</v>
      </c>
      <c r="B19" s="99">
        <v>45769</v>
      </c>
      <c r="C19" s="99">
        <v>6062495</v>
      </c>
      <c r="D19" s="99">
        <v>4029667</v>
      </c>
      <c r="E19" s="99" t="s">
        <v>47</v>
      </c>
      <c r="F19" s="99">
        <v>98009888</v>
      </c>
      <c r="G19" s="99">
        <v>95028094</v>
      </c>
      <c r="H19" s="99">
        <v>97047989</v>
      </c>
      <c r="I19" s="99" t="s">
        <v>48</v>
      </c>
      <c r="J19" s="99" t="s">
        <v>48</v>
      </c>
      <c r="K19" s="99" t="s">
        <v>48</v>
      </c>
      <c r="L19" s="99">
        <v>98024194</v>
      </c>
      <c r="M19" s="102">
        <v>93043039</v>
      </c>
      <c r="N19" s="99" t="s">
        <v>2465</v>
      </c>
      <c r="O19" s="99" t="s">
        <v>2478</v>
      </c>
      <c r="P19" s="99">
        <v>95036195</v>
      </c>
      <c r="Q19" s="99" t="s">
        <v>2481</v>
      </c>
      <c r="R19" s="99" t="s">
        <v>2483</v>
      </c>
      <c r="S19" s="99" t="s">
        <v>2485</v>
      </c>
      <c r="T19" s="99" t="s">
        <v>2487</v>
      </c>
      <c r="U19" s="99">
        <v>99046457</v>
      </c>
      <c r="V19" s="99">
        <v>5063872</v>
      </c>
      <c r="W19" s="99">
        <v>6048830</v>
      </c>
      <c r="X19" s="99">
        <v>6022539</v>
      </c>
      <c r="Y19" s="99">
        <v>6050725</v>
      </c>
      <c r="Z19" s="99" t="s">
        <v>2523</v>
      </c>
      <c r="AA19" s="99" t="s">
        <v>2481</v>
      </c>
      <c r="AB19" s="104" t="s">
        <v>2575</v>
      </c>
      <c r="AC19" s="99">
        <v>39660</v>
      </c>
      <c r="AD19" s="99">
        <v>4060161</v>
      </c>
      <c r="AE19" s="99">
        <v>2051530</v>
      </c>
      <c r="AF19" s="99">
        <v>2051531</v>
      </c>
      <c r="AG19" s="99">
        <v>4043845</v>
      </c>
      <c r="AH19" s="99">
        <v>4043847</v>
      </c>
      <c r="AI19" s="99">
        <v>6024766</v>
      </c>
      <c r="AJ19" s="99">
        <v>10014357</v>
      </c>
      <c r="AK19" s="102">
        <v>8036835</v>
      </c>
      <c r="AL19" s="99">
        <v>8036838</v>
      </c>
      <c r="AM19" s="99">
        <v>1047637</v>
      </c>
    </row>
    <row r="20" spans="1:39" s="97" customFormat="1" x14ac:dyDescent="0.15">
      <c r="A20" s="92" t="s">
        <v>667</v>
      </c>
      <c r="B20" s="96" t="s">
        <v>668</v>
      </c>
      <c r="C20" s="96">
        <v>39386</v>
      </c>
      <c r="D20" s="96"/>
      <c r="E20" s="101"/>
      <c r="F20" s="101"/>
      <c r="G20" s="101"/>
      <c r="H20" s="101"/>
      <c r="I20" s="101"/>
      <c r="J20" s="101"/>
      <c r="K20" s="101"/>
      <c r="L20" s="101">
        <v>39386</v>
      </c>
      <c r="M20" s="101">
        <v>40104</v>
      </c>
      <c r="N20" s="101">
        <v>40104</v>
      </c>
      <c r="O20" s="101">
        <v>40131</v>
      </c>
      <c r="P20" s="101">
        <v>40194</v>
      </c>
      <c r="Q20" s="101">
        <v>40216</v>
      </c>
      <c r="R20" s="101">
        <v>40216</v>
      </c>
      <c r="S20" s="101">
        <v>40216</v>
      </c>
      <c r="T20" s="101">
        <v>40216</v>
      </c>
      <c r="U20" s="101">
        <v>40299</v>
      </c>
      <c r="V20" s="101">
        <v>40364</v>
      </c>
      <c r="W20" s="101">
        <v>40366</v>
      </c>
      <c r="X20" s="101">
        <v>40501</v>
      </c>
      <c r="Y20" s="101">
        <v>40501</v>
      </c>
      <c r="Z20" s="101">
        <v>40501</v>
      </c>
      <c r="AA20" s="101">
        <v>40520</v>
      </c>
      <c r="AB20" s="101">
        <v>40663</v>
      </c>
      <c r="AC20" s="101">
        <v>40503</v>
      </c>
      <c r="AD20" s="101">
        <v>40550</v>
      </c>
      <c r="AE20" s="101">
        <v>40558</v>
      </c>
      <c r="AF20" s="101">
        <v>40579</v>
      </c>
      <c r="AG20" s="101">
        <v>40520</v>
      </c>
      <c r="AH20" s="101" t="s">
        <v>2536</v>
      </c>
      <c r="AI20" s="101">
        <v>40579</v>
      </c>
      <c r="AJ20" s="101">
        <v>40615</v>
      </c>
      <c r="AK20" s="101">
        <v>40635</v>
      </c>
      <c r="AL20" s="101">
        <v>40635</v>
      </c>
      <c r="AM20" s="101">
        <v>40520</v>
      </c>
    </row>
    <row r="21" spans="1:39" ht="18" x14ac:dyDescent="0.15">
      <c r="A21" s="91" t="s">
        <v>3581</v>
      </c>
      <c r="B21" s="100"/>
      <c r="C21" s="100"/>
      <c r="D21" s="100"/>
      <c r="E21" s="94"/>
      <c r="F21" s="94"/>
      <c r="G21" s="94"/>
      <c r="H21" s="94"/>
      <c r="I21" s="94"/>
      <c r="J21" s="94"/>
      <c r="K21" s="94"/>
      <c r="L21" s="94"/>
      <c r="M21" s="94"/>
      <c r="N21" s="99"/>
      <c r="O21" s="99"/>
      <c r="P21" s="99">
        <v>1020859730</v>
      </c>
      <c r="Q21" s="99">
        <v>1020659221</v>
      </c>
      <c r="R21" s="99">
        <v>1020647861</v>
      </c>
      <c r="S21" s="99">
        <v>1020629505</v>
      </c>
      <c r="T21" s="99">
        <v>1020629513</v>
      </c>
      <c r="U21" s="99">
        <v>2011075286</v>
      </c>
      <c r="V21" s="99">
        <v>1013899875</v>
      </c>
      <c r="W21" s="99">
        <v>1013714314</v>
      </c>
      <c r="X21" s="99">
        <v>1013748171</v>
      </c>
      <c r="Y21" s="99">
        <v>1013898760</v>
      </c>
      <c r="Z21" s="99">
        <v>1020712491</v>
      </c>
      <c r="AA21" s="99">
        <v>1020659221</v>
      </c>
      <c r="AB21" s="99">
        <v>1013496474</v>
      </c>
      <c r="AC21" s="99">
        <v>1020626527</v>
      </c>
      <c r="AD21" s="99">
        <v>1014420879</v>
      </c>
      <c r="AE21" s="99">
        <v>1020626485</v>
      </c>
      <c r="AF21" s="99">
        <v>2011433519</v>
      </c>
      <c r="AG21" s="99">
        <v>1020626493</v>
      </c>
      <c r="AH21" s="99">
        <v>1020626493</v>
      </c>
      <c r="AI21" s="99">
        <v>2011324726</v>
      </c>
      <c r="AJ21" s="99">
        <v>1014427858</v>
      </c>
      <c r="AK21" s="99">
        <v>1014364580</v>
      </c>
      <c r="AL21" s="99">
        <v>1014261026</v>
      </c>
      <c r="AM21" s="99">
        <v>1020553846</v>
      </c>
    </row>
    <row r="22" spans="1:39" ht="18" x14ac:dyDescent="0.15">
      <c r="A22" s="94" t="s">
        <v>2521</v>
      </c>
      <c r="B22" s="100"/>
      <c r="C22" s="100"/>
      <c r="D22" s="100"/>
      <c r="E22" s="94"/>
      <c r="F22" s="94"/>
      <c r="G22" s="94"/>
      <c r="H22" s="94"/>
      <c r="I22" s="94"/>
      <c r="J22" s="94"/>
      <c r="K22" s="94"/>
      <c r="L22" s="94"/>
      <c r="M22" s="94"/>
      <c r="N22" s="99"/>
      <c r="O22" s="99"/>
      <c r="P22" s="101"/>
      <c r="Q22" s="101"/>
      <c r="R22" s="101"/>
      <c r="S22" s="101"/>
      <c r="T22" s="101"/>
      <c r="U22" s="101"/>
      <c r="V22" s="101" t="s">
        <v>3582</v>
      </c>
      <c r="W22" s="101"/>
      <c r="X22" s="101"/>
      <c r="Y22" s="101"/>
      <c r="Z22" s="101"/>
      <c r="AA22" s="101"/>
      <c r="AB22" s="101"/>
      <c r="AC22" s="101" t="s">
        <v>3583</v>
      </c>
      <c r="AD22" s="101"/>
      <c r="AE22" s="101"/>
      <c r="AF22" s="101"/>
      <c r="AG22" s="99" t="s">
        <v>2573</v>
      </c>
      <c r="AH22" s="101"/>
      <c r="AI22" s="101"/>
      <c r="AJ22" s="101"/>
      <c r="AK22" s="94"/>
      <c r="AL22" s="94"/>
      <c r="AM22" s="101"/>
    </row>
    <row r="23" spans="1:39" x14ac:dyDescent="0.25">
      <c r="N23" s="98"/>
      <c r="O23" s="98"/>
      <c r="P23" s="98"/>
      <c r="Q23" s="98"/>
      <c r="R23" s="98"/>
      <c r="S23" s="98"/>
      <c r="T23" s="98"/>
      <c r="AH23" s="14"/>
    </row>
    <row r="24" spans="1:39" x14ac:dyDescent="0.25">
      <c r="N24" s="98"/>
      <c r="O24" s="98"/>
      <c r="P24" s="98"/>
      <c r="Q24" s="98"/>
      <c r="R24" s="98"/>
      <c r="S24" s="98"/>
      <c r="T24" s="98"/>
      <c r="AH24" s="14"/>
    </row>
    <row r="25" spans="1:39" x14ac:dyDescent="0.25">
      <c r="N25" s="98"/>
      <c r="O25" s="98"/>
      <c r="P25" s="98"/>
      <c r="Q25" s="98"/>
      <c r="R25" s="98"/>
      <c r="S25" s="98"/>
      <c r="T25" s="98"/>
      <c r="AH25" s="14"/>
    </row>
    <row r="26" spans="1:39" x14ac:dyDescent="0.25">
      <c r="P26" s="98"/>
      <c r="Q26" s="98"/>
      <c r="R26" s="98"/>
      <c r="S26" s="98"/>
      <c r="T26" s="98"/>
      <c r="AH26" s="14"/>
    </row>
    <row r="27" spans="1:39" x14ac:dyDescent="0.25">
      <c r="P27" s="98"/>
      <c r="Q27" s="98"/>
      <c r="R27" s="98"/>
      <c r="S27" s="98"/>
      <c r="T27" s="98"/>
      <c r="AH27" s="14"/>
    </row>
  </sheetData>
  <phoneticPr fontId="1"/>
  <pageMargins left="0.78700000000000003" right="0.78700000000000003" top="0.98399999999999999" bottom="0.98399999999999999"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1FC9-E43D-4156-A8BA-716FE3D3CF2E}">
  <sheetPr codeName="Sheet3"/>
  <dimension ref="A1:F32"/>
  <sheetViews>
    <sheetView zoomScaleNormal="100" workbookViewId="0">
      <selection activeCell="C9" sqref="C9"/>
    </sheetView>
  </sheetViews>
  <sheetFormatPr defaultRowHeight="15" x14ac:dyDescent="0.25"/>
  <cols>
    <col min="1" max="1" width="7.5" style="14" bestFit="1" customWidth="1"/>
    <col min="2" max="2" width="3.5" style="14" bestFit="1" customWidth="1"/>
    <col min="3" max="3" width="20.5" style="14" bestFit="1" customWidth="1"/>
    <col min="4" max="4" width="47" style="14" bestFit="1" customWidth="1"/>
    <col min="5" max="16384" width="9" style="14"/>
  </cols>
  <sheetData>
    <row r="1" spans="1:6" ht="25.5" x14ac:dyDescent="0.35">
      <c r="A1" s="36" t="s" ph="1">
        <v>223</v>
      </c>
      <c r="B1" s="128" t="s" ph="1">
        <v>10343</v>
      </c>
      <c r="C1" s="129" t="s" ph="1">
        <v>10342</v>
      </c>
      <c r="D1" s="130" t="s" ph="1">
        <v>3279</v>
      </c>
      <c r="E1" s="14" ph="1"/>
      <c r="F1" s="14" ph="1"/>
    </row>
    <row r="2" spans="1:6" ht="25.5" x14ac:dyDescent="0.35">
      <c r="B2" s="93"/>
      <c r="C2" s="129" t="s" ph="1">
        <v>10344</v>
      </c>
      <c r="D2" s="130" t="s" ph="1">
        <v>10345</v>
      </c>
      <c r="E2" s="14" ph="1"/>
      <c r="F2" s="14" ph="1"/>
    </row>
    <row r="3" spans="1:6" ht="25.5" x14ac:dyDescent="0.35">
      <c r="B3" s="93"/>
      <c r="C3" s="129" t="s" ph="1">
        <v>10346</v>
      </c>
      <c r="D3" s="130" t="s" ph="1">
        <v>10347</v>
      </c>
      <c r="E3" s="14" ph="1"/>
      <c r="F3" s="14" ph="1"/>
    </row>
    <row r="4" spans="1:6" ht="22.5" x14ac:dyDescent="0.25">
      <c r="A4" s="36" ph="1"/>
      <c r="B4" s="128" ph="1"/>
      <c r="C4" s="93"/>
      <c r="D4" s="93" ph="1"/>
    </row>
    <row r="5" spans="1:6" ht="22.5" x14ac:dyDescent="0.25">
      <c r="A5" s="36" t="s" ph="1">
        <v>299</v>
      </c>
      <c r="B5" s="128" t="s" ph="1">
        <v>10343</v>
      </c>
      <c r="C5" s="129" t="s" ph="1">
        <v>300</v>
      </c>
      <c r="D5" s="93"/>
      <c r="E5" s="14" ph="1"/>
    </row>
    <row r="6" spans="1:6" ht="22.5" x14ac:dyDescent="0.25">
      <c r="A6" s="36" ph="1"/>
      <c r="B6" s="128" ph="1"/>
      <c r="C6" s="93"/>
      <c r="D6" s="93" ph="1"/>
    </row>
    <row r="7" spans="1:6" ht="22.5" x14ac:dyDescent="0.25">
      <c r="A7" s="36" t="s" ph="1">
        <v>299</v>
      </c>
      <c r="B7" s="128" t="s" ph="1">
        <v>10343</v>
      </c>
      <c r="C7" s="129" t="s" ph="1">
        <v>301</v>
      </c>
      <c r="D7" s="129" t="s" ph="1">
        <v>302</v>
      </c>
      <c r="E7" s="14" ph="1"/>
    </row>
    <row r="8" spans="1:6" ht="22.5" x14ac:dyDescent="0.25">
      <c r="A8" s="14" ph="1"/>
      <c r="B8" s="93" ph="1"/>
      <c r="C8" s="93"/>
      <c r="D8" s="93" ph="1"/>
    </row>
    <row r="9" spans="1:6" ht="22.5" x14ac:dyDescent="0.25">
      <c r="A9" s="36" t="s" ph="1">
        <v>303</v>
      </c>
      <c r="B9" s="128" t="s" ph="1">
        <v>10343</v>
      </c>
      <c r="C9" s="129" t="s" ph="1">
        <v>10341</v>
      </c>
      <c r="D9" s="131" t="s" ph="1">
        <v>3280</v>
      </c>
      <c r="E9" s="14" ph="1"/>
    </row>
    <row r="10" spans="1:6" ht="22.5" x14ac:dyDescent="0.25">
      <c r="A10" s="14" ph="1"/>
      <c r="B10" s="93" ph="1"/>
      <c r="C10" s="93"/>
      <c r="D10" s="93" ph="1"/>
    </row>
    <row r="11" spans="1:6" ht="25.5" x14ac:dyDescent="0.35">
      <c r="A11" s="36" t="s" ph="1">
        <v>303</v>
      </c>
      <c r="B11" s="128" t="s" ph="1">
        <v>10343</v>
      </c>
      <c r="C11" s="129" t="s" ph="1">
        <v>304</v>
      </c>
      <c r="D11" s="129" t="s" ph="1">
        <v>3281</v>
      </c>
      <c r="E11" s="14" ph="1"/>
    </row>
    <row r="12" spans="1:6" ht="25.5" x14ac:dyDescent="0.35">
      <c r="A12" s="36" ph="1"/>
      <c r="B12" s="128" ph="1"/>
      <c r="C12" s="129" t="s" ph="1">
        <v>305</v>
      </c>
      <c r="D12" s="129" t="s" ph="1">
        <v>3282</v>
      </c>
    </row>
    <row r="13" spans="1:6" ht="76.5" x14ac:dyDescent="0.25">
      <c r="A13" s="14" ph="1"/>
      <c r="B13" s="93" ph="1"/>
      <c r="C13" s="132" t="s" ph="1">
        <v>3283</v>
      </c>
      <c r="D13" s="132" t="s" ph="1">
        <v>10348</v>
      </c>
      <c r="E13" s="14" ph="1"/>
    </row>
    <row r="14" spans="1:6" ht="25.5" x14ac:dyDescent="0.35">
      <c r="A14" s="36" ph="1"/>
      <c r="B14" s="128" ph="1"/>
      <c r="C14" s="129" t="s" ph="1">
        <v>130</v>
      </c>
      <c r="D14" s="129" t="s" ph="1">
        <v>10349</v>
      </c>
    </row>
    <row r="15" spans="1:6" ht="22.5" x14ac:dyDescent="0.25">
      <c r="A15" s="14" ph="1"/>
      <c r="B15" s="14" ph="1"/>
      <c r="C15" s="14" ph="1"/>
    </row>
    <row r="16" spans="1:6" ht="22.5" x14ac:dyDescent="0.25">
      <c r="A16" s="14" ph="1"/>
      <c r="B16" s="14" ph="1"/>
      <c r="C16" s="14" ph="1"/>
      <c r="D16" s="14" ph="1"/>
    </row>
    <row r="17" spans="1:5" ht="22.5" x14ac:dyDescent="0.25">
      <c r="A17" s="14" ph="1"/>
      <c r="B17" s="14" ph="1"/>
      <c r="C17" s="14" ph="1"/>
    </row>
    <row r="18" spans="1:5" ht="22.5" x14ac:dyDescent="0.25">
      <c r="A18" s="14" ph="1"/>
      <c r="B18" s="14" ph="1"/>
      <c r="C18" s="14" ph="1"/>
      <c r="D18" s="14" ph="1"/>
      <c r="E18" s="14" ph="1"/>
    </row>
    <row r="20" spans="1:5" ht="22.5" x14ac:dyDescent="0.25">
      <c r="A20" s="14" ph="1"/>
      <c r="B20" s="14" ph="1"/>
      <c r="C20" s="14" ph="1"/>
      <c r="D20" s="14" ph="1"/>
      <c r="E20" s="14" ph="1"/>
    </row>
    <row r="21" spans="1:5" ht="22.5" x14ac:dyDescent="0.25">
      <c r="A21" s="14" ph="1"/>
      <c r="B21" s="14" ph="1"/>
      <c r="C21" s="14" ph="1"/>
      <c r="D21" s="14" ph="1"/>
      <c r="E21" s="14" ph="1"/>
    </row>
    <row r="22" spans="1:5" ht="22.5" x14ac:dyDescent="0.25">
      <c r="A22" s="14" ph="1"/>
      <c r="B22" s="14" ph="1"/>
      <c r="C22" s="14" ph="1"/>
      <c r="D22" s="14" ph="1"/>
      <c r="E22" s="14" ph="1"/>
    </row>
    <row r="24" spans="1:5" ht="22.5" x14ac:dyDescent="0.25">
      <c r="A24" s="14" ph="1"/>
      <c r="B24" s="14" ph="1"/>
      <c r="C24" s="14" ph="1"/>
      <c r="D24" s="14" ph="1"/>
      <c r="E24" s="14" ph="1"/>
    </row>
    <row r="25" spans="1:5" ht="22.5" x14ac:dyDescent="0.25">
      <c r="A25" s="14" ph="1"/>
      <c r="B25" s="14" ph="1"/>
      <c r="C25" s="14" ph="1"/>
      <c r="D25" s="14" ph="1"/>
      <c r="E25" s="14" ph="1"/>
    </row>
    <row r="26" spans="1:5" ht="22.5" x14ac:dyDescent="0.25">
      <c r="A26" s="14" ph="1"/>
      <c r="B26" s="14" ph="1"/>
      <c r="C26" s="14" ph="1"/>
      <c r="D26" s="14" ph="1"/>
      <c r="E26" s="14" ph="1"/>
    </row>
    <row r="27" spans="1:5" ht="22.5" x14ac:dyDescent="0.25">
      <c r="A27" s="14" ph="1"/>
      <c r="B27" s="14" ph="1"/>
      <c r="C27" s="14" ph="1"/>
      <c r="D27" s="14" ph="1"/>
    </row>
    <row r="28" spans="1:5" ht="22.5" x14ac:dyDescent="0.25">
      <c r="A28" s="14" ph="1"/>
      <c r="B28" s="14" ph="1"/>
      <c r="C28" s="14" ph="1"/>
      <c r="D28" s="14" ph="1"/>
      <c r="E28" s="14" ph="1"/>
    </row>
    <row r="29" spans="1:5" ht="22.5" x14ac:dyDescent="0.25">
      <c r="A29" s="14" ph="1"/>
      <c r="B29" s="14" ph="1"/>
      <c r="C29" s="14" ph="1"/>
    </row>
    <row r="30" spans="1:5" ht="22.5" x14ac:dyDescent="0.25">
      <c r="A30" s="14" ph="1"/>
      <c r="B30" s="14" ph="1"/>
      <c r="C30" s="14" ph="1"/>
      <c r="D30" s="14" ph="1"/>
    </row>
    <row r="31" spans="1:5" ht="22.5" x14ac:dyDescent="0.25">
      <c r="A31" s="14" ph="1"/>
      <c r="B31" s="14" ph="1"/>
      <c r="C31" s="14" ph="1"/>
    </row>
    <row r="32" spans="1:5" ht="22.5" x14ac:dyDescent="0.25">
      <c r="A32" s="14" ph="1"/>
      <c r="B32" s="14" ph="1"/>
      <c r="C32" s="14" ph="1"/>
      <c r="D32" s="14" ph="1"/>
      <c r="E32" s="14" ph="1"/>
    </row>
  </sheetData>
  <phoneticPr fontId="1"/>
  <hyperlinks>
    <hyperlink ref="C5" r:id="rId1" xr:uid="{2A7D2086-7581-4608-85B0-AB1E98E9B655}"/>
    <hyperlink ref="C7" r:id="rId2" xr:uid="{2D9076A1-AEF5-4DF2-B20B-C6E3BFEDF3CC}"/>
    <hyperlink ref="C11" r:id="rId3" xr:uid="{859AF936-558D-4EA6-9FB3-EE1BA6118525}"/>
    <hyperlink ref="D12" r:id="rId4" xr:uid="{E5C57CF1-AFE9-4803-9421-99CCDF4F0173}"/>
    <hyperlink ref="D11" r:id="rId5" xr:uid="{9D23D59D-785B-420B-BCEB-AA85C0C19823}"/>
    <hyperlink ref="D7" r:id="rId6" xr:uid="{018DDE1C-3DC3-494A-802F-CAEDAC570694}"/>
    <hyperlink ref="C12" r:id="rId7" xr:uid="{A64004FE-B4CE-499C-A942-0B620EFD83AA}"/>
    <hyperlink ref="C1" r:id="rId8" xr:uid="{92EF65D8-8305-48A6-B691-CB313BA3A799}"/>
    <hyperlink ref="C2" r:id="rId9" xr:uid="{46CC5813-F8B4-4BF7-B982-462F05B914ED}"/>
    <hyperlink ref="C3" r:id="rId10" xr:uid="{91F7438D-A341-4F4F-9085-58DEA8BD2FCF}"/>
    <hyperlink ref="C13" r:id="rId11" display="..\ethnic\shirami_tsubushi.htm" xr:uid="{AD1FB485-7B01-48C0-B599-6D9880484A3D}"/>
    <hyperlink ref="C9" r:id="rId12" xr:uid="{63A1C66F-7E8A-4E79-BE43-306469157397}"/>
    <hyperlink ref="D13" r:id="rId13" display="..\ethnic\shirami_tsubushi.htm" xr:uid="{E99751F2-314E-4E79-A91B-22681CB588AB}"/>
    <hyperlink ref="D14" r:id="rId14" display="変拍子 &amp; ポリリズム・アカペラ・アンサンブル" xr:uid="{96C3571E-F5DA-4AC6-90DC-04916FD9F2A3}"/>
    <hyperlink ref="C14" r:id="rId15" xr:uid="{A19C36E4-3980-4B36-B6D8-A013014B6A7F}"/>
  </hyperlinks>
  <pageMargins left="0.78700000000000003" right="0.78700000000000003" top="0.98399999999999999" bottom="0.98399999999999999" header="0.51200000000000001" footer="0.51200000000000001"/>
  <pageSetup paperSize="9" orientation="landscape" horizontalDpi="4294967293" verticalDpi="0" r:id="rId1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35</vt:i4>
      </vt:variant>
    </vt:vector>
  </HeadingPairs>
  <TitlesOfParts>
    <vt:vector size="39" baseType="lpstr">
      <vt:lpstr>index</vt:lpstr>
      <vt:lpstr>Book</vt:lpstr>
      <vt:lpstr>Book2</vt:lpstr>
      <vt:lpstr>return or link</vt:lpstr>
      <vt:lpstr>Bottom</vt:lpstr>
      <vt:lpstr>comic</vt:lpstr>
      <vt:lpstr>comic_新書</vt:lpstr>
      <vt:lpstr>comic_文庫</vt:lpstr>
      <vt:lpstr>computer</vt:lpstr>
      <vt:lpstr>cook</vt:lpstr>
      <vt:lpstr>Top</vt:lpstr>
      <vt:lpstr>画集</vt:lpstr>
      <vt:lpstr>画集_身内</vt:lpstr>
      <vt:lpstr>絵本</vt:lpstr>
      <vt:lpstr>楽譜</vt:lpstr>
      <vt:lpstr>雑誌</vt:lpstr>
      <vt:lpstr>散文_foreign</vt:lpstr>
      <vt:lpstr>散文_foreign_新書</vt:lpstr>
      <vt:lpstr>散文_foreign_文庫</vt:lpstr>
      <vt:lpstr>散文_japan</vt:lpstr>
      <vt:lpstr>散文_japan_新書</vt:lpstr>
      <vt:lpstr>散文_japan_文庫</vt:lpstr>
      <vt:lpstr>私家版</vt:lpstr>
      <vt:lpstr>詩_foreign</vt:lpstr>
      <vt:lpstr>詩_foreign_新書</vt:lpstr>
      <vt:lpstr>詩_foreign_文庫</vt:lpstr>
      <vt:lpstr>詩_japan</vt:lpstr>
      <vt:lpstr>詩_japan_新書</vt:lpstr>
      <vt:lpstr>詩_japan_文庫</vt:lpstr>
      <vt:lpstr>辞典</vt:lpstr>
      <vt:lpstr>図鑑</vt:lpstr>
      <vt:lpstr>童話_foregn</vt:lpstr>
      <vt:lpstr>童話_japan</vt:lpstr>
      <vt:lpstr>文学_foreign</vt:lpstr>
      <vt:lpstr>文学_foreign_新書</vt:lpstr>
      <vt:lpstr>文学_foreign_文庫</vt:lpstr>
      <vt:lpstr>文学_japan</vt:lpstr>
      <vt:lpstr>文学_japan_新書</vt:lpstr>
      <vt:lpstr>文学_japan_文庫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library</dc:title>
  <dc:creator>高橋秀樹</dc:creator>
  <cp:lastModifiedBy>Hinden Takahashi Hideki</cp:lastModifiedBy>
  <cp:lastPrinted>2004-10-02T20:43:01Z</cp:lastPrinted>
  <dcterms:created xsi:type="dcterms:W3CDTF">1998-07-21T16:55:11Z</dcterms:created>
  <dcterms:modified xsi:type="dcterms:W3CDTF">2025-11-02T09:11:27Z</dcterms:modified>
</cp:coreProperties>
</file>